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embeddings/oleObject1.bin" ContentType="application/vnd.openxmlformats-officedocument.oleObject"/>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4.xml" ContentType="application/vnd.openxmlformats-officedocument.drawing+xml"/>
  <Override PartName="/xl/charts/chart9.xml" ContentType="application/vnd.openxmlformats-officedocument.drawingml.chart+xml"/>
  <Override PartName="/xl/drawings/drawing5.xml" ContentType="application/vnd.openxmlformats-officedocument.drawing+xml"/>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drawings/drawing6.xml" ContentType="application/vnd.openxmlformats-officedocument.drawing+xml"/>
  <Override PartName="/xl/embeddings/oleObject38.bin" ContentType="application/vnd.openxmlformats-officedocument.oleObject"/>
  <Override PartName="/xl/ctrlProps/ctrlProp19.xml" ContentType="application/vnd.ms-excel.controlproperties+xml"/>
  <Override PartName="/xl/ctrlProps/ctrlProp20.xml" ContentType="application/vnd.ms-excel.controlproperties+xml"/>
  <Override PartName="/xl/comments3.xml" ContentType="application/vnd.openxmlformats-officedocument.spreadsheetml.comments+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7.xml" ContentType="application/vnd.openxmlformats-officedocument.drawing+xml"/>
  <Override PartName="/xl/comments4.xml" ContentType="application/vnd.openxmlformats-officedocument.spreadsheetml.comments+xml"/>
  <Override PartName="/xl/drawings/drawing8.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726"/>
  <workbookPr backupFile="1" codeName="ThisWorkbook"/>
  <mc:AlternateContent xmlns:mc="http://schemas.openxmlformats.org/markup-compatibility/2006">
    <mc:Choice Requires="x15">
      <x15ac:absPath xmlns:x15ac="http://schemas.microsoft.com/office/spreadsheetml/2010/11/ac" url="https://univorleansfr-my.sharepoint.com/personal/o22101515_campus_univ-orleans_fr/Documents/Space'Tech Orléans/INDRA/Indra-Project/StabTraj/"/>
    </mc:Choice>
  </mc:AlternateContent>
  <xr:revisionPtr revIDLastSave="75" documentId="11_33BE1DDF0D112338084E31510B360557422B2809" xr6:coauthVersionLast="47" xr6:coauthVersionMax="47" xr10:uidLastSave="{D6B964DB-6621-4B9E-8702-8770697BAD1D}"/>
  <bookViews>
    <workbookView xWindow="-108" yWindow="-108" windowWidth="23256" windowHeight="12456" xr2:uid="{00000000-000D-0000-FFFF-FFFF00000000}"/>
  </bookViews>
  <sheets>
    <sheet name="Stabilito" sheetId="6" r:id="rId1"/>
    <sheet name="Trajecto" sheetId="1" r:id="rId2"/>
    <sheet name="Courbes" sheetId="2" r:id="rId3"/>
    <sheet name="Propu" sheetId="4" r:id="rId4"/>
    <sheet name="Calculs" sheetId="3" r:id="rId5"/>
    <sheet name="Abaco" sheetId="8" r:id="rId6"/>
    <sheet name="Info" sheetId="5" r:id="rId7"/>
    <sheet name="Controle" sheetId="7" r:id="rId8"/>
  </sheets>
  <definedNames>
    <definedName name="_xlnm._FilterDatabase" localSheetId="3" hidden="1">Propu!$O$317:$P$345</definedName>
    <definedName name="a_prop">Abaco!$G$41:$G$67</definedName>
    <definedName name="Acc_max">Trajecto!$L$24</definedName>
    <definedName name="acc_x">Calculs!$D$4:$D$1004</definedName>
    <definedName name="acc_xz">Calculs!$F$4:$F$1004</definedName>
    <definedName name="acc_z">Calculs!$E$4:$E$1004</definedName>
    <definedName name="Alt_para">Trajecto!$I$27</definedName>
    <definedName name="alt_prop">Abaco!$J$41:$J$67</definedName>
    <definedName name="Alt_rampe">Trajecto!$C$20</definedName>
    <definedName name="Alt_sat">Trajecto!$I$25</definedName>
    <definedName name="Altitude_culmi">Trajecto!$I$26</definedName>
    <definedName name="b_bal">Abaco!$I$41:$I$67</definedName>
    <definedName name="b_prop">Abaco!$H$41:$H$67</definedName>
    <definedName name="Beta">Calculs!$M$4:$M$1004</definedName>
    <definedName name="Beta_rampe">Trajecto!$C$19</definedName>
    <definedName name="BetaD">Calculs!$N$4:$N$1004</definedName>
    <definedName name="CdP">Propu!$B$3:$Y$4</definedName>
    <definedName name="CdP_P">Propu!$B$4:$Y$4</definedName>
    <definedName name="CdP_t">Propu!$B$3:$Y$3</definedName>
    <definedName name="Club">Stabilito!$C$9</definedName>
    <definedName name="Cn">Stabilito!$H$28</definedName>
    <definedName name="Cn0">Stabilito!$I$28</definedName>
    <definedName name="Cnai" localSheetId="0">Stabilito!$O$19</definedName>
    <definedName name="Cnai0">Stabilito!$P$19</definedName>
    <definedName name="Cnail" localSheetId="0">Stabilito!$O$20</definedName>
    <definedName name="Cnc" localSheetId="0">Stabilito!$O$21</definedName>
    <definedName name="Cni" localSheetId="0">Stabilito!$O$22</definedName>
    <definedName name="Cni0">Stabilito!$P$22</definedName>
    <definedName name="Cnj" localSheetId="0">Stabilito!$O$23</definedName>
    <definedName name="Cno" localSheetId="0">Stabilito!$O$18</definedName>
    <definedName name="Cnr" localSheetId="0">Stabilito!$O$24</definedName>
    <definedName name="Combustion">Propu!$X$2</definedName>
    <definedName name="CritCnmax" localSheetId="0">Stabilito!$J$28</definedName>
    <definedName name="CritCnmin" localSheetId="0">Stabilito!$G$28</definedName>
    <definedName name="CritFinessemax" localSheetId="0">Stabilito!$J$27</definedName>
    <definedName name="CritFinessemin" localSheetId="0">Stabilito!$G$27</definedName>
    <definedName name="CritMsCnmax" localSheetId="0">Stabilito!$J$30</definedName>
    <definedName name="CritMsCnmin" localSheetId="0">Stabilito!$G$30</definedName>
    <definedName name="CritMsmax" localSheetId="0">Stabilito!$J$29</definedName>
    <definedName name="CritMsmin" localSheetId="0">Stabilito!$G$29</definedName>
    <definedName name="Cx">Trajecto!$C$15</definedName>
    <definedName name="Cx_para">Trajecto!$C$28</definedName>
    <definedName name="Cx_satellite">Trajecto!$D$28</definedName>
    <definedName name="D_ail">Stabilito!$C$34</definedName>
    <definedName name="D_can" localSheetId="0">Stabilito!$D$34</definedName>
    <definedName name="D_int" localSheetId="0">Stabilito!$E$34</definedName>
    <definedName name="D_og">Stabilito!$C$23</definedName>
    <definedName name="D_ref">Stabilito!$C$14</definedName>
    <definedName name="D_var">Abaco!$B$41:$B$67</definedName>
    <definedName name="D1j">Stabilito!$M$7</definedName>
    <definedName name="D1r">Stabilito!$O$7</definedName>
    <definedName name="D2j">Stabilito!$M$8</definedName>
    <definedName name="D2r">Stabilito!$O$8</definedName>
    <definedName name="Débit">Calculs!$R$4:$R$1004</definedName>
    <definedName name="Depotage">Propu!$Z$2</definedName>
    <definedName name="Diam_propu">Propu!$T$2</definedName>
    <definedName name="Dt_para">Trajecto!$C$31</definedName>
    <definedName name="Dt_satellite">Trajecto!$D$31</definedName>
    <definedName name="Dx_para">Trajecto!$C$33</definedName>
    <definedName name="Dx_sat">Trajecto!$D$33</definedName>
    <definedName name="E_ail">Stabilito!$C$30</definedName>
    <definedName name="E_can">Stabilito!$D$30</definedName>
    <definedName name="E_int" localSheetId="0">Stabilito!$E$30</definedName>
    <definedName name="ep_ail">Stabilito!$C$31</definedName>
    <definedName name="ep_can">Stabilito!$D$31</definedName>
    <definedName name="ep_int" localSheetId="0">Stabilito!$E$31</definedName>
    <definedName name="Event">Calculs!$Y$4:$Y$1004</definedName>
    <definedName name="Event_para">Calculs!$Z$4:$Z$1004</definedName>
    <definedName name="Event_sat">Calculs!$AA$4:$AA$1004</definedName>
    <definedName name="f_ail" localSheetId="0">Stabilito!$C$35</definedName>
    <definedName name="f_can" localSheetId="0">Stabilito!$D$35</definedName>
    <definedName name="f_int" localSheetId="0">Stabilito!$E$35</definedName>
    <definedName name="Finesse">Stabilito!$H$27</definedName>
    <definedName name="Forme_ogive">Stabilito!$C$21</definedName>
    <definedName name="g">Info!$E$52</definedName>
    <definedName name="i_P">Calculs!$P$4:$P$1004</definedName>
    <definedName name="I_total">Propu!$D$2</definedName>
    <definedName name="ISP">Propu!$F$2</definedName>
    <definedName name="l_j">Stabilito!$M$6</definedName>
    <definedName name="l_r">Stabilito!$O$6</definedName>
    <definedName name="L_rampe">Trajecto!$C$18</definedName>
    <definedName name="Lang">Stabilito!$M$2</definedName>
    <definedName name="Liste_µfu">Propu!$F$317:$F$346</definedName>
    <definedName name="Liste_fusex">Propu!$R$317:$R$346</definedName>
    <definedName name="Liste_H2O">Propu!$C$317:$D$346</definedName>
    <definedName name="Liste_minif">Propu!$L$317:$M$346</definedName>
    <definedName name="Liste_minifT">Propu!$O$317:$O$346</definedName>
    <definedName name="Liste_propu">Propu!$A$317:$A$330</definedName>
    <definedName name="Liste_RC">Propu!$I$317:$J$346</definedName>
    <definedName name="Long_ogive">Stabilito!$C$22</definedName>
    <definedName name="Long_propu">Propu!$R$2</definedName>
    <definedName name="Long_tot">Stabilito!$C$13</definedName>
    <definedName name="m">Calculs!$S$4:$S$1004</definedName>
    <definedName name="m_ail">Stabilito!$C$27</definedName>
    <definedName name="m_bal">Abaco!$F$41:$F$67</definedName>
    <definedName name="m_can">Stabilito!$D$27</definedName>
    <definedName name="m_int" localSheetId="0">Stabilito!$E$27</definedName>
    <definedName name="m_poudre">Propu!$J$2</definedName>
    <definedName name="m_prop">Abaco!$E$41:$E$67</definedName>
    <definedName name="m_satellite">Trajecto!$D$24</definedName>
    <definedName name="m_tot">Trajecto!$C$10</definedName>
    <definedName name="m_var">Abaco!$D$41:$D$67</definedName>
    <definedName name="m_vide">Trajecto!$C$24</definedName>
    <definedName name="Masse_ail">Controle!$H$63</definedName>
    <definedName name="MassePlein">Stabilito!$M$14</definedName>
    <definedName name="MasseSans">Stabilito!$P$14</definedName>
    <definedName name="MasseVide">Stabilito!$N$14</definedName>
    <definedName name="Menu_Empennage">Stabilito!$B$111:$B$112</definedName>
    <definedName name="Menu_Lang">Stabilito!$B$93:$B$94</definedName>
    <definedName name="Menu_Ogive">Stabilito!$B$107:$B$109</definedName>
    <definedName name="Menu_sat">Trajecto!$B$104:$B$105</definedName>
    <definedName name="Menu_Transitions">Stabilito!$B$114:$B$115</definedName>
    <definedName name="Menu_Type">Stabilito!$B$96:$B$100</definedName>
    <definedName name="Menu_with_motor">Stabilito!$B$103:$B$105</definedName>
    <definedName name="MpropuPlein">Propu!$H$2</definedName>
    <definedName name="MpropuVide">Propu!$L$2</definedName>
    <definedName name="MS_Cn_max">Stabilito!$I$30</definedName>
    <definedName name="MS_Cn_max0">Stabilito!#REF!</definedName>
    <definedName name="MS_Cn_min">Stabilito!$H$30</definedName>
    <definedName name="MS_Cn_min0">Stabilito!#REF!</definedName>
    <definedName name="MS_max">Stabilito!$I$29</definedName>
    <definedName name="MS_max0">Stabilito!#REF!</definedName>
    <definedName name="MS_min">Stabilito!$H$29</definedName>
    <definedName name="MS_min0">Stabilito!#REF!</definedName>
    <definedName name="n_ail">Stabilito!$C$28</definedName>
    <definedName name="n_can">Stabilito!$D$28</definedName>
    <definedName name="n_int" localSheetId="0">Stabilito!$E$28</definedName>
    <definedName name="Nb_diam">Stabilito!$M$4</definedName>
    <definedName name="Nb_sat">Trajecto!$D$23</definedName>
    <definedName name="Nom">Stabilito!$C$8</definedName>
    <definedName name="p_ail">Stabilito!$C$29</definedName>
    <definedName name="p_can">Stabilito!$D$29</definedName>
    <definedName name="p_int" localSheetId="0">Stabilito!$E$29</definedName>
    <definedName name="pas">Calculs!$A$4:$A$1004</definedName>
    <definedName name="Poids">Calculs!$T$4:$T$1004</definedName>
    <definedName name="Portee_balistique">Trajecto!$J$28</definedName>
    <definedName name="pos_x">Calculs!$J$4:$J$1004</definedName>
    <definedName name="pos_xz">Calculs!$L$4:$L$1004</definedName>
    <definedName name="pos_z">Calculs!$K$4:$K$1004</definedName>
    <definedName name="pos_z_montant">Calculs!$AE$4:$AE$1004</definedName>
    <definedName name="Poussee">Calculs!$Q$4:$Q$1004</definedName>
    <definedName name="Propu">Stabilito!$C$17</definedName>
    <definedName name="Q_ail">Stabilito!$C$32</definedName>
    <definedName name="Q_can">Stabilito!$D$32</definedName>
    <definedName name="Q_int" localSheetId="0">Stabilito!$E$32</definedName>
    <definedName name="Q_var">Abaco!$C$41:$C$67</definedName>
    <definedName name="R_rampe">Calculs!$U$4:$U$1004</definedName>
    <definedName name="Rho">Calculs!$V$4:$V$1004</definedName>
    <definedName name="Rho_moyen">Info!$E$53</definedName>
    <definedName name="S_ail">Controle!$H$64</definedName>
    <definedName name="S_para">Trajecto!$C$27</definedName>
    <definedName name="S_para_croix">Trajecto!$B$47</definedName>
    <definedName name="S_para_rond">Trajecto!$B$55</definedName>
    <definedName name="S_satellite">Trajecto!$D$27</definedName>
    <definedName name="Sref">Trajecto!$C$14</definedName>
    <definedName name="sS">Trajecto!$F$132</definedName>
    <definedName name="t">Calculs!$B$4:$B$1004</definedName>
    <definedName name="T_balistique">Trajecto!$H$28</definedName>
    <definedName name="T_ini">Trajecto!$H$40</definedName>
    <definedName name="T_para">Trajecto!$C$113</definedName>
    <definedName name="T_satellite">Trajecto!$D$26</definedName>
    <definedName name="Temps_culmi">Trajecto!$H$26</definedName>
    <definedName name="Temps_fin_propu">Propu!$X$3</definedName>
    <definedName name="Trainee">Calculs!$W$4:$W$1004</definedName>
    <definedName name="tT_fus">Trajecto!$F$133</definedName>
    <definedName name="tT_sat">Trajecto!$F$150</definedName>
    <definedName name="Type_fusee">Stabilito!$C$10</definedName>
    <definedName name="Type_masquage" localSheetId="5">Stabilito!$C$26</definedName>
    <definedName name="Type_masquage" localSheetId="0">Stabilito!$C$26</definedName>
    <definedName name="Type_propu">Propu!$V$2</definedName>
    <definedName name="V_ini">Trajecto!$K$40</definedName>
    <definedName name="V_ouv_sat">Trajecto!$K$25</definedName>
    <definedName name="V_ouverture">Trajecto!$K$27</definedName>
    <definedName name="V_para">Trajecto!$C$30</definedName>
    <definedName name="V_prop">Abaco!$K$41:$K$67</definedName>
    <definedName name="V_satellite">Trajecto!$D$30</definedName>
    <definedName name="V_vent">Trajecto!$C$29</definedName>
    <definedName name="V_vent_sat">Trajecto!$D$29</definedName>
    <definedName name="Version" localSheetId="0">Stabilito!$Q$36</definedName>
    <definedName name="Version" localSheetId="1">Trajecto!$N$35</definedName>
    <definedName name="Vit_culmi">Trajecto!$K$26</definedName>
    <definedName name="Vit_max">Trajecto!$K$24</definedName>
    <definedName name="vit_x">Calculs!$G$4:$G$1004</definedName>
    <definedName name="vit_xz">Calculs!$I$4:$I$1004</definedName>
    <definedName name="vit_z">Calculs!$H$4:$H$1004</definedName>
    <definedName name="Vsortie_de_rampe">Trajecto!$K$23</definedName>
    <definedName name="X_ail">Stabilito!$C$33</definedName>
    <definedName name="X_can">Stabilito!$D$33</definedName>
    <definedName name="X_culmi">Trajecto!$J$26</definedName>
    <definedName name="X_ini">Trajecto!$J$40</definedName>
    <definedName name="X_int" localSheetId="0">Stabilito!$E$33</definedName>
    <definedName name="X_j">Stabilito!$M$9</definedName>
    <definedName name="X_para">Trajecto!$J$27</definedName>
    <definedName name="X_r">Stabilito!$O$9</definedName>
    <definedName name="X_satellite">Trajecto!$J$25</definedName>
    <definedName name="XcgPlein">Stabilito!$M$15</definedName>
    <definedName name="XcgSans">Stabilito!$P$15</definedName>
    <definedName name="XcgVide">Stabilito!$N$15</definedName>
    <definedName name="XCp" localSheetId="0">Stabilito!$H$31</definedName>
    <definedName name="XCp0">Stabilito!$I$31</definedName>
    <definedName name="XCpa" localSheetId="0">Stabilito!$M$20</definedName>
    <definedName name="XCpai" localSheetId="0">Stabilito!$M$19</definedName>
    <definedName name="XCpai0">Stabilito!$N$19</definedName>
    <definedName name="XCpc" localSheetId="0">Stabilito!$M$21</definedName>
    <definedName name="XCpi" localSheetId="0">Stabilito!$M$22</definedName>
    <definedName name="XCpi0">Stabilito!$N$22</definedName>
    <definedName name="XCpj" localSheetId="0">Stabilito!$M$23</definedName>
    <definedName name="XCpo" localSheetId="0">Stabilito!$M$18</definedName>
    <definedName name="XCpr" localSheetId="0">Stabilito!$M$24</definedName>
    <definedName name="XpropuPlein">Propu!$N$2</definedName>
    <definedName name="XpropuRef">Stabilito!$C$18</definedName>
    <definedName name="XpropuVide">Propu!$P$2</definedName>
    <definedName name="Z_ini">Trajecto!$I$40</definedName>
    <definedName name="_xlnm.Print_Area" localSheetId="5">Abaco!$A$1:$M$35</definedName>
    <definedName name="_xlnm.Print_Area" localSheetId="2">Courbes!$A$1:$K$78</definedName>
    <definedName name="_xlnm.Print_Area" localSheetId="0">Stabilito!$A$1:$Q$37</definedName>
    <definedName name="_xlnm.Print_Area" localSheetId="1">Trajecto!$A$1:$N$35</definedName>
    <definedName name="zZ_fus">Trajecto!$F$134</definedName>
    <definedName name="zZ_sat">Trajecto!$F$151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3" i="6" l="1"/>
  <c r="C14" i="6"/>
  <c r="H6" i="7" s="1"/>
  <c r="X307" i="4"/>
  <c r="W307" i="4"/>
  <c r="V307" i="4"/>
  <c r="U307" i="4"/>
  <c r="T307" i="4"/>
  <c r="S307" i="4"/>
  <c r="R307" i="4"/>
  <c r="Q307" i="4"/>
  <c r="P307" i="4"/>
  <c r="O307" i="4"/>
  <c r="N307" i="4"/>
  <c r="M307" i="4"/>
  <c r="L307" i="4"/>
  <c r="K307" i="4"/>
  <c r="J307" i="4"/>
  <c r="I307" i="4"/>
  <c r="H307" i="4"/>
  <c r="G307" i="4"/>
  <c r="F307" i="4"/>
  <c r="E307" i="4"/>
  <c r="D307" i="4"/>
  <c r="C307" i="4"/>
  <c r="B307" i="4"/>
  <c r="J304" i="4"/>
  <c r="B304" i="4"/>
  <c r="O7" i="6"/>
  <c r="O8" i="6"/>
  <c r="M7" i="6"/>
  <c r="C19" i="6"/>
  <c r="L322" i="4"/>
  <c r="L324" i="4"/>
  <c r="L325" i="4"/>
  <c r="L326" i="4"/>
  <c r="L320" i="4"/>
  <c r="L319" i="4"/>
  <c r="L318" i="4"/>
  <c r="L317" i="4"/>
  <c r="I321" i="4"/>
  <c r="I320" i="4"/>
  <c r="I319" i="4"/>
  <c r="I318" i="4"/>
  <c r="I317" i="4"/>
  <c r="X151" i="4"/>
  <c r="W151" i="4"/>
  <c r="V151" i="4"/>
  <c r="U151" i="4"/>
  <c r="T151" i="4"/>
  <c r="S151" i="4"/>
  <c r="R151" i="4"/>
  <c r="Q151" i="4"/>
  <c r="P151" i="4"/>
  <c r="O151" i="4"/>
  <c r="N151" i="4"/>
  <c r="M151" i="4"/>
  <c r="L151" i="4"/>
  <c r="K151" i="4"/>
  <c r="J151" i="4"/>
  <c r="I151" i="4"/>
  <c r="H151" i="4"/>
  <c r="G151" i="4"/>
  <c r="F151" i="4"/>
  <c r="E151" i="4"/>
  <c r="D151" i="4"/>
  <c r="C151" i="4"/>
  <c r="B151" i="4"/>
  <c r="J148" i="4"/>
  <c r="B148" i="4"/>
  <c r="D103" i="4"/>
  <c r="E103" i="4"/>
  <c r="F103" i="4"/>
  <c r="G103" i="4"/>
  <c r="H103" i="4"/>
  <c r="I103" i="4"/>
  <c r="J103" i="4"/>
  <c r="K103" i="4"/>
  <c r="L103" i="4"/>
  <c r="M103" i="4"/>
  <c r="N103" i="4"/>
  <c r="O103" i="4"/>
  <c r="P103" i="4"/>
  <c r="Q103" i="4"/>
  <c r="R103" i="4"/>
  <c r="S103" i="4"/>
  <c r="T103" i="4"/>
  <c r="U103" i="4"/>
  <c r="V103" i="4"/>
  <c r="W103" i="4"/>
  <c r="X103" i="4"/>
  <c r="S98" i="4"/>
  <c r="T98" i="4"/>
  <c r="U98" i="4"/>
  <c r="V98" i="4"/>
  <c r="W98" i="4"/>
  <c r="X98" i="4"/>
  <c r="D98" i="4"/>
  <c r="E98" i="4"/>
  <c r="F98" i="4"/>
  <c r="G98" i="4"/>
  <c r="H98" i="4"/>
  <c r="I98" i="4"/>
  <c r="H100" i="4" s="1"/>
  <c r="J98" i="4"/>
  <c r="K98" i="4"/>
  <c r="L98" i="4"/>
  <c r="M98" i="4"/>
  <c r="N98" i="4"/>
  <c r="O98" i="4"/>
  <c r="P98" i="4"/>
  <c r="Q98" i="4"/>
  <c r="R98" i="4"/>
  <c r="C103" i="4"/>
  <c r="C98" i="4"/>
  <c r="X104" i="4"/>
  <c r="W104" i="4"/>
  <c r="V104" i="4"/>
  <c r="U104" i="4"/>
  <c r="T104" i="4"/>
  <c r="S104" i="4"/>
  <c r="R104" i="4"/>
  <c r="R105" i="4" s="1"/>
  <c r="Q104" i="4"/>
  <c r="P104" i="4"/>
  <c r="O104" i="4"/>
  <c r="N105" i="4"/>
  <c r="N104" i="4"/>
  <c r="M104" i="4"/>
  <c r="L104" i="4"/>
  <c r="K104" i="4"/>
  <c r="J104" i="4"/>
  <c r="I104" i="4"/>
  <c r="H104" i="4"/>
  <c r="G104" i="4"/>
  <c r="F104" i="4"/>
  <c r="E104" i="4"/>
  <c r="E105" i="4" s="1"/>
  <c r="D104" i="4"/>
  <c r="C104" i="4"/>
  <c r="B105" i="4" s="1"/>
  <c r="B104" i="4"/>
  <c r="L102" i="4"/>
  <c r="H102" i="4"/>
  <c r="B102" i="4"/>
  <c r="X99" i="4"/>
  <c r="W99" i="4"/>
  <c r="V99" i="4"/>
  <c r="U99" i="4"/>
  <c r="T99" i="4"/>
  <c r="S99" i="4"/>
  <c r="R100" i="4" s="1"/>
  <c r="R99" i="4"/>
  <c r="Q99" i="4"/>
  <c r="P99" i="4"/>
  <c r="O99" i="4"/>
  <c r="N99" i="4"/>
  <c r="M99" i="4"/>
  <c r="L99" i="4"/>
  <c r="K99" i="4"/>
  <c r="J99" i="4"/>
  <c r="I99" i="4"/>
  <c r="H99" i="4"/>
  <c r="G99" i="4"/>
  <c r="F99" i="4"/>
  <c r="E99" i="4"/>
  <c r="E100" i="4" s="1"/>
  <c r="D99" i="4"/>
  <c r="C99" i="4"/>
  <c r="B99" i="4"/>
  <c r="L97" i="4"/>
  <c r="H97" i="4"/>
  <c r="B97" i="4"/>
  <c r="X95" i="4"/>
  <c r="W95" i="4"/>
  <c r="V95" i="4"/>
  <c r="U95" i="4"/>
  <c r="T95" i="4"/>
  <c r="S95" i="4"/>
  <c r="R95" i="4"/>
  <c r="Q95" i="4"/>
  <c r="P95" i="4"/>
  <c r="O95" i="4"/>
  <c r="N95" i="4"/>
  <c r="M95" i="4"/>
  <c r="L95" i="4"/>
  <c r="K95" i="4"/>
  <c r="J95" i="4"/>
  <c r="I95" i="4"/>
  <c r="H95" i="4"/>
  <c r="G95" i="4"/>
  <c r="F95" i="4"/>
  <c r="E95" i="4"/>
  <c r="D95" i="4"/>
  <c r="D92" i="4" s="1"/>
  <c r="F92" i="4" s="1"/>
  <c r="C95" i="4"/>
  <c r="B95" i="4"/>
  <c r="J92" i="4"/>
  <c r="B92" i="4"/>
  <c r="O344" i="4"/>
  <c r="O343" i="4"/>
  <c r="O342" i="4"/>
  <c r="O341" i="4"/>
  <c r="Q206" i="4"/>
  <c r="P206" i="4"/>
  <c r="O206" i="4"/>
  <c r="N206" i="4"/>
  <c r="M206" i="4"/>
  <c r="L206" i="4"/>
  <c r="K206" i="4"/>
  <c r="J206" i="4"/>
  <c r="I206" i="4"/>
  <c r="H206" i="4"/>
  <c r="G206" i="4"/>
  <c r="F206" i="4"/>
  <c r="E206" i="4"/>
  <c r="D206" i="4"/>
  <c r="C206" i="4"/>
  <c r="B206" i="4"/>
  <c r="J203" i="4"/>
  <c r="B203" i="4"/>
  <c r="E5" i="7"/>
  <c r="H7" i="7"/>
  <c r="E7" i="7"/>
  <c r="E6" i="7"/>
  <c r="H9" i="7"/>
  <c r="K26" i="7"/>
  <c r="K25" i="7"/>
  <c r="K23" i="7"/>
  <c r="J26" i="7"/>
  <c r="J25" i="7"/>
  <c r="J23" i="7"/>
  <c r="G27" i="7"/>
  <c r="G26" i="7"/>
  <c r="F26" i="7"/>
  <c r="G25" i="7"/>
  <c r="F25" i="7"/>
  <c r="G24" i="7"/>
  <c r="F24" i="7"/>
  <c r="G23" i="7"/>
  <c r="F23" i="7"/>
  <c r="D27" i="7"/>
  <c r="D24" i="7"/>
  <c r="B31" i="6"/>
  <c r="B30" i="6"/>
  <c r="B29" i="6"/>
  <c r="B28" i="6"/>
  <c r="B27" i="6"/>
  <c r="B35" i="6"/>
  <c r="B34" i="6"/>
  <c r="B33" i="6"/>
  <c r="B32" i="6"/>
  <c r="U35" i="7"/>
  <c r="U34" i="7"/>
  <c r="U33" i="7"/>
  <c r="U32" i="7"/>
  <c r="U31" i="7"/>
  <c r="U30" i="7"/>
  <c r="P32" i="7"/>
  <c r="P31" i="7"/>
  <c r="Q34" i="7"/>
  <c r="P29" i="7"/>
  <c r="U20" i="7"/>
  <c r="Q17" i="7"/>
  <c r="U16" i="7"/>
  <c r="U13" i="7"/>
  <c r="Q12" i="7"/>
  <c r="U11" i="7"/>
  <c r="Q3" i="7"/>
  <c r="E17" i="7"/>
  <c r="E16" i="7"/>
  <c r="E15" i="7"/>
  <c r="E13" i="7"/>
  <c r="B52" i="1"/>
  <c r="B50" i="1"/>
  <c r="B55" i="1"/>
  <c r="D27" i="1"/>
  <c r="I69" i="7" s="1"/>
  <c r="D24" i="1"/>
  <c r="E29" i="1" s="1"/>
  <c r="C18" i="1"/>
  <c r="H8" i="7" s="1"/>
  <c r="C161" i="6"/>
  <c r="C162" i="6"/>
  <c r="C160" i="6"/>
  <c r="C159" i="6"/>
  <c r="C158" i="6"/>
  <c r="C25" i="6"/>
  <c r="M21" i="6"/>
  <c r="C140" i="6"/>
  <c r="C18" i="6"/>
  <c r="D25" i="7" s="1"/>
  <c r="F108" i="1"/>
  <c r="C113" i="1" s="1"/>
  <c r="C152" i="1"/>
  <c r="C150" i="1"/>
  <c r="C148" i="1"/>
  <c r="N33" i="1"/>
  <c r="C131" i="1"/>
  <c r="B25" i="1"/>
  <c r="J30" i="6"/>
  <c r="E191" i="6" s="1"/>
  <c r="G30" i="6"/>
  <c r="E182" i="6" s="1"/>
  <c r="J29" i="6"/>
  <c r="B188" i="6" s="1"/>
  <c r="G29" i="6"/>
  <c r="J28" i="6"/>
  <c r="C185" i="6" s="1"/>
  <c r="J27" i="6"/>
  <c r="G28" i="6"/>
  <c r="G27" i="6"/>
  <c r="W35" i="6"/>
  <c r="B100" i="6"/>
  <c r="B97" i="6"/>
  <c r="B98" i="6"/>
  <c r="Q241" i="4"/>
  <c r="P241" i="4"/>
  <c r="O241" i="4"/>
  <c r="N241" i="4"/>
  <c r="M241" i="4"/>
  <c r="L241" i="4"/>
  <c r="K241" i="4"/>
  <c r="J241" i="4"/>
  <c r="I241" i="4"/>
  <c r="H241" i="4"/>
  <c r="G241" i="4"/>
  <c r="F241" i="4"/>
  <c r="E241" i="4"/>
  <c r="D241" i="4"/>
  <c r="C241" i="4"/>
  <c r="B241" i="4"/>
  <c r="S240" i="4"/>
  <c r="T240" i="4" s="1"/>
  <c r="U240" i="4" s="1"/>
  <c r="V240" i="4" s="1"/>
  <c r="W240" i="4" s="1"/>
  <c r="S239" i="4"/>
  <c r="T239" i="4" s="1"/>
  <c r="J238" i="4"/>
  <c r="B238" i="4"/>
  <c r="O321" i="4"/>
  <c r="O320" i="4"/>
  <c r="S131" i="4"/>
  <c r="R131" i="4"/>
  <c r="Q131" i="4"/>
  <c r="P131" i="4"/>
  <c r="O131" i="4"/>
  <c r="N131" i="4"/>
  <c r="M131" i="4"/>
  <c r="L131" i="4"/>
  <c r="K131" i="4"/>
  <c r="J131" i="4"/>
  <c r="I131" i="4"/>
  <c r="H131" i="4"/>
  <c r="G131" i="4"/>
  <c r="F131" i="4"/>
  <c r="E131" i="4"/>
  <c r="D131" i="4"/>
  <c r="C131" i="4"/>
  <c r="B131" i="4"/>
  <c r="V130" i="4"/>
  <c r="U131" i="4" s="1"/>
  <c r="T131" i="4"/>
  <c r="J128" i="4"/>
  <c r="B128" i="4"/>
  <c r="R126" i="4"/>
  <c r="Q126" i="4"/>
  <c r="P126" i="4"/>
  <c r="O126" i="4"/>
  <c r="N126" i="4"/>
  <c r="M126" i="4"/>
  <c r="L126" i="4"/>
  <c r="K126" i="4"/>
  <c r="J126" i="4"/>
  <c r="I126" i="4"/>
  <c r="H126" i="4"/>
  <c r="G126" i="4"/>
  <c r="F126" i="4"/>
  <c r="E126" i="4"/>
  <c r="D126" i="4"/>
  <c r="C126" i="4"/>
  <c r="B126" i="4"/>
  <c r="T125" i="4"/>
  <c r="S126" i="4" s="1"/>
  <c r="J123" i="4"/>
  <c r="B123" i="4"/>
  <c r="O340" i="4"/>
  <c r="T256" i="4"/>
  <c r="S256" i="4"/>
  <c r="R256" i="4"/>
  <c r="Q256" i="4"/>
  <c r="P256" i="4"/>
  <c r="O256" i="4"/>
  <c r="N256" i="4"/>
  <c r="M256" i="4"/>
  <c r="L256" i="4"/>
  <c r="K256" i="4"/>
  <c r="J256" i="4"/>
  <c r="I256" i="4"/>
  <c r="H256" i="4"/>
  <c r="G256" i="4"/>
  <c r="F256" i="4"/>
  <c r="E256" i="4"/>
  <c r="D256" i="4"/>
  <c r="C256" i="4"/>
  <c r="B256" i="4"/>
  <c r="V255" i="4"/>
  <c r="W255" i="4" s="1"/>
  <c r="V254" i="4"/>
  <c r="W254" i="4" s="1"/>
  <c r="X254" i="4" s="1"/>
  <c r="J253" i="4"/>
  <c r="B253" i="4"/>
  <c r="O337" i="4"/>
  <c r="Q236" i="4"/>
  <c r="P236" i="4"/>
  <c r="O236" i="4"/>
  <c r="N236" i="4"/>
  <c r="M236" i="4"/>
  <c r="L236" i="4"/>
  <c r="K236" i="4"/>
  <c r="J236" i="4"/>
  <c r="I236" i="4"/>
  <c r="H236" i="4"/>
  <c r="G236" i="4"/>
  <c r="F236" i="4"/>
  <c r="E236" i="4"/>
  <c r="D236" i="4"/>
  <c r="C236" i="4"/>
  <c r="B236" i="4"/>
  <c r="S235" i="4"/>
  <c r="T235" i="4" s="1"/>
  <c r="S234" i="4"/>
  <c r="R236" i="4" s="1"/>
  <c r="J233" i="4"/>
  <c r="B233" i="4"/>
  <c r="O346" i="4"/>
  <c r="Q211" i="4"/>
  <c r="P211" i="4"/>
  <c r="O211" i="4"/>
  <c r="N211" i="4"/>
  <c r="M211" i="4"/>
  <c r="L211" i="4"/>
  <c r="K211" i="4"/>
  <c r="J211" i="4"/>
  <c r="I211" i="4"/>
  <c r="H211" i="4"/>
  <c r="G211" i="4"/>
  <c r="F211" i="4"/>
  <c r="E211" i="4"/>
  <c r="D211" i="4"/>
  <c r="C211" i="4"/>
  <c r="B211" i="4"/>
  <c r="S211" i="4"/>
  <c r="R211" i="4"/>
  <c r="J208" i="4"/>
  <c r="B208" i="4"/>
  <c r="O336" i="4"/>
  <c r="O335" i="4"/>
  <c r="O334" i="4"/>
  <c r="O333" i="4"/>
  <c r="O338" i="4"/>
  <c r="O339" i="4"/>
  <c r="O345" i="4"/>
  <c r="O323" i="4"/>
  <c r="O324" i="4"/>
  <c r="O325" i="4"/>
  <c r="O326" i="4"/>
  <c r="O327" i="4"/>
  <c r="O319" i="4"/>
  <c r="O322" i="4"/>
  <c r="O328" i="4"/>
  <c r="O329" i="4"/>
  <c r="O330" i="4"/>
  <c r="O331" i="4"/>
  <c r="O332" i="4"/>
  <c r="O318" i="4"/>
  <c r="O317" i="4"/>
  <c r="U256" i="4"/>
  <c r="X231" i="4"/>
  <c r="W231" i="4"/>
  <c r="V231" i="4"/>
  <c r="U231" i="4"/>
  <c r="T231" i="4"/>
  <c r="S231" i="4"/>
  <c r="R231" i="4"/>
  <c r="Q231" i="4"/>
  <c r="P231" i="4"/>
  <c r="O231" i="4"/>
  <c r="N231" i="4"/>
  <c r="M231" i="4"/>
  <c r="L231" i="4"/>
  <c r="K231" i="4"/>
  <c r="J231" i="4"/>
  <c r="I231" i="4"/>
  <c r="H231" i="4"/>
  <c r="G231" i="4"/>
  <c r="F231" i="4"/>
  <c r="E231" i="4"/>
  <c r="D231" i="4"/>
  <c r="D228" i="4" s="1"/>
  <c r="F228" i="4" s="1"/>
  <c r="C231" i="4"/>
  <c r="B231" i="4"/>
  <c r="J228" i="4"/>
  <c r="B228" i="4"/>
  <c r="Q226" i="4"/>
  <c r="P226" i="4"/>
  <c r="O226" i="4"/>
  <c r="N226" i="4"/>
  <c r="M226" i="4"/>
  <c r="L226" i="4"/>
  <c r="K226" i="4"/>
  <c r="J226" i="4"/>
  <c r="I226" i="4"/>
  <c r="H226" i="4"/>
  <c r="G226" i="4"/>
  <c r="F226" i="4"/>
  <c r="E226" i="4"/>
  <c r="D226" i="4"/>
  <c r="C226" i="4"/>
  <c r="B226" i="4"/>
  <c r="T225" i="4"/>
  <c r="U225" i="4" s="1"/>
  <c r="R226" i="4"/>
  <c r="T224" i="4"/>
  <c r="U224" i="4" s="1"/>
  <c r="V224" i="4" s="1"/>
  <c r="W224" i="4" s="1"/>
  <c r="J223" i="4"/>
  <c r="B223" i="4"/>
  <c r="V249" i="4"/>
  <c r="W249" i="4" s="1"/>
  <c r="W244" i="4"/>
  <c r="Q251" i="4"/>
  <c r="P251" i="4"/>
  <c r="O251" i="4"/>
  <c r="N251" i="4"/>
  <c r="M251" i="4"/>
  <c r="L251" i="4"/>
  <c r="K251" i="4"/>
  <c r="J251" i="4"/>
  <c r="I251" i="4"/>
  <c r="H251" i="4"/>
  <c r="G251" i="4"/>
  <c r="F251" i="4"/>
  <c r="E251" i="4"/>
  <c r="D251" i="4"/>
  <c r="C251" i="4"/>
  <c r="B251" i="4"/>
  <c r="J248" i="4"/>
  <c r="B248" i="4"/>
  <c r="J246" i="4"/>
  <c r="I246" i="4"/>
  <c r="H246" i="4"/>
  <c r="G246" i="4"/>
  <c r="F246" i="4"/>
  <c r="E246" i="4"/>
  <c r="D246" i="4"/>
  <c r="C246" i="4"/>
  <c r="B246" i="4"/>
  <c r="J243" i="4"/>
  <c r="B243" i="4"/>
  <c r="L194" i="4"/>
  <c r="M194" i="4"/>
  <c r="L196" i="4" s="1"/>
  <c r="R334" i="4"/>
  <c r="R335" i="4"/>
  <c r="R336" i="4"/>
  <c r="R337" i="4"/>
  <c r="R338" i="4"/>
  <c r="R339" i="4"/>
  <c r="S195" i="4"/>
  <c r="T195" i="4" s="1"/>
  <c r="U195" i="4" s="1"/>
  <c r="V195" i="4" s="1"/>
  <c r="W195" i="4" s="1"/>
  <c r="X195" i="4" s="1"/>
  <c r="X196" i="4" s="1"/>
  <c r="J196" i="4"/>
  <c r="I196" i="4"/>
  <c r="H196" i="4"/>
  <c r="G196" i="4"/>
  <c r="F196" i="4"/>
  <c r="E196" i="4"/>
  <c r="D196" i="4"/>
  <c r="C196" i="4"/>
  <c r="B196" i="4"/>
  <c r="J193" i="4"/>
  <c r="B193" i="4"/>
  <c r="S200" i="4"/>
  <c r="T200" i="4" s="1"/>
  <c r="S199" i="4"/>
  <c r="T199" i="4" s="1"/>
  <c r="U199" i="4" s="1"/>
  <c r="V199" i="4" s="1"/>
  <c r="W199" i="4" s="1"/>
  <c r="X199" i="4" s="1"/>
  <c r="Q201" i="4"/>
  <c r="P201" i="4"/>
  <c r="O201" i="4"/>
  <c r="N201" i="4"/>
  <c r="M201" i="4"/>
  <c r="L201" i="4"/>
  <c r="K201" i="4"/>
  <c r="J201" i="4"/>
  <c r="I201" i="4"/>
  <c r="H201" i="4"/>
  <c r="G201" i="4"/>
  <c r="F201" i="4"/>
  <c r="E201" i="4"/>
  <c r="D201" i="4"/>
  <c r="C201" i="4"/>
  <c r="B201" i="4"/>
  <c r="J198" i="4"/>
  <c r="B198" i="4"/>
  <c r="B213" i="4"/>
  <c r="B216" i="4"/>
  <c r="C216" i="4"/>
  <c r="D216" i="4"/>
  <c r="E216" i="4"/>
  <c r="F216" i="4"/>
  <c r="G216" i="4"/>
  <c r="H216" i="4"/>
  <c r="I216" i="4"/>
  <c r="J216" i="4"/>
  <c r="K216" i="4"/>
  <c r="L216" i="4"/>
  <c r="M216" i="4"/>
  <c r="N216" i="4"/>
  <c r="O216" i="4"/>
  <c r="P216" i="4"/>
  <c r="Q216" i="4"/>
  <c r="S215" i="4"/>
  <c r="T215" i="4" s="1"/>
  <c r="S214" i="4"/>
  <c r="J213" i="4"/>
  <c r="A2" i="4"/>
  <c r="B133" i="4"/>
  <c r="B4" i="3"/>
  <c r="AC4" i="3" s="1"/>
  <c r="B136" i="4"/>
  <c r="C136" i="4"/>
  <c r="D136" i="4"/>
  <c r="E136" i="4"/>
  <c r="F136" i="4"/>
  <c r="G136" i="4"/>
  <c r="H136" i="4"/>
  <c r="I136" i="4"/>
  <c r="J136" i="4"/>
  <c r="K136" i="4"/>
  <c r="L136" i="4"/>
  <c r="M136" i="4"/>
  <c r="N136" i="4"/>
  <c r="O136" i="4"/>
  <c r="P136" i="4"/>
  <c r="Q136" i="4"/>
  <c r="R136" i="4"/>
  <c r="S136" i="4"/>
  <c r="T136" i="4"/>
  <c r="U136" i="4"/>
  <c r="V136" i="4"/>
  <c r="W136" i="4"/>
  <c r="X136" i="4"/>
  <c r="J133" i="4"/>
  <c r="N4" i="3"/>
  <c r="M4" i="3" s="1"/>
  <c r="H4" i="3" s="1"/>
  <c r="J4" i="3"/>
  <c r="L4" i="3" s="1"/>
  <c r="K4" i="3"/>
  <c r="V4" i="3" s="1"/>
  <c r="I4" i="3"/>
  <c r="B113" i="4"/>
  <c r="C35" i="6"/>
  <c r="M18" i="6"/>
  <c r="C184" i="6"/>
  <c r="B116" i="4"/>
  <c r="C116" i="4"/>
  <c r="D116" i="4"/>
  <c r="E116" i="4"/>
  <c r="F116" i="4"/>
  <c r="G116" i="4"/>
  <c r="H116" i="4"/>
  <c r="I116" i="4"/>
  <c r="J116" i="4"/>
  <c r="K116" i="4"/>
  <c r="L116" i="4"/>
  <c r="M116" i="4"/>
  <c r="N116" i="4"/>
  <c r="O116" i="4"/>
  <c r="P116" i="4"/>
  <c r="Q116" i="4"/>
  <c r="R116" i="4"/>
  <c r="S116" i="4"/>
  <c r="U115" i="4"/>
  <c r="T116" i="4" s="1"/>
  <c r="J113" i="4"/>
  <c r="B166" i="4"/>
  <c r="C166" i="4"/>
  <c r="D166" i="4"/>
  <c r="E166" i="4"/>
  <c r="F166" i="4"/>
  <c r="G166" i="4"/>
  <c r="H166" i="4"/>
  <c r="I166" i="4"/>
  <c r="J166" i="4"/>
  <c r="K166" i="4"/>
  <c r="L166" i="4"/>
  <c r="M166" i="4"/>
  <c r="N166" i="4"/>
  <c r="O166" i="4"/>
  <c r="P166" i="4"/>
  <c r="Q166" i="4"/>
  <c r="R166" i="4"/>
  <c r="T165" i="4"/>
  <c r="S166" i="4" s="1"/>
  <c r="X164" i="4"/>
  <c r="L163" i="4"/>
  <c r="J163" i="4" s="1"/>
  <c r="B47" i="1"/>
  <c r="C27" i="1" s="1"/>
  <c r="D29" i="1"/>
  <c r="B29" i="4"/>
  <c r="C29" i="4"/>
  <c r="D29" i="4"/>
  <c r="E29" i="4"/>
  <c r="F29" i="4"/>
  <c r="G29" i="4"/>
  <c r="H29" i="4"/>
  <c r="I29" i="4"/>
  <c r="J29" i="4"/>
  <c r="K29" i="4"/>
  <c r="L29" i="4"/>
  <c r="M29" i="4"/>
  <c r="N29" i="4"/>
  <c r="O29" i="4"/>
  <c r="P29" i="4"/>
  <c r="Q29" i="4"/>
  <c r="R29" i="4"/>
  <c r="S29" i="4"/>
  <c r="T29" i="4"/>
  <c r="U29" i="4"/>
  <c r="V29" i="4"/>
  <c r="W29" i="4"/>
  <c r="X29" i="4"/>
  <c r="J26" i="4"/>
  <c r="B34" i="4"/>
  <c r="C34" i="4"/>
  <c r="D34" i="4"/>
  <c r="E34" i="4"/>
  <c r="F34" i="4"/>
  <c r="G34" i="4"/>
  <c r="H34" i="4"/>
  <c r="D31" i="4" s="1"/>
  <c r="F31" i="4" s="1"/>
  <c r="I34" i="4"/>
  <c r="J34" i="4"/>
  <c r="K34" i="4"/>
  <c r="L34" i="4"/>
  <c r="M34" i="4"/>
  <c r="N34" i="4"/>
  <c r="O34" i="4"/>
  <c r="P34" i="4"/>
  <c r="Q34" i="4"/>
  <c r="R34" i="4"/>
  <c r="S34" i="4"/>
  <c r="T34" i="4"/>
  <c r="U34" i="4"/>
  <c r="V34" i="4"/>
  <c r="W34" i="4"/>
  <c r="X34" i="4"/>
  <c r="J31" i="4"/>
  <c r="B39" i="4"/>
  <c r="C39" i="4"/>
  <c r="D39" i="4"/>
  <c r="E39" i="4"/>
  <c r="F39" i="4"/>
  <c r="G39" i="4"/>
  <c r="H39" i="4"/>
  <c r="I39" i="4"/>
  <c r="J39" i="4"/>
  <c r="K39" i="4"/>
  <c r="L39" i="4"/>
  <c r="M39" i="4"/>
  <c r="N39" i="4"/>
  <c r="O39" i="4"/>
  <c r="P39" i="4"/>
  <c r="D36" i="4" s="1"/>
  <c r="F36" i="4" s="1"/>
  <c r="Q39" i="4"/>
  <c r="R39" i="4"/>
  <c r="S39" i="4"/>
  <c r="T39" i="4"/>
  <c r="U39" i="4"/>
  <c r="V39" i="4"/>
  <c r="W39" i="4"/>
  <c r="X39" i="4"/>
  <c r="J36" i="4"/>
  <c r="B44" i="4"/>
  <c r="C44" i="4"/>
  <c r="D44" i="4"/>
  <c r="E44" i="4"/>
  <c r="F44" i="4"/>
  <c r="G44" i="4"/>
  <c r="H44" i="4"/>
  <c r="I44" i="4"/>
  <c r="J44" i="4"/>
  <c r="K44" i="4"/>
  <c r="L44" i="4"/>
  <c r="M44" i="4"/>
  <c r="N44" i="4"/>
  <c r="O44" i="4"/>
  <c r="P44" i="4"/>
  <c r="Q44" i="4"/>
  <c r="R44" i="4"/>
  <c r="S44" i="4"/>
  <c r="T44" i="4"/>
  <c r="U44" i="4"/>
  <c r="V44" i="4"/>
  <c r="W44" i="4"/>
  <c r="X44" i="4"/>
  <c r="J41" i="4"/>
  <c r="B49" i="4"/>
  <c r="C49" i="4"/>
  <c r="D49" i="4"/>
  <c r="E49" i="4"/>
  <c r="F49" i="4"/>
  <c r="G49" i="4"/>
  <c r="H49" i="4"/>
  <c r="I49" i="4"/>
  <c r="J49" i="4"/>
  <c r="K49" i="4"/>
  <c r="L49" i="4"/>
  <c r="M49" i="4"/>
  <c r="N49" i="4"/>
  <c r="O49" i="4"/>
  <c r="P49" i="4"/>
  <c r="Q49" i="4"/>
  <c r="R49" i="4"/>
  <c r="S49" i="4"/>
  <c r="T49" i="4"/>
  <c r="U49" i="4"/>
  <c r="V49" i="4"/>
  <c r="W49" i="4"/>
  <c r="X49" i="4"/>
  <c r="J46" i="4"/>
  <c r="B54" i="4"/>
  <c r="D51" i="4" s="1"/>
  <c r="F51" i="4" s="1"/>
  <c r="C54" i="4"/>
  <c r="D54" i="4"/>
  <c r="E54" i="4"/>
  <c r="F54" i="4"/>
  <c r="G54" i="4"/>
  <c r="H54" i="4"/>
  <c r="I54" i="4"/>
  <c r="J54" i="4"/>
  <c r="K54" i="4"/>
  <c r="L54" i="4"/>
  <c r="M54" i="4"/>
  <c r="N54" i="4"/>
  <c r="O54" i="4"/>
  <c r="P54" i="4"/>
  <c r="Q54" i="4"/>
  <c r="R54" i="4"/>
  <c r="S54" i="4"/>
  <c r="T54" i="4"/>
  <c r="U54" i="4"/>
  <c r="V54" i="4"/>
  <c r="W54" i="4"/>
  <c r="X54" i="4"/>
  <c r="J51" i="4"/>
  <c r="B59" i="4"/>
  <c r="C59" i="4"/>
  <c r="D59" i="4"/>
  <c r="E59" i="4"/>
  <c r="F59" i="4"/>
  <c r="G59" i="4"/>
  <c r="H59" i="4"/>
  <c r="I59" i="4"/>
  <c r="J59" i="4"/>
  <c r="K59" i="4"/>
  <c r="L59" i="4"/>
  <c r="M59" i="4"/>
  <c r="N59" i="4"/>
  <c r="O59" i="4"/>
  <c r="P59" i="4"/>
  <c r="D56" i="4" s="1"/>
  <c r="F56" i="4" s="1"/>
  <c r="Q59" i="4"/>
  <c r="R59" i="4"/>
  <c r="S59" i="4"/>
  <c r="T59" i="4"/>
  <c r="U59" i="4"/>
  <c r="V59" i="4"/>
  <c r="W59" i="4"/>
  <c r="X59" i="4"/>
  <c r="J56" i="4"/>
  <c r="B64" i="4"/>
  <c r="C64" i="4"/>
  <c r="D64" i="4"/>
  <c r="E64" i="4"/>
  <c r="F64" i="4"/>
  <c r="G64" i="4"/>
  <c r="H64" i="4"/>
  <c r="I64" i="4"/>
  <c r="J64" i="4"/>
  <c r="K64" i="4"/>
  <c r="L64" i="4"/>
  <c r="M64" i="4"/>
  <c r="N64" i="4"/>
  <c r="O64" i="4"/>
  <c r="P64" i="4"/>
  <c r="Q64" i="4"/>
  <c r="R64" i="4"/>
  <c r="S64" i="4"/>
  <c r="T64" i="4"/>
  <c r="U64" i="4"/>
  <c r="V64" i="4"/>
  <c r="W64" i="4"/>
  <c r="X64" i="4"/>
  <c r="J61" i="4"/>
  <c r="B70" i="4"/>
  <c r="C70" i="4"/>
  <c r="D70" i="4"/>
  <c r="E70" i="4"/>
  <c r="F70" i="4"/>
  <c r="G70" i="4"/>
  <c r="H70" i="4"/>
  <c r="I70" i="4"/>
  <c r="J70" i="4"/>
  <c r="K70" i="4"/>
  <c r="L70" i="4"/>
  <c r="M70" i="4"/>
  <c r="N70" i="4"/>
  <c r="O70" i="4"/>
  <c r="P70" i="4"/>
  <c r="Q70" i="4"/>
  <c r="R70" i="4"/>
  <c r="S70" i="4"/>
  <c r="T70" i="4"/>
  <c r="U70" i="4"/>
  <c r="V70" i="4"/>
  <c r="W70" i="4"/>
  <c r="X70" i="4"/>
  <c r="J67" i="4"/>
  <c r="B75" i="4"/>
  <c r="C75" i="4"/>
  <c r="D75" i="4"/>
  <c r="E75" i="4"/>
  <c r="F75" i="4"/>
  <c r="G75" i="4"/>
  <c r="H75" i="4"/>
  <c r="D72" i="4" s="1"/>
  <c r="F72" i="4" s="1"/>
  <c r="I75" i="4"/>
  <c r="J75" i="4"/>
  <c r="K75" i="4"/>
  <c r="L75" i="4"/>
  <c r="M75" i="4"/>
  <c r="N75" i="4"/>
  <c r="O75" i="4"/>
  <c r="P75" i="4"/>
  <c r="Q75" i="4"/>
  <c r="R75" i="4"/>
  <c r="S75" i="4"/>
  <c r="T75" i="4"/>
  <c r="U75" i="4"/>
  <c r="V75" i="4"/>
  <c r="W75" i="4"/>
  <c r="X75" i="4"/>
  <c r="J72" i="4"/>
  <c r="B80" i="4"/>
  <c r="C80" i="4"/>
  <c r="D80" i="4"/>
  <c r="E80" i="4"/>
  <c r="F80" i="4"/>
  <c r="D77" i="4" s="1"/>
  <c r="F77" i="4" s="1"/>
  <c r="G80" i="4"/>
  <c r="H80" i="4"/>
  <c r="I80" i="4"/>
  <c r="J80" i="4"/>
  <c r="K80" i="4"/>
  <c r="L80" i="4"/>
  <c r="M80" i="4"/>
  <c r="N80" i="4"/>
  <c r="O80" i="4"/>
  <c r="P80" i="4"/>
  <c r="Q80" i="4"/>
  <c r="R80" i="4"/>
  <c r="S80" i="4"/>
  <c r="T80" i="4"/>
  <c r="U80" i="4"/>
  <c r="V80" i="4"/>
  <c r="W80" i="4"/>
  <c r="X80" i="4"/>
  <c r="J77" i="4"/>
  <c r="C84" i="4"/>
  <c r="B84" i="4"/>
  <c r="D84" i="4"/>
  <c r="E84" i="4"/>
  <c r="D85" i="4" s="1"/>
  <c r="F84" i="4"/>
  <c r="G84" i="4"/>
  <c r="F85" i="4" s="1"/>
  <c r="H84" i="4"/>
  <c r="G85" i="4" s="1"/>
  <c r="I84" i="4"/>
  <c r="H85" i="4" s="1"/>
  <c r="J84" i="4"/>
  <c r="K84" i="4"/>
  <c r="K85" i="4" s="1"/>
  <c r="L84" i="4"/>
  <c r="M84" i="4"/>
  <c r="N84" i="4"/>
  <c r="O84" i="4"/>
  <c r="N85" i="4" s="1"/>
  <c r="P84" i="4"/>
  <c r="Q84" i="4"/>
  <c r="R84" i="4"/>
  <c r="S84" i="4"/>
  <c r="S85" i="4" s="1"/>
  <c r="T84" i="4"/>
  <c r="U84" i="4"/>
  <c r="V84" i="4"/>
  <c r="W84" i="4"/>
  <c r="V85" i="4" s="1"/>
  <c r="X84" i="4"/>
  <c r="W85" i="4" s="1"/>
  <c r="H82" i="4"/>
  <c r="L82" i="4"/>
  <c r="C89" i="4"/>
  <c r="C90" i="4" s="1"/>
  <c r="B89" i="4"/>
  <c r="D89" i="4"/>
  <c r="E89" i="4"/>
  <c r="F89" i="4"/>
  <c r="F90" i="4" s="1"/>
  <c r="G89" i="4"/>
  <c r="H89" i="4"/>
  <c r="G90" i="4" s="1"/>
  <c r="I89" i="4"/>
  <c r="J89" i="4"/>
  <c r="J90" i="4" s="1"/>
  <c r="K89" i="4"/>
  <c r="L89" i="4"/>
  <c r="M89" i="4"/>
  <c r="N89" i="4"/>
  <c r="O89" i="4"/>
  <c r="P89" i="4"/>
  <c r="O90" i="4" s="1"/>
  <c r="Q89" i="4"/>
  <c r="R89" i="4"/>
  <c r="Q90" i="4" s="1"/>
  <c r="S89" i="4"/>
  <c r="T89" i="4"/>
  <c r="U89" i="4"/>
  <c r="T90" i="4" s="1"/>
  <c r="V89" i="4"/>
  <c r="W89" i="4"/>
  <c r="X89" i="4"/>
  <c r="X90" i="4" s="1"/>
  <c r="H87" i="4"/>
  <c r="L87" i="4"/>
  <c r="B111" i="4"/>
  <c r="C111" i="4"/>
  <c r="D111" i="4"/>
  <c r="E111" i="4"/>
  <c r="F111" i="4"/>
  <c r="G111" i="4"/>
  <c r="H111" i="4"/>
  <c r="I111" i="4"/>
  <c r="J111" i="4"/>
  <c r="K111" i="4"/>
  <c r="L111" i="4"/>
  <c r="M111" i="4"/>
  <c r="N111" i="4"/>
  <c r="O111" i="4"/>
  <c r="P111" i="4"/>
  <c r="Q111" i="4"/>
  <c r="R111" i="4"/>
  <c r="T110" i="4"/>
  <c r="S111" i="4" s="1"/>
  <c r="J108" i="4"/>
  <c r="B121" i="4"/>
  <c r="C121" i="4"/>
  <c r="D121" i="4"/>
  <c r="E121" i="4"/>
  <c r="F121" i="4"/>
  <c r="G121" i="4"/>
  <c r="H121" i="4"/>
  <c r="I121" i="4"/>
  <c r="J121" i="4"/>
  <c r="K121" i="4"/>
  <c r="L121" i="4"/>
  <c r="M121" i="4"/>
  <c r="N121" i="4"/>
  <c r="O121" i="4"/>
  <c r="P121" i="4"/>
  <c r="Q121" i="4"/>
  <c r="R121" i="4"/>
  <c r="T120" i="4"/>
  <c r="S121" i="4" s="1"/>
  <c r="J118" i="4"/>
  <c r="B141" i="4"/>
  <c r="C141" i="4"/>
  <c r="D141" i="4"/>
  <c r="E141" i="4"/>
  <c r="F141" i="4"/>
  <c r="G141" i="4"/>
  <c r="H141" i="4"/>
  <c r="I141" i="4"/>
  <c r="J141" i="4"/>
  <c r="K141" i="4"/>
  <c r="L141" i="4"/>
  <c r="M141" i="4"/>
  <c r="N141" i="4"/>
  <c r="O141" i="4"/>
  <c r="P141" i="4"/>
  <c r="D138" i="4" s="1"/>
  <c r="F138" i="4" s="1"/>
  <c r="Q141" i="4"/>
  <c r="R141" i="4"/>
  <c r="S141" i="4"/>
  <c r="T141" i="4"/>
  <c r="U141" i="4"/>
  <c r="V141" i="4"/>
  <c r="W141" i="4"/>
  <c r="X141" i="4"/>
  <c r="J138" i="4"/>
  <c r="B146" i="4"/>
  <c r="C146" i="4"/>
  <c r="D146" i="4"/>
  <c r="E146" i="4"/>
  <c r="F146" i="4"/>
  <c r="G146" i="4"/>
  <c r="H146" i="4"/>
  <c r="I146" i="4"/>
  <c r="J146" i="4"/>
  <c r="K146" i="4"/>
  <c r="L146" i="4"/>
  <c r="M146" i="4"/>
  <c r="N146" i="4"/>
  <c r="O146" i="4"/>
  <c r="P146" i="4"/>
  <c r="Q146" i="4"/>
  <c r="R146" i="4"/>
  <c r="S146" i="4"/>
  <c r="T146" i="4"/>
  <c r="U146" i="4"/>
  <c r="V146" i="4"/>
  <c r="W146" i="4"/>
  <c r="X146" i="4"/>
  <c r="J143" i="4"/>
  <c r="B156" i="4"/>
  <c r="C156" i="4"/>
  <c r="D156" i="4"/>
  <c r="E156" i="4"/>
  <c r="F156" i="4"/>
  <c r="G156" i="4"/>
  <c r="H156" i="4"/>
  <c r="I156" i="4"/>
  <c r="J156" i="4"/>
  <c r="K156" i="4"/>
  <c r="L156" i="4"/>
  <c r="M156" i="4"/>
  <c r="N156" i="4"/>
  <c r="O156" i="4"/>
  <c r="P156" i="4"/>
  <c r="D153" i="4" s="1"/>
  <c r="F153" i="4" s="1"/>
  <c r="Q156" i="4"/>
  <c r="R156" i="4"/>
  <c r="S156" i="4"/>
  <c r="T156" i="4"/>
  <c r="U156" i="4"/>
  <c r="V156" i="4"/>
  <c r="W156" i="4"/>
  <c r="X156" i="4"/>
  <c r="J153" i="4"/>
  <c r="B161" i="4"/>
  <c r="C161" i="4"/>
  <c r="D161" i="4"/>
  <c r="E161" i="4"/>
  <c r="F161" i="4"/>
  <c r="G161" i="4"/>
  <c r="H161" i="4"/>
  <c r="I161" i="4"/>
  <c r="J161" i="4"/>
  <c r="K161" i="4"/>
  <c r="L161" i="4"/>
  <c r="M161" i="4"/>
  <c r="N161" i="4"/>
  <c r="O161" i="4"/>
  <c r="P161" i="4"/>
  <c r="Q161" i="4"/>
  <c r="R161" i="4"/>
  <c r="S161" i="4"/>
  <c r="T161" i="4"/>
  <c r="U161" i="4"/>
  <c r="V161" i="4"/>
  <c r="W161" i="4"/>
  <c r="X161" i="4"/>
  <c r="J158" i="4"/>
  <c r="B171" i="4"/>
  <c r="C171" i="4"/>
  <c r="D171" i="4"/>
  <c r="E171" i="4"/>
  <c r="F171" i="4"/>
  <c r="G171" i="4"/>
  <c r="H171" i="4"/>
  <c r="I171" i="4"/>
  <c r="J171" i="4"/>
  <c r="K171" i="4"/>
  <c r="L171" i="4"/>
  <c r="M171" i="4"/>
  <c r="N171" i="4"/>
  <c r="O171" i="4"/>
  <c r="P171" i="4"/>
  <c r="Q171" i="4"/>
  <c r="R171" i="4"/>
  <c r="S171" i="4"/>
  <c r="T171" i="4"/>
  <c r="U171" i="4"/>
  <c r="V171" i="4"/>
  <c r="W171" i="4"/>
  <c r="X171" i="4"/>
  <c r="J168" i="4"/>
  <c r="B176" i="4"/>
  <c r="D173" i="4" s="1"/>
  <c r="F173" i="4" s="1"/>
  <c r="C176" i="4"/>
  <c r="D176" i="4"/>
  <c r="E176" i="4"/>
  <c r="F176" i="4"/>
  <c r="G176" i="4"/>
  <c r="H176" i="4"/>
  <c r="I176" i="4"/>
  <c r="J176" i="4"/>
  <c r="K176" i="4"/>
  <c r="L176" i="4"/>
  <c r="M176" i="4"/>
  <c r="N176" i="4"/>
  <c r="O176" i="4"/>
  <c r="P176" i="4"/>
  <c r="Q176" i="4"/>
  <c r="R176" i="4"/>
  <c r="S176" i="4"/>
  <c r="T176" i="4"/>
  <c r="U176" i="4"/>
  <c r="V176" i="4"/>
  <c r="W176" i="4"/>
  <c r="X176" i="4"/>
  <c r="J173" i="4"/>
  <c r="B181" i="4"/>
  <c r="C181" i="4"/>
  <c r="D181" i="4"/>
  <c r="E181" i="4"/>
  <c r="F181" i="4"/>
  <c r="G181" i="4"/>
  <c r="H181" i="4"/>
  <c r="I181" i="4"/>
  <c r="J181" i="4"/>
  <c r="K181" i="4"/>
  <c r="L181" i="4"/>
  <c r="M181" i="4"/>
  <c r="N181" i="4"/>
  <c r="O181" i="4"/>
  <c r="P181" i="4"/>
  <c r="Q181" i="4"/>
  <c r="R181" i="4"/>
  <c r="S181" i="4"/>
  <c r="T181" i="4"/>
  <c r="U181" i="4"/>
  <c r="V181" i="4"/>
  <c r="W181" i="4"/>
  <c r="X181" i="4"/>
  <c r="J178" i="4"/>
  <c r="B186" i="4"/>
  <c r="C186" i="4"/>
  <c r="D186" i="4"/>
  <c r="E186" i="4"/>
  <c r="F186" i="4"/>
  <c r="G186" i="4"/>
  <c r="H186" i="4"/>
  <c r="D183" i="4" s="1"/>
  <c r="F183" i="4" s="1"/>
  <c r="I186" i="4"/>
  <c r="J186" i="4"/>
  <c r="K186" i="4"/>
  <c r="L186" i="4"/>
  <c r="M186" i="4"/>
  <c r="N186" i="4"/>
  <c r="O186" i="4"/>
  <c r="P186" i="4"/>
  <c r="Q186" i="4"/>
  <c r="R186" i="4"/>
  <c r="S186" i="4"/>
  <c r="T186" i="4"/>
  <c r="U186" i="4"/>
  <c r="V186" i="4"/>
  <c r="W186" i="4"/>
  <c r="X186" i="4"/>
  <c r="J183" i="4"/>
  <c r="B191" i="4"/>
  <c r="C191" i="4"/>
  <c r="D191" i="4"/>
  <c r="E191" i="4"/>
  <c r="F191" i="4"/>
  <c r="G191" i="4"/>
  <c r="H191" i="4"/>
  <c r="I191" i="4"/>
  <c r="J191" i="4"/>
  <c r="K191" i="4"/>
  <c r="L191" i="4"/>
  <c r="M191" i="4"/>
  <c r="N191" i="4"/>
  <c r="O191" i="4"/>
  <c r="P191" i="4"/>
  <c r="Q191" i="4"/>
  <c r="R191" i="4"/>
  <c r="T190" i="4"/>
  <c r="U190" i="4" s="1"/>
  <c r="X189" i="4"/>
  <c r="L188" i="4"/>
  <c r="J188" i="4" s="1"/>
  <c r="B221" i="4"/>
  <c r="C221" i="4"/>
  <c r="D221" i="4"/>
  <c r="E221" i="4"/>
  <c r="F221" i="4"/>
  <c r="G221" i="4"/>
  <c r="H221" i="4"/>
  <c r="I221" i="4"/>
  <c r="J221" i="4"/>
  <c r="K221" i="4"/>
  <c r="L221" i="4"/>
  <c r="M221" i="4"/>
  <c r="N221" i="4"/>
  <c r="O221" i="4"/>
  <c r="P221" i="4"/>
  <c r="Q221" i="4"/>
  <c r="R221" i="4"/>
  <c r="S221" i="4"/>
  <c r="T221" i="4"/>
  <c r="U221" i="4"/>
  <c r="V221" i="4"/>
  <c r="W221" i="4"/>
  <c r="X221" i="4"/>
  <c r="J218" i="4"/>
  <c r="B261" i="4"/>
  <c r="C261" i="4"/>
  <c r="D261" i="4"/>
  <c r="E261" i="4"/>
  <c r="F261" i="4"/>
  <c r="G261" i="4"/>
  <c r="H261" i="4"/>
  <c r="I261" i="4"/>
  <c r="J261" i="4"/>
  <c r="K261" i="4"/>
  <c r="L261" i="4"/>
  <c r="M261" i="4"/>
  <c r="N261" i="4"/>
  <c r="O261" i="4"/>
  <c r="P261" i="4"/>
  <c r="Q261" i="4"/>
  <c r="R261" i="4"/>
  <c r="S261" i="4"/>
  <c r="T261" i="4"/>
  <c r="U261" i="4"/>
  <c r="V261" i="4"/>
  <c r="W261" i="4"/>
  <c r="X261" i="4"/>
  <c r="J258" i="4"/>
  <c r="B266" i="4"/>
  <c r="D263" i="4" s="1"/>
  <c r="F263" i="4" s="1"/>
  <c r="C266" i="4"/>
  <c r="D266" i="4"/>
  <c r="E266" i="4"/>
  <c r="F266" i="4"/>
  <c r="G266" i="4"/>
  <c r="H266" i="4"/>
  <c r="I266" i="4"/>
  <c r="J266" i="4"/>
  <c r="K266" i="4"/>
  <c r="L266" i="4"/>
  <c r="M266" i="4"/>
  <c r="N266" i="4"/>
  <c r="O266" i="4"/>
  <c r="P266" i="4"/>
  <c r="Q266" i="4"/>
  <c r="R266" i="4"/>
  <c r="S266" i="4"/>
  <c r="T266" i="4"/>
  <c r="U266" i="4"/>
  <c r="V266" i="4"/>
  <c r="W266" i="4"/>
  <c r="X266" i="4"/>
  <c r="J263" i="4"/>
  <c r="B272" i="4"/>
  <c r="C272" i="4"/>
  <c r="D272" i="4"/>
  <c r="D269" i="4" s="1"/>
  <c r="F269" i="4" s="1"/>
  <c r="E272" i="4"/>
  <c r="F272" i="4"/>
  <c r="G272" i="4"/>
  <c r="H272" i="4"/>
  <c r="I272" i="4"/>
  <c r="J272" i="4"/>
  <c r="K272" i="4"/>
  <c r="L272" i="4"/>
  <c r="M272" i="4"/>
  <c r="N272" i="4"/>
  <c r="O272" i="4"/>
  <c r="P272" i="4"/>
  <c r="Q272" i="4"/>
  <c r="R272" i="4"/>
  <c r="S272" i="4"/>
  <c r="T272" i="4"/>
  <c r="U272" i="4"/>
  <c r="V272" i="4"/>
  <c r="W272" i="4"/>
  <c r="X272" i="4"/>
  <c r="J269" i="4"/>
  <c r="B277" i="4"/>
  <c r="C277" i="4"/>
  <c r="D277" i="4"/>
  <c r="E277" i="4"/>
  <c r="F277" i="4"/>
  <c r="G277" i="4"/>
  <c r="H277" i="4"/>
  <c r="I277" i="4"/>
  <c r="J277" i="4"/>
  <c r="K277" i="4"/>
  <c r="L277" i="4"/>
  <c r="M277" i="4"/>
  <c r="N277" i="4"/>
  <c r="O277" i="4"/>
  <c r="P277" i="4"/>
  <c r="Q277" i="4"/>
  <c r="R277" i="4"/>
  <c r="S277" i="4"/>
  <c r="T277" i="4"/>
  <c r="U277" i="4"/>
  <c r="V277" i="4"/>
  <c r="W277" i="4"/>
  <c r="X277" i="4"/>
  <c r="J274" i="4"/>
  <c r="B282" i="4"/>
  <c r="C282" i="4"/>
  <c r="D282" i="4"/>
  <c r="E282" i="4"/>
  <c r="F282" i="4"/>
  <c r="G282" i="4"/>
  <c r="H282" i="4"/>
  <c r="I282" i="4"/>
  <c r="J282" i="4"/>
  <c r="K282" i="4"/>
  <c r="L282" i="4"/>
  <c r="M282" i="4"/>
  <c r="N282" i="4"/>
  <c r="O282" i="4"/>
  <c r="P282" i="4"/>
  <c r="Q282" i="4"/>
  <c r="R282" i="4"/>
  <c r="S282" i="4"/>
  <c r="T282" i="4"/>
  <c r="U282" i="4"/>
  <c r="V282" i="4"/>
  <c r="W282" i="4"/>
  <c r="X282" i="4"/>
  <c r="J279" i="4"/>
  <c r="B287" i="4"/>
  <c r="C287" i="4"/>
  <c r="D284" i="4" s="1"/>
  <c r="F284" i="4" s="1"/>
  <c r="D287" i="4"/>
  <c r="E287" i="4"/>
  <c r="F287" i="4"/>
  <c r="G287" i="4"/>
  <c r="H287" i="4"/>
  <c r="I287" i="4"/>
  <c r="J287" i="4"/>
  <c r="K287" i="4"/>
  <c r="L287" i="4"/>
  <c r="M287" i="4"/>
  <c r="N287" i="4"/>
  <c r="O287" i="4"/>
  <c r="P287" i="4"/>
  <c r="Q287" i="4"/>
  <c r="R287" i="4"/>
  <c r="S287" i="4"/>
  <c r="T287" i="4"/>
  <c r="U287" i="4"/>
  <c r="V287" i="4"/>
  <c r="W287" i="4"/>
  <c r="X287" i="4"/>
  <c r="J284" i="4"/>
  <c r="B292" i="4"/>
  <c r="C292" i="4"/>
  <c r="D292" i="4"/>
  <c r="E292" i="4"/>
  <c r="F292" i="4"/>
  <c r="G292" i="4"/>
  <c r="H292" i="4"/>
  <c r="I292" i="4"/>
  <c r="J292" i="4"/>
  <c r="K292" i="4"/>
  <c r="L292" i="4"/>
  <c r="M292" i="4"/>
  <c r="N292" i="4"/>
  <c r="O292" i="4"/>
  <c r="P292" i="4"/>
  <c r="Q292" i="4"/>
  <c r="R292" i="4"/>
  <c r="S292" i="4"/>
  <c r="T292" i="4"/>
  <c r="U292" i="4"/>
  <c r="V292" i="4"/>
  <c r="W292" i="4"/>
  <c r="X292" i="4"/>
  <c r="J289" i="4"/>
  <c r="B297" i="4"/>
  <c r="C297" i="4"/>
  <c r="D297" i="4"/>
  <c r="E297" i="4"/>
  <c r="F297" i="4"/>
  <c r="G297" i="4"/>
  <c r="H297" i="4"/>
  <c r="I297" i="4"/>
  <c r="J297" i="4"/>
  <c r="K297" i="4"/>
  <c r="L297" i="4"/>
  <c r="M297" i="4"/>
  <c r="N297" i="4"/>
  <c r="O297" i="4"/>
  <c r="P297" i="4"/>
  <c r="Q297" i="4"/>
  <c r="R297" i="4"/>
  <c r="S297" i="4"/>
  <c r="T297" i="4"/>
  <c r="U297" i="4"/>
  <c r="V297" i="4"/>
  <c r="W297" i="4"/>
  <c r="X297" i="4"/>
  <c r="J294" i="4"/>
  <c r="B302" i="4"/>
  <c r="C302" i="4"/>
  <c r="D302" i="4"/>
  <c r="E302" i="4"/>
  <c r="F302" i="4"/>
  <c r="G302" i="4"/>
  <c r="H302" i="4"/>
  <c r="I302" i="4"/>
  <c r="J302" i="4"/>
  <c r="K302" i="4"/>
  <c r="L302" i="4"/>
  <c r="M302" i="4"/>
  <c r="N302" i="4"/>
  <c r="O302" i="4"/>
  <c r="P302" i="4"/>
  <c r="Q302" i="4"/>
  <c r="R302" i="4"/>
  <c r="S302" i="4"/>
  <c r="T302" i="4"/>
  <c r="U302" i="4"/>
  <c r="V302" i="4"/>
  <c r="W302" i="4"/>
  <c r="X302" i="4"/>
  <c r="J299" i="4"/>
  <c r="B312" i="4"/>
  <c r="C312" i="4"/>
  <c r="D312" i="4"/>
  <c r="E312" i="4"/>
  <c r="F312" i="4"/>
  <c r="G312" i="4"/>
  <c r="H312" i="4"/>
  <c r="I312" i="4"/>
  <c r="J312" i="4"/>
  <c r="K312" i="4"/>
  <c r="L312" i="4"/>
  <c r="M312" i="4"/>
  <c r="N312" i="4"/>
  <c r="O312" i="4"/>
  <c r="P312" i="4"/>
  <c r="Q312" i="4"/>
  <c r="R312" i="4"/>
  <c r="S312" i="4"/>
  <c r="T312" i="4"/>
  <c r="U312" i="4"/>
  <c r="V312" i="4"/>
  <c r="W312" i="4"/>
  <c r="X312" i="4"/>
  <c r="J309" i="4"/>
  <c r="A316" i="4"/>
  <c r="B26" i="4"/>
  <c r="N26" i="4"/>
  <c r="B31" i="4"/>
  <c r="N31" i="4"/>
  <c r="B36" i="4"/>
  <c r="N36" i="4"/>
  <c r="B41" i="4"/>
  <c r="N41" i="4"/>
  <c r="B46" i="4"/>
  <c r="N46" i="4"/>
  <c r="B51" i="4"/>
  <c r="N51" i="4"/>
  <c r="B56" i="4"/>
  <c r="N56" i="4"/>
  <c r="B61" i="4"/>
  <c r="N61" i="4"/>
  <c r="B67" i="4"/>
  <c r="B72" i="4"/>
  <c r="B77" i="4"/>
  <c r="B82" i="4"/>
  <c r="B87" i="4"/>
  <c r="B108" i="4"/>
  <c r="B118" i="4"/>
  <c r="B138" i="4"/>
  <c r="B143" i="4"/>
  <c r="B153" i="4"/>
  <c r="B158" i="4"/>
  <c r="B163" i="4"/>
  <c r="B168" i="4"/>
  <c r="B173" i="4"/>
  <c r="B178" i="4"/>
  <c r="B183" i="4"/>
  <c r="B188" i="4"/>
  <c r="B218" i="4"/>
  <c r="B258" i="4"/>
  <c r="B263" i="4"/>
  <c r="B269" i="4"/>
  <c r="B274" i="4"/>
  <c r="B279" i="4"/>
  <c r="B284" i="4"/>
  <c r="B289" i="4"/>
  <c r="B294" i="4"/>
  <c r="B299" i="4"/>
  <c r="B309" i="4"/>
  <c r="E116" i="7"/>
  <c r="F85" i="7"/>
  <c r="H118" i="7"/>
  <c r="H111" i="7"/>
  <c r="E102" i="7"/>
  <c r="E103" i="7"/>
  <c r="E104" i="7"/>
  <c r="E100" i="7"/>
  <c r="H105" i="7"/>
  <c r="J105" i="7"/>
  <c r="J101" i="7"/>
  <c r="J97" i="7"/>
  <c r="F97" i="7"/>
  <c r="J92" i="7"/>
  <c r="J88" i="7"/>
  <c r="J86" i="7"/>
  <c r="J84" i="7"/>
  <c r="F90" i="7"/>
  <c r="F82" i="7"/>
  <c r="D85" i="7"/>
  <c r="D83" i="7"/>
  <c r="D81" i="7"/>
  <c r="D80" i="7"/>
  <c r="B19" i="6"/>
  <c r="F321" i="4"/>
  <c r="F320" i="4"/>
  <c r="C21" i="5"/>
  <c r="C20" i="5"/>
  <c r="C26" i="5"/>
  <c r="C22" i="5"/>
  <c r="C17" i="5"/>
  <c r="C19" i="5"/>
  <c r="C16" i="5"/>
  <c r="C15" i="5"/>
  <c r="L2" i="6"/>
  <c r="C317" i="4"/>
  <c r="F317" i="4"/>
  <c r="R317" i="4"/>
  <c r="C318" i="4"/>
  <c r="F318" i="4"/>
  <c r="R318" i="4"/>
  <c r="C319" i="4"/>
  <c r="F319" i="4"/>
  <c r="C320" i="4"/>
  <c r="C321" i="4"/>
  <c r="C322" i="4"/>
  <c r="C323" i="4"/>
  <c r="C324" i="4"/>
  <c r="B146" i="2"/>
  <c r="B35" i="1"/>
  <c r="B36" i="6"/>
  <c r="B15" i="8"/>
  <c r="B76" i="2"/>
  <c r="B11" i="8"/>
  <c r="B107" i="1"/>
  <c r="F42" i="5"/>
  <c r="B71" i="8"/>
  <c r="B78" i="8"/>
  <c r="C5" i="8"/>
  <c r="B76" i="8"/>
  <c r="B77" i="8" s="1"/>
  <c r="B74" i="8"/>
  <c r="B73" i="8"/>
  <c r="B79" i="8" s="1"/>
  <c r="B10" i="8"/>
  <c r="C4" i="8"/>
  <c r="C16" i="8"/>
  <c r="C14" i="8"/>
  <c r="C12" i="8"/>
  <c r="B12" i="8"/>
  <c r="C9" i="8"/>
  <c r="C8" i="8"/>
  <c r="B8" i="8"/>
  <c r="C7" i="8"/>
  <c r="N36" i="6"/>
  <c r="C51" i="5"/>
  <c r="C53" i="5"/>
  <c r="T18" i="6"/>
  <c r="S17" i="6"/>
  <c r="S19" i="6"/>
  <c r="S18" i="6"/>
  <c r="S13" i="6"/>
  <c r="S14" i="6"/>
  <c r="S12" i="6"/>
  <c r="T16" i="6"/>
  <c r="T11" i="6"/>
  <c r="L38" i="6"/>
  <c r="B93" i="1"/>
  <c r="B79" i="2"/>
  <c r="H64" i="7"/>
  <c r="H63" i="7" s="1"/>
  <c r="E59" i="7"/>
  <c r="E55" i="7"/>
  <c r="H52" i="7"/>
  <c r="E45" i="7"/>
  <c r="D45" i="7"/>
  <c r="E44" i="7"/>
  <c r="D44" i="7"/>
  <c r="E46" i="7"/>
  <c r="D46" i="7"/>
  <c r="E43" i="7"/>
  <c r="D43" i="7"/>
  <c r="E41" i="7"/>
  <c r="E50" i="7"/>
  <c r="E48" i="7"/>
  <c r="E47" i="7"/>
  <c r="H50" i="7"/>
  <c r="E51" i="7"/>
  <c r="C31" i="7"/>
  <c r="C5" i="5"/>
  <c r="C6" i="5"/>
  <c r="C7" i="5"/>
  <c r="C8" i="5"/>
  <c r="C10" i="5"/>
  <c r="C11" i="5"/>
  <c r="C12" i="5"/>
  <c r="C13" i="5"/>
  <c r="C23" i="5"/>
  <c r="C25" i="5"/>
  <c r="C28" i="5"/>
  <c r="C33" i="5"/>
  <c r="F34" i="5"/>
  <c r="F35" i="5"/>
  <c r="F36" i="5"/>
  <c r="F37" i="5"/>
  <c r="F38" i="5"/>
  <c r="F39" i="5"/>
  <c r="F40" i="5"/>
  <c r="C52" i="5"/>
  <c r="A1" i="4"/>
  <c r="A3" i="4"/>
  <c r="A4" i="4"/>
  <c r="B77" i="2"/>
  <c r="B78" i="2"/>
  <c r="B131" i="2"/>
  <c r="B133" i="2"/>
  <c r="B134" i="2"/>
  <c r="B135" i="2"/>
  <c r="B137" i="2"/>
  <c r="B138" i="2"/>
  <c r="B140" i="2"/>
  <c r="B141" i="2"/>
  <c r="B144" i="2"/>
  <c r="C4" i="1"/>
  <c r="C6" i="1"/>
  <c r="C7" i="1"/>
  <c r="C23" i="1" s="1"/>
  <c r="B8" i="1"/>
  <c r="C8" i="1"/>
  <c r="C9" i="1"/>
  <c r="B10" i="1"/>
  <c r="B11" i="1"/>
  <c r="C11" i="1"/>
  <c r="C13" i="1"/>
  <c r="C17" i="1"/>
  <c r="B18" i="1"/>
  <c r="B19" i="1"/>
  <c r="C22" i="1"/>
  <c r="G22" i="1"/>
  <c r="H22" i="1"/>
  <c r="J22" i="1"/>
  <c r="K22" i="1"/>
  <c r="F23" i="1"/>
  <c r="B24" i="1"/>
  <c r="F24" i="1"/>
  <c r="B26" i="1"/>
  <c r="F25" i="1"/>
  <c r="H25" i="1"/>
  <c r="F27" i="1"/>
  <c r="B29" i="1"/>
  <c r="F28" i="1"/>
  <c r="B30" i="1"/>
  <c r="B31" i="1"/>
  <c r="H31" i="1"/>
  <c r="B32" i="1"/>
  <c r="F32" i="1"/>
  <c r="B33" i="1"/>
  <c r="F33" i="1"/>
  <c r="F34" i="1"/>
  <c r="A38" i="1"/>
  <c r="F38" i="1"/>
  <c r="H38" i="1"/>
  <c r="J38" i="1"/>
  <c r="K38" i="1"/>
  <c r="F40" i="1"/>
  <c r="M40" i="1"/>
  <c r="F41" i="1"/>
  <c r="B42" i="1"/>
  <c r="F42" i="1"/>
  <c r="F43" i="1"/>
  <c r="B44" i="1"/>
  <c r="F45" i="1"/>
  <c r="F46" i="1"/>
  <c r="F47" i="1"/>
  <c r="L47" i="1"/>
  <c r="F48" i="1"/>
  <c r="H48" i="1"/>
  <c r="F49" i="1"/>
  <c r="I49" i="1"/>
  <c r="L49" i="1"/>
  <c r="M49" i="1"/>
  <c r="B102" i="1"/>
  <c r="B109" i="1"/>
  <c r="B110" i="1"/>
  <c r="B111" i="1"/>
  <c r="B112" i="1"/>
  <c r="B113" i="1"/>
  <c r="B117" i="1"/>
  <c r="C140" i="1"/>
  <c r="C142" i="1"/>
  <c r="C144" i="1"/>
  <c r="B148" i="1"/>
  <c r="C4" i="6"/>
  <c r="C6" i="6"/>
  <c r="L6" i="6"/>
  <c r="C7" i="6"/>
  <c r="L7" i="6"/>
  <c r="B8" i="6"/>
  <c r="L8" i="6"/>
  <c r="L9" i="6"/>
  <c r="B11" i="6"/>
  <c r="M11" i="6"/>
  <c r="N11" i="6"/>
  <c r="P11" i="6"/>
  <c r="B12" i="6"/>
  <c r="L12" i="6"/>
  <c r="B13" i="6"/>
  <c r="L13" i="6"/>
  <c r="B14" i="6"/>
  <c r="L14" i="6"/>
  <c r="L15" i="6"/>
  <c r="C16" i="6"/>
  <c r="B18" i="6"/>
  <c r="L18" i="6"/>
  <c r="L19" i="6"/>
  <c r="C20" i="6"/>
  <c r="L20" i="6"/>
  <c r="B21" i="6"/>
  <c r="L21" i="6"/>
  <c r="B22" i="6"/>
  <c r="L22" i="6"/>
  <c r="B23" i="6"/>
  <c r="D25" i="6"/>
  <c r="F26" i="6"/>
  <c r="H26" i="6"/>
  <c r="E27" i="6"/>
  <c r="F28" i="6"/>
  <c r="F29" i="6"/>
  <c r="F30" i="6"/>
  <c r="E31" i="6"/>
  <c r="E32" i="6"/>
  <c r="D35" i="6"/>
  <c r="B91" i="6"/>
  <c r="B96" i="6"/>
  <c r="B103" i="6"/>
  <c r="B104" i="6"/>
  <c r="B105" i="6"/>
  <c r="B107" i="6"/>
  <c r="B108" i="6"/>
  <c r="B109" i="6"/>
  <c r="B114" i="6"/>
  <c r="B115" i="6"/>
  <c r="B117" i="6"/>
  <c r="B118" i="6"/>
  <c r="B119" i="6"/>
  <c r="B121" i="6"/>
  <c r="C124" i="6"/>
  <c r="E124" i="6"/>
  <c r="C125" i="6"/>
  <c r="C126" i="6"/>
  <c r="C127" i="6" s="1"/>
  <c r="C128" i="6" s="1"/>
  <c r="C129" i="6" s="1"/>
  <c r="D125" i="6"/>
  <c r="E125" i="6" s="1"/>
  <c r="C130" i="6"/>
  <c r="C131" i="6"/>
  <c r="E131" i="6"/>
  <c r="B137" i="6"/>
  <c r="B140" i="6"/>
  <c r="B143" i="6"/>
  <c r="B146" i="6"/>
  <c r="B155" i="6"/>
  <c r="E175" i="6"/>
  <c r="C176" i="6"/>
  <c r="F176" i="6"/>
  <c r="G176" i="6"/>
  <c r="D176" i="6" s="1"/>
  <c r="E176" i="6" s="1"/>
  <c r="H176" i="6"/>
  <c r="C177" i="6"/>
  <c r="F177" i="6"/>
  <c r="G177" i="6"/>
  <c r="D177" i="6" s="1"/>
  <c r="E177" i="6" s="1"/>
  <c r="H177" i="6"/>
  <c r="C178" i="6"/>
  <c r="F178" i="6"/>
  <c r="G178" i="6"/>
  <c r="H178" i="6"/>
  <c r="C179" i="6"/>
  <c r="F179" i="6"/>
  <c r="G179" i="6"/>
  <c r="D179" i="6" s="1"/>
  <c r="E179" i="6" s="1"/>
  <c r="H179" i="6"/>
  <c r="C180" i="6"/>
  <c r="D180" i="6"/>
  <c r="E180" i="6" s="1"/>
  <c r="F180" i="6"/>
  <c r="G180" i="6"/>
  <c r="H180" i="6"/>
  <c r="U85" i="4"/>
  <c r="O85" i="4"/>
  <c r="M85" i="4"/>
  <c r="R216" i="4"/>
  <c r="V115" i="4"/>
  <c r="W115" i="4" s="1"/>
  <c r="D133" i="4"/>
  <c r="F133" i="4" s="1"/>
  <c r="J87" i="4"/>
  <c r="S90" i="4"/>
  <c r="K90" i="4"/>
  <c r="I90" i="4"/>
  <c r="T214" i="4"/>
  <c r="U214" i="4" s="1"/>
  <c r="V214" i="4" s="1"/>
  <c r="W214" i="4" s="1"/>
  <c r="E85" i="4"/>
  <c r="T85" i="4"/>
  <c r="R85" i="4"/>
  <c r="P85" i="4"/>
  <c r="L85" i="4"/>
  <c r="J85" i="4"/>
  <c r="B85" i="4"/>
  <c r="V90" i="4"/>
  <c r="R90" i="4"/>
  <c r="N90" i="4"/>
  <c r="L90" i="4"/>
  <c r="U165" i="4"/>
  <c r="T166" i="4" s="1"/>
  <c r="K196" i="4"/>
  <c r="T211" i="4"/>
  <c r="B189" i="6"/>
  <c r="S226" i="4"/>
  <c r="N194" i="4"/>
  <c r="O194" i="4" s="1"/>
  <c r="S251" i="4"/>
  <c r="L246" i="4"/>
  <c r="K246" i="4"/>
  <c r="R251" i="4"/>
  <c r="U116" i="4"/>
  <c r="U211" i="4"/>
  <c r="M246" i="4"/>
  <c r="V250" i="4"/>
  <c r="U251" i="4" s="1"/>
  <c r="T251" i="4"/>
  <c r="V211" i="4"/>
  <c r="N246" i="4"/>
  <c r="X245" i="4"/>
  <c r="X246" i="4" s="1"/>
  <c r="W211" i="4"/>
  <c r="X211" i="4"/>
  <c r="O246" i="4"/>
  <c r="P246" i="4"/>
  <c r="Q246" i="4"/>
  <c r="R246" i="4"/>
  <c r="S246" i="4"/>
  <c r="T246" i="4"/>
  <c r="U246" i="4"/>
  <c r="X244" i="4"/>
  <c r="V246" i="4"/>
  <c r="C197" i="6"/>
  <c r="U125" i="4"/>
  <c r="V125" i="4" s="1"/>
  <c r="R241" i="4"/>
  <c r="T126" i="4"/>
  <c r="C198" i="6"/>
  <c r="C182" i="6"/>
  <c r="P14" i="6"/>
  <c r="E11" i="7" s="1"/>
  <c r="P15" i="6"/>
  <c r="H42" i="7" s="1"/>
  <c r="C133" i="6"/>
  <c r="C163" i="6"/>
  <c r="C136" i="6"/>
  <c r="S191" i="4"/>
  <c r="O21" i="6"/>
  <c r="C167" i="6"/>
  <c r="C166" i="6"/>
  <c r="D161" i="6"/>
  <c r="E161" i="6" s="1"/>
  <c r="D158" i="6"/>
  <c r="E158" i="6" s="1"/>
  <c r="D162" i="6"/>
  <c r="E162" i="6" s="1"/>
  <c r="D160" i="6"/>
  <c r="E160" i="6" s="1"/>
  <c r="D159" i="6"/>
  <c r="E159" i="6" s="1"/>
  <c r="D166" i="6"/>
  <c r="E166" i="6" s="1"/>
  <c r="D167" i="6"/>
  <c r="E167" i="6" s="1"/>
  <c r="D163" i="6"/>
  <c r="E163" i="6" s="1"/>
  <c r="D165" i="6"/>
  <c r="E165" i="6" s="1"/>
  <c r="D164" i="6"/>
  <c r="E164" i="6" s="1"/>
  <c r="C165" i="6"/>
  <c r="O22" i="6"/>
  <c r="M22" i="6"/>
  <c r="C164" i="6"/>
  <c r="S206" i="4"/>
  <c r="R206" i="4"/>
  <c r="T206" i="4"/>
  <c r="U206" i="4"/>
  <c r="X205" i="4"/>
  <c r="W206" i="4" s="1"/>
  <c r="V206" i="4"/>
  <c r="X100" i="4"/>
  <c r="L105" i="4"/>
  <c r="G105" i="4"/>
  <c r="K105" i="4"/>
  <c r="O105" i="4"/>
  <c r="S100" i="4"/>
  <c r="U100" i="4"/>
  <c r="Q100" i="4"/>
  <c r="E192" i="6" l="1"/>
  <c r="E188" i="6"/>
  <c r="X115" i="4"/>
  <c r="V116" i="4"/>
  <c r="E127" i="7"/>
  <c r="E8" i="7"/>
  <c r="H69" i="7"/>
  <c r="U120" i="4"/>
  <c r="C148" i="6"/>
  <c r="W90" i="4"/>
  <c r="D178" i="4"/>
  <c r="F178" i="4" s="1"/>
  <c r="D168" i="4"/>
  <c r="F168" i="4" s="1"/>
  <c r="P90" i="4"/>
  <c r="J82" i="4"/>
  <c r="I85" i="4"/>
  <c r="I105" i="4"/>
  <c r="J105" i="4"/>
  <c r="V100" i="4"/>
  <c r="W130" i="4"/>
  <c r="V131" i="4" s="1"/>
  <c r="X85" i="4"/>
  <c r="D279" i="4"/>
  <c r="F279" i="4" s="1"/>
  <c r="D258" i="4"/>
  <c r="F258" i="4" s="1"/>
  <c r="M90" i="4"/>
  <c r="G100" i="4"/>
  <c r="C105" i="4"/>
  <c r="R201" i="4"/>
  <c r="J100" i="4"/>
  <c r="D61" i="4"/>
  <c r="F61" i="4" s="1"/>
  <c r="D41" i="4"/>
  <c r="F41" i="4" s="1"/>
  <c r="V165" i="4"/>
  <c r="U166" i="4" s="1"/>
  <c r="D158" i="4"/>
  <c r="F158" i="4" s="1"/>
  <c r="D143" i="4"/>
  <c r="F143" i="4" s="1"/>
  <c r="H90" i="4"/>
  <c r="Q85" i="4"/>
  <c r="T234" i="4"/>
  <c r="U234" i="4" s="1"/>
  <c r="V234" i="4" s="1"/>
  <c r="W234" i="4" s="1"/>
  <c r="L100" i="4"/>
  <c r="P105" i="4"/>
  <c r="P100" i="4"/>
  <c r="T105" i="4"/>
  <c r="D274" i="4"/>
  <c r="F274" i="4" s="1"/>
  <c r="U90" i="4"/>
  <c r="Q105" i="4"/>
  <c r="M196" i="4"/>
  <c r="M20" i="6"/>
  <c r="S105" i="4"/>
  <c r="D218" i="4"/>
  <c r="F218" i="4" s="1"/>
  <c r="E90" i="4"/>
  <c r="D90" i="4"/>
  <c r="B100" i="4"/>
  <c r="D67" i="4"/>
  <c r="F67" i="4" s="1"/>
  <c r="D46" i="4"/>
  <c r="F46" i="4" s="1"/>
  <c r="D26" i="4"/>
  <c r="F26" i="4" s="1"/>
  <c r="X105" i="4"/>
  <c r="E185" i="6"/>
  <c r="W116" i="4"/>
  <c r="X116" i="4"/>
  <c r="U239" i="4"/>
  <c r="V239" i="4" s="1"/>
  <c r="W239" i="4" s="1"/>
  <c r="X239" i="4" s="1"/>
  <c r="S241" i="4"/>
  <c r="U126" i="4"/>
  <c r="W125" i="4"/>
  <c r="S216" i="4"/>
  <c r="U215" i="4"/>
  <c r="T216" i="4" s="1"/>
  <c r="D309" i="4"/>
  <c r="F309" i="4" s="1"/>
  <c r="D299" i="4"/>
  <c r="F299" i="4" s="1"/>
  <c r="D294" i="4"/>
  <c r="F294" i="4" s="1"/>
  <c r="D208" i="4"/>
  <c r="F208" i="4" s="1"/>
  <c r="B90" i="4"/>
  <c r="U110" i="4"/>
  <c r="J97" i="4"/>
  <c r="F100" i="4"/>
  <c r="N100" i="4"/>
  <c r="T100" i="4"/>
  <c r="V105" i="4"/>
  <c r="C100" i="4"/>
  <c r="W100" i="4"/>
  <c r="H105" i="4"/>
  <c r="U105" i="4"/>
  <c r="D126" i="6"/>
  <c r="W250" i="4"/>
  <c r="X250" i="4" s="1"/>
  <c r="X251" i="4" s="1"/>
  <c r="D289" i="4"/>
  <c r="F289" i="4" s="1"/>
  <c r="X130" i="4"/>
  <c r="W246" i="4"/>
  <c r="D243" i="4" s="1"/>
  <c r="F243" i="4" s="1"/>
  <c r="C85" i="4"/>
  <c r="B199" i="6"/>
  <c r="D100" i="4"/>
  <c r="J102" i="4"/>
  <c r="F105" i="4"/>
  <c r="M105" i="4"/>
  <c r="E186" i="6"/>
  <c r="E187" i="6"/>
  <c r="J24" i="7"/>
  <c r="D304" i="4"/>
  <c r="F304" i="4" s="1"/>
  <c r="U200" i="4"/>
  <c r="S201" i="4"/>
  <c r="N196" i="4"/>
  <c r="P194" i="4"/>
  <c r="T191" i="4"/>
  <c r="V190" i="4"/>
  <c r="T226" i="4"/>
  <c r="V225" i="4"/>
  <c r="X255" i="4"/>
  <c r="V256" i="4"/>
  <c r="X240" i="4"/>
  <c r="V241" i="4"/>
  <c r="W251" i="4"/>
  <c r="U235" i="4"/>
  <c r="S236" i="4"/>
  <c r="D113" i="4"/>
  <c r="F113" i="4" s="1"/>
  <c r="K100" i="4"/>
  <c r="M100" i="4"/>
  <c r="O100" i="4"/>
  <c r="D105" i="4"/>
  <c r="W105" i="4"/>
  <c r="I100" i="4"/>
  <c r="X206" i="4"/>
  <c r="D203" i="4" s="1"/>
  <c r="F203" i="4" s="1"/>
  <c r="V215" i="4"/>
  <c r="B2" i="4"/>
  <c r="M24" i="6"/>
  <c r="K24" i="7"/>
  <c r="F94" i="7"/>
  <c r="M23" i="6"/>
  <c r="B57" i="8"/>
  <c r="C57" i="8" s="1"/>
  <c r="C14" i="1"/>
  <c r="H51" i="7" s="1"/>
  <c r="B59" i="8"/>
  <c r="C59" i="8" s="1"/>
  <c r="D178" i="6"/>
  <c r="E178" i="6" s="1"/>
  <c r="C34" i="6"/>
  <c r="E56" i="7" s="1"/>
  <c r="B61" i="8"/>
  <c r="C61" i="8" s="1"/>
  <c r="E40" i="7"/>
  <c r="O23" i="6"/>
  <c r="O24" i="6"/>
  <c r="B53" i="8"/>
  <c r="C53" i="8" s="1"/>
  <c r="B63" i="8"/>
  <c r="C63" i="8" s="1"/>
  <c r="B67" i="8"/>
  <c r="C67" i="8" s="1"/>
  <c r="B62" i="8"/>
  <c r="C62" i="8" s="1"/>
  <c r="B65" i="8"/>
  <c r="C65" i="8" s="1"/>
  <c r="H27" i="6"/>
  <c r="H45" i="7" s="1"/>
  <c r="C15" i="8"/>
  <c r="B66" i="8"/>
  <c r="C66" i="8" s="1"/>
  <c r="B54" i="8"/>
  <c r="C54" i="8" s="1"/>
  <c r="B56" i="8"/>
  <c r="C56" i="8" s="1"/>
  <c r="B60" i="8"/>
  <c r="C60" i="8" s="1"/>
  <c r="O18" i="6"/>
  <c r="D34" i="6"/>
  <c r="B52" i="8"/>
  <c r="C52" i="8" s="1"/>
  <c r="D26" i="7"/>
  <c r="B51" i="8"/>
  <c r="C51" i="8" s="1"/>
  <c r="B58" i="8"/>
  <c r="C58" i="8" s="1"/>
  <c r="B64" i="8"/>
  <c r="C64" i="8" s="1"/>
  <c r="B50" i="8"/>
  <c r="C50" i="8" s="1"/>
  <c r="B55" i="8"/>
  <c r="C55" i="8" s="1"/>
  <c r="T14" i="6"/>
  <c r="C173" i="6"/>
  <c r="C172" i="6"/>
  <c r="D23" i="7"/>
  <c r="E108" i="7"/>
  <c r="C195" i="6"/>
  <c r="A317" i="4" a="1"/>
  <c r="A341" i="4" s="1"/>
  <c r="D148" i="4"/>
  <c r="F148" i="4" s="1"/>
  <c r="E107" i="7"/>
  <c r="H27" i="1"/>
  <c r="H67" i="7"/>
  <c r="H17" i="7"/>
  <c r="B106" i="1"/>
  <c r="E24" i="1"/>
  <c r="B108" i="1"/>
  <c r="H46" i="1"/>
  <c r="B157" i="1"/>
  <c r="B131" i="1"/>
  <c r="G4" i="3"/>
  <c r="C139" i="6"/>
  <c r="C134" i="6"/>
  <c r="C143" i="6"/>
  <c r="C146" i="6"/>
  <c r="AD4" i="3"/>
  <c r="E190" i="6"/>
  <c r="D30" i="1"/>
  <c r="I68" i="7" s="1"/>
  <c r="C10" i="8"/>
  <c r="AE4" i="3"/>
  <c r="B197" i="6"/>
  <c r="T19" i="6"/>
  <c r="C142" i="6"/>
  <c r="C141" i="6"/>
  <c r="C145" i="6"/>
  <c r="I71" i="7"/>
  <c r="H5" i="7"/>
  <c r="B75" i="8"/>
  <c r="C196" i="6"/>
  <c r="B196" i="6" s="1"/>
  <c r="C147" i="6"/>
  <c r="E42" i="7"/>
  <c r="E193" i="6"/>
  <c r="E189" i="6"/>
  <c r="C183" i="6"/>
  <c r="J90" i="7"/>
  <c r="F118" i="7" s="1"/>
  <c r="C132" i="6"/>
  <c r="F27" i="7"/>
  <c r="H41" i="7"/>
  <c r="C137" i="6"/>
  <c r="C135" i="6"/>
  <c r="C138" i="6"/>
  <c r="E33" i="6"/>
  <c r="C144" i="6"/>
  <c r="T17" i="6"/>
  <c r="E14" i="7"/>
  <c r="B201" i="6"/>
  <c r="C201" i="6" s="1"/>
  <c r="B186" i="6"/>
  <c r="B200" i="6"/>
  <c r="C200" i="6" s="1"/>
  <c r="E183" i="6"/>
  <c r="B187" i="6"/>
  <c r="E184" i="6"/>
  <c r="B202" i="6"/>
  <c r="W3" i="4"/>
  <c r="T241" i="4" l="1"/>
  <c r="U241" i="4"/>
  <c r="D82" i="4"/>
  <c r="F82" i="4" s="1"/>
  <c r="T121" i="4"/>
  <c r="V120" i="4"/>
  <c r="D97" i="4"/>
  <c r="F97" i="4" s="1"/>
  <c r="W165" i="4"/>
  <c r="X165" i="4" s="1"/>
  <c r="D87" i="4"/>
  <c r="F87" i="4" s="1"/>
  <c r="V166" i="4"/>
  <c r="V126" i="4"/>
  <c r="X125" i="4"/>
  <c r="V251" i="4"/>
  <c r="D248" i="4" s="1"/>
  <c r="F248" i="4" s="1"/>
  <c r="X131" i="4"/>
  <c r="W131" i="4"/>
  <c r="V110" i="4"/>
  <c r="T111" i="4"/>
  <c r="D102" i="4"/>
  <c r="F102" i="4" s="1"/>
  <c r="E126" i="6"/>
  <c r="D127" i="6"/>
  <c r="W225" i="4"/>
  <c r="U226" i="4"/>
  <c r="Q194" i="4"/>
  <c r="O196" i="4"/>
  <c r="X256" i="4"/>
  <c r="W256" i="4"/>
  <c r="D253" i="4" s="1"/>
  <c r="T201" i="4"/>
  <c r="V200" i="4"/>
  <c r="W215" i="4"/>
  <c r="U216" i="4"/>
  <c r="T236" i="4"/>
  <c r="V235" i="4"/>
  <c r="X241" i="4"/>
  <c r="W241" i="4"/>
  <c r="U191" i="4"/>
  <c r="W190" i="4"/>
  <c r="D157" i="6"/>
  <c r="D137" i="6"/>
  <c r="W4" i="3"/>
  <c r="D139" i="6"/>
  <c r="D133" i="6"/>
  <c r="E133" i="6" s="1"/>
  <c r="D156" i="6"/>
  <c r="D135" i="6"/>
  <c r="E135" i="6" s="1"/>
  <c r="E52" i="7"/>
  <c r="D140" i="6"/>
  <c r="E30" i="6"/>
  <c r="E28" i="6" s="1"/>
  <c r="E34" i="6"/>
  <c r="D138" i="6"/>
  <c r="D145" i="6"/>
  <c r="D148" i="6"/>
  <c r="D143" i="6"/>
  <c r="D141" i="6"/>
  <c r="D134" i="6"/>
  <c r="E134" i="6" s="1"/>
  <c r="O20" i="6"/>
  <c r="I28" i="6" s="1"/>
  <c r="D136" i="6"/>
  <c r="E136" i="6" s="1"/>
  <c r="D147" i="6"/>
  <c r="E57" i="7"/>
  <c r="D142" i="6"/>
  <c r="D155" i="6"/>
  <c r="D132" i="6"/>
  <c r="E132" i="6" s="1"/>
  <c r="C168" i="6"/>
  <c r="C169" i="6" s="1"/>
  <c r="D168" i="6"/>
  <c r="D169" i="6" s="1"/>
  <c r="D144" i="6"/>
  <c r="E53" i="7"/>
  <c r="D146" i="6"/>
  <c r="S27" i="6"/>
  <c r="H12" i="7"/>
  <c r="I16" i="7"/>
  <c r="K49" i="1"/>
  <c r="R27" i="1"/>
  <c r="A323" i="4"/>
  <c r="A330" i="4"/>
  <c r="A331" i="4"/>
  <c r="A343" i="4"/>
  <c r="A339" i="4"/>
  <c r="A327" i="4"/>
  <c r="A338" i="4"/>
  <c r="A320" i="4"/>
  <c r="A332" i="4"/>
  <c r="A337" i="4"/>
  <c r="A340" i="4"/>
  <c r="A318" i="4"/>
  <c r="A333" i="4"/>
  <c r="A328" i="4"/>
  <c r="A342" i="4"/>
  <c r="A325" i="4"/>
  <c r="A336" i="4"/>
  <c r="A317" i="4"/>
  <c r="A346" i="4"/>
  <c r="A322" i="4"/>
  <c r="A329" i="4"/>
  <c r="A321" i="4"/>
  <c r="A326" i="4"/>
  <c r="A345" i="4"/>
  <c r="A319" i="4"/>
  <c r="A324" i="4"/>
  <c r="A335" i="4"/>
  <c r="A344" i="4"/>
  <c r="A334" i="4"/>
  <c r="I3" i="4"/>
  <c r="E4" i="4"/>
  <c r="O4" i="4"/>
  <c r="J2" i="4"/>
  <c r="P4" i="4"/>
  <c r="G4" i="4"/>
  <c r="H4" i="4"/>
  <c r="T4" i="4"/>
  <c r="L2" i="4"/>
  <c r="Q3" i="4"/>
  <c r="F2" i="4"/>
  <c r="F3" i="4"/>
  <c r="D2" i="4"/>
  <c r="K3" i="4"/>
  <c r="C4" i="4"/>
  <c r="M4" i="4"/>
  <c r="C3" i="4"/>
  <c r="I4" i="4"/>
  <c r="G3" i="4"/>
  <c r="X4" i="4"/>
  <c r="N3" i="4"/>
  <c r="Q4" i="4"/>
  <c r="V4" i="4"/>
  <c r="X3" i="4"/>
  <c r="H2" i="4"/>
  <c r="J3" i="4"/>
  <c r="O3" i="4"/>
  <c r="Y3" i="4"/>
  <c r="T3" i="4"/>
  <c r="R3" i="4"/>
  <c r="F4" i="4"/>
  <c r="U3" i="4"/>
  <c r="W4" i="4"/>
  <c r="J4" i="4"/>
  <c r="B3" i="4"/>
  <c r="R2" i="4"/>
  <c r="N2" i="4"/>
  <c r="P2" i="4"/>
  <c r="R4" i="4"/>
  <c r="V3" i="4"/>
  <c r="S3" i="4"/>
  <c r="V2" i="4"/>
  <c r="U4" i="4"/>
  <c r="S4" i="4"/>
  <c r="X2" i="4"/>
  <c r="K4" i="4"/>
  <c r="D3" i="4"/>
  <c r="D4" i="4"/>
  <c r="H3" i="4"/>
  <c r="L4" i="4"/>
  <c r="Y4" i="4"/>
  <c r="L3" i="4"/>
  <c r="B4" i="4"/>
  <c r="M3" i="4"/>
  <c r="Z2" i="4"/>
  <c r="P3" i="4"/>
  <c r="E3" i="4"/>
  <c r="T2" i="4"/>
  <c r="N4" i="4"/>
  <c r="C208" i="6" l="1"/>
  <c r="C210" i="6"/>
  <c r="C209" i="6"/>
  <c r="C206" i="6"/>
  <c r="C207" i="6"/>
  <c r="C205" i="6"/>
  <c r="A5" i="3"/>
  <c r="B5" i="3" s="1"/>
  <c r="Z5" i="3" s="1"/>
  <c r="N12" i="6"/>
  <c r="N14" i="6"/>
  <c r="I41" i="7" s="1"/>
  <c r="N13" i="6"/>
  <c r="D238" i="4"/>
  <c r="W120" i="4"/>
  <c r="U121" i="4"/>
  <c r="D128" i="4"/>
  <c r="F106" i="1"/>
  <c r="F105" i="1"/>
  <c r="F104" i="1"/>
  <c r="H18" i="7"/>
  <c r="F107" i="1"/>
  <c r="F103" i="1"/>
  <c r="E101" i="7"/>
  <c r="C171" i="6"/>
  <c r="C170" i="6"/>
  <c r="E49" i="7"/>
  <c r="E18" i="7"/>
  <c r="T13" i="6"/>
  <c r="T12" i="6"/>
  <c r="C174" i="6"/>
  <c r="M13" i="6"/>
  <c r="D171" i="6"/>
  <c r="B48" i="8"/>
  <c r="C48" i="8" s="1"/>
  <c r="D174" i="6"/>
  <c r="B43" i="8"/>
  <c r="C43" i="8" s="1"/>
  <c r="B49" i="8"/>
  <c r="C49" i="8" s="1"/>
  <c r="B41" i="8"/>
  <c r="C41" i="8" s="1"/>
  <c r="B42" i="8"/>
  <c r="C42" i="8" s="1"/>
  <c r="B44" i="8"/>
  <c r="C44" i="8" s="1"/>
  <c r="D172" i="6"/>
  <c r="D170" i="6"/>
  <c r="D173" i="6"/>
  <c r="B46" i="8"/>
  <c r="C46" i="8" s="1"/>
  <c r="B47" i="8"/>
  <c r="C47" i="8" s="1"/>
  <c r="B45" i="8"/>
  <c r="C45" i="8" s="1"/>
  <c r="D57" i="8"/>
  <c r="E57" i="8" s="1"/>
  <c r="G57" i="8" s="1"/>
  <c r="D66" i="8"/>
  <c r="F66" i="8" s="1"/>
  <c r="I66" i="8" s="1"/>
  <c r="D59" i="8"/>
  <c r="F59" i="8" s="1"/>
  <c r="I59" i="8" s="1"/>
  <c r="D47" i="8"/>
  <c r="E47" i="8" s="1"/>
  <c r="G47" i="8" s="1"/>
  <c r="D51" i="8"/>
  <c r="E51" i="8" s="1"/>
  <c r="G51" i="8" s="1"/>
  <c r="M14" i="6"/>
  <c r="C10" i="1" s="1"/>
  <c r="S4" i="3" s="1"/>
  <c r="T4" i="3" s="1"/>
  <c r="U4" i="3" s="1"/>
  <c r="M12" i="6"/>
  <c r="D52" i="8"/>
  <c r="E52" i="8" s="1"/>
  <c r="H52" i="8" s="1"/>
  <c r="D63" i="8"/>
  <c r="E63" i="8" s="1"/>
  <c r="G63" i="8" s="1"/>
  <c r="D64" i="8"/>
  <c r="E64" i="8" s="1"/>
  <c r="H64" i="8" s="1"/>
  <c r="D53" i="8"/>
  <c r="F53" i="8" s="1"/>
  <c r="I53" i="8" s="1"/>
  <c r="D62" i="8"/>
  <c r="E62" i="8" s="1"/>
  <c r="G62" i="8" s="1"/>
  <c r="D42" i="8"/>
  <c r="E42" i="8" s="1"/>
  <c r="G42" i="8" s="1"/>
  <c r="D65" i="8"/>
  <c r="E65" i="8" s="1"/>
  <c r="G65" i="8" s="1"/>
  <c r="D56" i="8"/>
  <c r="F56" i="8" s="1"/>
  <c r="I56" i="8" s="1"/>
  <c r="D67" i="8"/>
  <c r="F67" i="8" s="1"/>
  <c r="I67" i="8" s="1"/>
  <c r="D55" i="8"/>
  <c r="E55" i="8" s="1"/>
  <c r="G55" i="8" s="1"/>
  <c r="D44" i="8"/>
  <c r="F44" i="8" s="1"/>
  <c r="D60" i="8"/>
  <c r="F60" i="8" s="1"/>
  <c r="I60" i="8" s="1"/>
  <c r="D41" i="8"/>
  <c r="E41" i="8" s="1"/>
  <c r="G41" i="8" s="1"/>
  <c r="D48" i="8"/>
  <c r="F48" i="8" s="1"/>
  <c r="D46" i="8"/>
  <c r="F46" i="8" s="1"/>
  <c r="D45" i="8"/>
  <c r="E45" i="8" s="1"/>
  <c r="G45" i="8" s="1"/>
  <c r="D43" i="8"/>
  <c r="E43" i="8" s="1"/>
  <c r="G43" i="8" s="1"/>
  <c r="D50" i="8"/>
  <c r="F50" i="8" s="1"/>
  <c r="I50" i="8" s="1"/>
  <c r="D61" i="8"/>
  <c r="E61" i="8" s="1"/>
  <c r="H61" i="8" s="1"/>
  <c r="D54" i="8"/>
  <c r="F54" i="8" s="1"/>
  <c r="I54" i="8" s="1"/>
  <c r="D58" i="8"/>
  <c r="E58" i="8" s="1"/>
  <c r="G58" i="8" s="1"/>
  <c r="D49" i="8"/>
  <c r="E49" i="8" s="1"/>
  <c r="G49" i="8" s="1"/>
  <c r="W166" i="4"/>
  <c r="D163" i="4" s="1"/>
  <c r="F163" i="4" s="1"/>
  <c r="X166" i="4"/>
  <c r="E127" i="6"/>
  <c r="D128" i="6"/>
  <c r="W110" i="4"/>
  <c r="U111" i="4"/>
  <c r="X126" i="4"/>
  <c r="W126" i="4"/>
  <c r="D123" i="4" s="1"/>
  <c r="M15" i="6"/>
  <c r="J42" i="7" s="1"/>
  <c r="R194" i="4"/>
  <c r="P196" i="4"/>
  <c r="W235" i="4"/>
  <c r="U236" i="4"/>
  <c r="W200" i="4"/>
  <c r="U201" i="4"/>
  <c r="X215" i="4"/>
  <c r="V216" i="4"/>
  <c r="V226" i="4"/>
  <c r="X225" i="4"/>
  <c r="X190" i="4"/>
  <c r="V191" i="4"/>
  <c r="F52" i="8"/>
  <c r="I52" i="8" s="1"/>
  <c r="I31" i="6"/>
  <c r="C154" i="6" s="1"/>
  <c r="O19" i="6"/>
  <c r="M19" i="6" s="1"/>
  <c r="H31" i="6" s="1"/>
  <c r="E29" i="6"/>
  <c r="E35" i="6" s="1"/>
  <c r="C191" i="6"/>
  <c r="D153" i="6"/>
  <c r="C192" i="6"/>
  <c r="E50" i="8" l="1"/>
  <c r="H50" i="8" s="1"/>
  <c r="H63" i="8"/>
  <c r="K63" i="8" s="1"/>
  <c r="H43" i="8"/>
  <c r="J43" i="8" s="1"/>
  <c r="G52" i="8"/>
  <c r="K52" i="8" s="1"/>
  <c r="M52" i="8" s="1"/>
  <c r="J41" i="7"/>
  <c r="E53" i="8"/>
  <c r="H53" i="8" s="1"/>
  <c r="AA5" i="3"/>
  <c r="F107" i="7"/>
  <c r="E58" i="7"/>
  <c r="H65" i="7" s="1"/>
  <c r="C11" i="8"/>
  <c r="F63" i="8"/>
  <c r="I63" i="8" s="1"/>
  <c r="P5" i="3"/>
  <c r="Q5" i="3" s="1"/>
  <c r="R5" i="3" s="1"/>
  <c r="S5" i="3" s="1"/>
  <c r="T5" i="3" s="1"/>
  <c r="H57" i="8"/>
  <c r="J57" i="8" s="1"/>
  <c r="H47" i="8"/>
  <c r="K47" i="8" s="1"/>
  <c r="H55" i="8"/>
  <c r="J55" i="8" s="1"/>
  <c r="E66" i="8"/>
  <c r="H66" i="8" s="1"/>
  <c r="E46" i="8"/>
  <c r="G46" i="8" s="1"/>
  <c r="C204" i="6"/>
  <c r="F51" i="8"/>
  <c r="I51" i="8" s="1"/>
  <c r="F55" i="8"/>
  <c r="I55" i="8" s="1"/>
  <c r="I48" i="8"/>
  <c r="I44" i="8"/>
  <c r="H51" i="8"/>
  <c r="K51" i="8" s="1"/>
  <c r="F42" i="8"/>
  <c r="I42" i="8" s="1"/>
  <c r="H42" i="8"/>
  <c r="J42" i="8" s="1"/>
  <c r="E48" i="8"/>
  <c r="G48" i="8" s="1"/>
  <c r="F57" i="8"/>
  <c r="I57" i="8" s="1"/>
  <c r="G64" i="8"/>
  <c r="J64" i="8" s="1"/>
  <c r="E67" i="8"/>
  <c r="H67" i="8" s="1"/>
  <c r="C24" i="1"/>
  <c r="C30" i="1" s="1"/>
  <c r="H16" i="7" s="1"/>
  <c r="A6" i="3"/>
  <c r="B6" i="3" s="1"/>
  <c r="AC6" i="3" s="1"/>
  <c r="H58" i="8"/>
  <c r="K58" i="8" s="1"/>
  <c r="F64" i="8"/>
  <c r="I64" i="8" s="1"/>
  <c r="F62" i="8"/>
  <c r="I62" i="8" s="1"/>
  <c r="N15" i="6"/>
  <c r="B192" i="6" s="1"/>
  <c r="X120" i="4"/>
  <c r="V121" i="4"/>
  <c r="H65" i="8"/>
  <c r="J65" i="8" s="1"/>
  <c r="F65" i="8"/>
  <c r="I65" i="8" s="1"/>
  <c r="G61" i="8"/>
  <c r="J61" i="8" s="1"/>
  <c r="AD5" i="3"/>
  <c r="E110" i="7"/>
  <c r="F49" i="8"/>
  <c r="I49" i="8" s="1"/>
  <c r="F47" i="8"/>
  <c r="I47" i="8" s="1"/>
  <c r="H41" i="8"/>
  <c r="J41" i="8" s="1"/>
  <c r="F61" i="8"/>
  <c r="I61" i="8" s="1"/>
  <c r="H62" i="8"/>
  <c r="K62" i="8" s="1"/>
  <c r="E44" i="8"/>
  <c r="G44" i="8" s="1"/>
  <c r="I46" i="8"/>
  <c r="AC5" i="3"/>
  <c r="H45" i="8"/>
  <c r="J45" i="8" s="1"/>
  <c r="H49" i="8"/>
  <c r="J49" i="8" s="1"/>
  <c r="F58" i="8"/>
  <c r="I58" i="8" s="1"/>
  <c r="F43" i="8"/>
  <c r="I43" i="8" s="1"/>
  <c r="F41" i="8"/>
  <c r="I41" i="8" s="1"/>
  <c r="E60" i="8"/>
  <c r="H60" i="8" s="1"/>
  <c r="E59" i="8"/>
  <c r="G59" i="8" s="1"/>
  <c r="F45" i="8"/>
  <c r="I45" i="8" s="1"/>
  <c r="E54" i="8"/>
  <c r="H54" i="8" s="1"/>
  <c r="E56" i="8"/>
  <c r="G56" i="8" s="1"/>
  <c r="V111" i="4"/>
  <c r="X110" i="4"/>
  <c r="E128" i="6"/>
  <c r="D129" i="6"/>
  <c r="C149" i="6"/>
  <c r="F108" i="7"/>
  <c r="G50" i="8"/>
  <c r="J50" i="8" s="1"/>
  <c r="X200" i="4"/>
  <c r="V201" i="4"/>
  <c r="S194" i="4"/>
  <c r="Q196" i="4"/>
  <c r="W226" i="4"/>
  <c r="X226" i="4"/>
  <c r="X191" i="4"/>
  <c r="W191" i="4"/>
  <c r="W216" i="4"/>
  <c r="D213" i="4" s="1"/>
  <c r="F213" i="4" s="1"/>
  <c r="X216" i="4"/>
  <c r="V236" i="4"/>
  <c r="X235" i="4"/>
  <c r="B191" i="6"/>
  <c r="H28" i="6"/>
  <c r="C190" i="6" s="1"/>
  <c r="C153" i="6"/>
  <c r="H29" i="6"/>
  <c r="H47" i="7" s="1"/>
  <c r="H32" i="6"/>
  <c r="C157" i="6"/>
  <c r="C151" i="6"/>
  <c r="C152" i="6"/>
  <c r="K43" i="8"/>
  <c r="J63" i="8"/>
  <c r="J52" i="8" l="1"/>
  <c r="L52" i="8" s="1"/>
  <c r="H46" i="8"/>
  <c r="J46" i="8" s="1"/>
  <c r="J47" i="8"/>
  <c r="K57" i="8"/>
  <c r="M57" i="8" s="1"/>
  <c r="G53" i="8"/>
  <c r="K53" i="8" s="1"/>
  <c r="M53" i="8" s="1"/>
  <c r="P28" i="1"/>
  <c r="H68" i="7"/>
  <c r="P27" i="1"/>
  <c r="M63" i="8"/>
  <c r="AA6" i="3"/>
  <c r="J62" i="8"/>
  <c r="L62" i="8" s="1"/>
  <c r="Z6" i="3"/>
  <c r="K55" i="8"/>
  <c r="M55" i="8" s="1"/>
  <c r="J58" i="8"/>
  <c r="L58" i="8" s="1"/>
  <c r="H71" i="7"/>
  <c r="I29" i="6"/>
  <c r="I30" i="6" s="1"/>
  <c r="I48" i="7" s="1"/>
  <c r="C194" i="6"/>
  <c r="H46" i="7"/>
  <c r="D152" i="6"/>
  <c r="H13" i="7"/>
  <c r="P6" i="3"/>
  <c r="Q6" i="3" s="1"/>
  <c r="R6" i="3" s="1"/>
  <c r="S6" i="3" s="1"/>
  <c r="T6" i="3" s="1"/>
  <c r="J51" i="8"/>
  <c r="L51" i="8" s="1"/>
  <c r="K47" i="1"/>
  <c r="G66" i="8"/>
  <c r="J66" i="8" s="1"/>
  <c r="C155" i="6"/>
  <c r="C156" i="6" s="1"/>
  <c r="I32" i="6"/>
  <c r="H48" i="8"/>
  <c r="J48" i="8" s="1"/>
  <c r="K45" i="8"/>
  <c r="M45" i="8" s="1"/>
  <c r="B193" i="6"/>
  <c r="M62" i="8"/>
  <c r="H44" i="8"/>
  <c r="J44" i="8" s="1"/>
  <c r="K65" i="8"/>
  <c r="M65" i="8" s="1"/>
  <c r="M51" i="8"/>
  <c r="K42" i="8"/>
  <c r="M42" i="8" s="1"/>
  <c r="G54" i="8"/>
  <c r="J54" i="8" s="1"/>
  <c r="AD6" i="3"/>
  <c r="K64" i="8"/>
  <c r="M64" i="8" s="1"/>
  <c r="G67" i="8"/>
  <c r="J67" i="8" s="1"/>
  <c r="K61" i="8"/>
  <c r="M61" i="8" s="1"/>
  <c r="K49" i="8"/>
  <c r="M49" i="8" s="1"/>
  <c r="M47" i="8"/>
  <c r="W121" i="4"/>
  <c r="X121" i="4"/>
  <c r="K41" i="8"/>
  <c r="M41" i="8" s="1"/>
  <c r="C150" i="6"/>
  <c r="I42" i="7"/>
  <c r="M43" i="8"/>
  <c r="D118" i="4"/>
  <c r="F118" i="4" s="1"/>
  <c r="H56" i="8"/>
  <c r="J56" i="8" s="1"/>
  <c r="A7" i="3"/>
  <c r="B7" i="3" s="1"/>
  <c r="M58" i="8"/>
  <c r="G60" i="8"/>
  <c r="J60" i="8" s="1"/>
  <c r="H59" i="8"/>
  <c r="J59" i="8" s="1"/>
  <c r="K50" i="8"/>
  <c r="M50" i="8" s="1"/>
  <c r="D223" i="4"/>
  <c r="F223" i="4" s="1"/>
  <c r="X111" i="4"/>
  <c r="W111" i="4"/>
  <c r="D108" i="4" s="1"/>
  <c r="D188" i="4"/>
  <c r="F188" i="4" s="1"/>
  <c r="D130" i="6"/>
  <c r="E130" i="6" s="1"/>
  <c r="E129" i="6"/>
  <c r="S28" i="6"/>
  <c r="C193" i="6"/>
  <c r="J53" i="8"/>
  <c r="L53" i="8" s="1"/>
  <c r="X236" i="4"/>
  <c r="W236" i="4"/>
  <c r="R196" i="4"/>
  <c r="T194" i="4"/>
  <c r="W201" i="4"/>
  <c r="X201" i="4"/>
  <c r="D198" i="4" s="1"/>
  <c r="F198" i="4" s="1"/>
  <c r="B190" i="6"/>
  <c r="H30" i="6"/>
  <c r="H48" i="7" s="1"/>
  <c r="B194" i="6"/>
  <c r="H14" i="7"/>
  <c r="L63" i="8"/>
  <c r="L57" i="8"/>
  <c r="L47" i="8"/>
  <c r="D5" i="3"/>
  <c r="AG5" i="3"/>
  <c r="AH5" i="3"/>
  <c r="E5" i="3"/>
  <c r="H5" i="3" s="1"/>
  <c r="L43" i="8"/>
  <c r="K46" i="8" l="1"/>
  <c r="M46" i="8" s="1"/>
  <c r="I15" i="7"/>
  <c r="L55" i="8"/>
  <c r="I47" i="7"/>
  <c r="S29" i="6"/>
  <c r="I14" i="7"/>
  <c r="K66" i="8"/>
  <c r="M66" i="8" s="1"/>
  <c r="L45" i="8"/>
  <c r="K48" i="8"/>
  <c r="L48" i="8" s="1"/>
  <c r="L65" i="8"/>
  <c r="K44" i="8"/>
  <c r="M44" i="8" s="1"/>
  <c r="L64" i="8"/>
  <c r="K54" i="8"/>
  <c r="M54" i="8" s="1"/>
  <c r="L42" i="8"/>
  <c r="L41" i="8"/>
  <c r="L61" i="8"/>
  <c r="K67" i="8"/>
  <c r="M67" i="8" s="1"/>
  <c r="L50" i="8"/>
  <c r="L49" i="8"/>
  <c r="P7" i="3"/>
  <c r="Q7" i="3" s="1"/>
  <c r="R7" i="3" s="1"/>
  <c r="S7" i="3" s="1"/>
  <c r="T7" i="3" s="1"/>
  <c r="A8" i="3"/>
  <c r="B8" i="3" s="1"/>
  <c r="Z7" i="3"/>
  <c r="AD7" i="3"/>
  <c r="AA7" i="3"/>
  <c r="AC7" i="3"/>
  <c r="K56" i="8"/>
  <c r="M56" i="8" s="1"/>
  <c r="K60" i="8"/>
  <c r="M60" i="8" s="1"/>
  <c r="K59" i="8"/>
  <c r="M59" i="8" s="1"/>
  <c r="F108" i="4"/>
  <c r="L46" i="8"/>
  <c r="D233" i="4"/>
  <c r="F233" i="4" s="1"/>
  <c r="U194" i="4"/>
  <c r="S196" i="4"/>
  <c r="H15" i="7"/>
  <c r="S30" i="6"/>
  <c r="H33" i="6"/>
  <c r="K5" i="3"/>
  <c r="F5" i="3"/>
  <c r="G5" i="3"/>
  <c r="L66" i="8" l="1"/>
  <c r="M48" i="8"/>
  <c r="L44" i="8"/>
  <c r="L54" i="8"/>
  <c r="L67" i="8"/>
  <c r="L56" i="8"/>
  <c r="AA8" i="3"/>
  <c r="Z8" i="3"/>
  <c r="AC8" i="3"/>
  <c r="A9" i="3"/>
  <c r="B9" i="3" s="1"/>
  <c r="AD8" i="3"/>
  <c r="P8" i="3"/>
  <c r="Q8" i="3" s="1"/>
  <c r="R8" i="3" s="1"/>
  <c r="S8" i="3" s="1"/>
  <c r="L60" i="8"/>
  <c r="L59" i="8"/>
  <c r="T196" i="4"/>
  <c r="V194" i="4"/>
  <c r="M5" i="3"/>
  <c r="N5" i="3" s="1"/>
  <c r="I5" i="3"/>
  <c r="J5" i="3"/>
  <c r="V5" i="3"/>
  <c r="AE5" i="3"/>
  <c r="T8" i="3" l="1"/>
  <c r="P9" i="3"/>
  <c r="Q9" i="3" s="1"/>
  <c r="R9" i="3" s="1"/>
  <c r="S9" i="3" s="1"/>
  <c r="A10" i="3"/>
  <c r="B10" i="3" s="1"/>
  <c r="AD9" i="3"/>
  <c r="AC9" i="3"/>
  <c r="Z9" i="3"/>
  <c r="AA9" i="3"/>
  <c r="U196" i="4"/>
  <c r="W194" i="4"/>
  <c r="W5" i="3"/>
  <c r="L5" i="3"/>
  <c r="T9" i="3" l="1"/>
  <c r="P10" i="3"/>
  <c r="Q10" i="3" s="1"/>
  <c r="R10" i="3" s="1"/>
  <c r="S10" i="3" s="1"/>
  <c r="Z10" i="3"/>
  <c r="AA10" i="3"/>
  <c r="AC10" i="3"/>
  <c r="A11" i="3"/>
  <c r="B11" i="3" s="1"/>
  <c r="AD10" i="3"/>
  <c r="V196" i="4"/>
  <c r="W196" i="4"/>
  <c r="U5" i="3"/>
  <c r="D6" i="3" s="1"/>
  <c r="AG6" i="3"/>
  <c r="AH6" i="3"/>
  <c r="T10" i="3" l="1"/>
  <c r="AD11" i="3"/>
  <c r="AA11" i="3"/>
  <c r="Z11" i="3"/>
  <c r="P11" i="3"/>
  <c r="Q11" i="3" s="1"/>
  <c r="R11" i="3" s="1"/>
  <c r="S11" i="3" s="1"/>
  <c r="AC11" i="3"/>
  <c r="A12" i="3"/>
  <c r="B12" i="3" s="1"/>
  <c r="D193" i="4"/>
  <c r="E6" i="3"/>
  <c r="H6" i="3" s="1"/>
  <c r="K6" i="3" s="1"/>
  <c r="G6" i="3"/>
  <c r="T11" i="3" l="1"/>
  <c r="AC12" i="3"/>
  <c r="A13" i="3"/>
  <c r="B13" i="3" s="1"/>
  <c r="AD12" i="3"/>
  <c r="P12" i="3"/>
  <c r="Q12" i="3" s="1"/>
  <c r="R12" i="3" s="1"/>
  <c r="S12" i="3" s="1"/>
  <c r="Z12" i="3"/>
  <c r="AA12" i="3"/>
  <c r="M36" i="6"/>
  <c r="N34" i="1"/>
  <c r="F193" i="4"/>
  <c r="F6" i="3"/>
  <c r="I6" i="3"/>
  <c r="J6" i="3"/>
  <c r="M6" i="3"/>
  <c r="N6" i="3" s="1"/>
  <c r="V6" i="3"/>
  <c r="AE6" i="3"/>
  <c r="T12" i="3" l="1"/>
  <c r="AD13" i="3"/>
  <c r="AA13" i="3"/>
  <c r="Z13" i="3"/>
  <c r="A14" i="3"/>
  <c r="B14" i="3" s="1"/>
  <c r="AC13" i="3"/>
  <c r="P13" i="3"/>
  <c r="Q13" i="3" s="1"/>
  <c r="R13" i="3" s="1"/>
  <c r="S13" i="3" s="1"/>
  <c r="W6" i="3"/>
  <c r="L6" i="3"/>
  <c r="T13" i="3" l="1"/>
  <c r="P14" i="3"/>
  <c r="Q14" i="3" s="1"/>
  <c r="R14" i="3" s="1"/>
  <c r="S14" i="3" s="1"/>
  <c r="AD14" i="3"/>
  <c r="AC14" i="3"/>
  <c r="A15" i="3"/>
  <c r="B15" i="3" s="1"/>
  <c r="AA14" i="3"/>
  <c r="Z14" i="3"/>
  <c r="AH7" i="3"/>
  <c r="AG7" i="3"/>
  <c r="U6" i="3"/>
  <c r="D7" i="3" s="1"/>
  <c r="Y5" i="3"/>
  <c r="T14" i="3" l="1"/>
  <c r="AA15" i="3"/>
  <c r="AD15" i="3"/>
  <c r="P15" i="3"/>
  <c r="Q15" i="3" s="1"/>
  <c r="R15" i="3" s="1"/>
  <c r="S15" i="3" s="1"/>
  <c r="Z15" i="3"/>
  <c r="A16" i="3"/>
  <c r="B16" i="3" s="1"/>
  <c r="AC15" i="3"/>
  <c r="G7" i="3"/>
  <c r="E7" i="3"/>
  <c r="H7" i="3" s="1"/>
  <c r="T15" i="3" l="1"/>
  <c r="P16" i="3"/>
  <c r="Q16" i="3" s="1"/>
  <c r="R16" i="3" s="1"/>
  <c r="S16" i="3" s="1"/>
  <c r="A17" i="3"/>
  <c r="B17" i="3" s="1"/>
  <c r="AA16" i="3"/>
  <c r="Z16" i="3"/>
  <c r="AC16" i="3"/>
  <c r="AD16" i="3"/>
  <c r="F7" i="3"/>
  <c r="I7" i="3"/>
  <c r="J7" i="3"/>
  <c r="M7" i="3"/>
  <c r="N7" i="3" s="1"/>
  <c r="K7" i="3"/>
  <c r="T16" i="3" l="1"/>
  <c r="A18" i="3"/>
  <c r="B18" i="3" s="1"/>
  <c r="AD17" i="3"/>
  <c r="Z17" i="3"/>
  <c r="AA17" i="3"/>
  <c r="AC17" i="3"/>
  <c r="P17" i="3"/>
  <c r="Q17" i="3" s="1"/>
  <c r="R17" i="3" s="1"/>
  <c r="S17" i="3" s="1"/>
  <c r="L7" i="3"/>
  <c r="V7" i="3"/>
  <c r="W7" i="3" s="1"/>
  <c r="AE7" i="3"/>
  <c r="T17" i="3" l="1"/>
  <c r="A19" i="3"/>
  <c r="B19" i="3" s="1"/>
  <c r="Z18" i="3"/>
  <c r="AC18" i="3"/>
  <c r="AD18" i="3"/>
  <c r="P18" i="3"/>
  <c r="Q18" i="3" s="1"/>
  <c r="R18" i="3" s="1"/>
  <c r="S18" i="3" s="1"/>
  <c r="AA18" i="3"/>
  <c r="AH8" i="3"/>
  <c r="U7" i="3"/>
  <c r="D8" i="3" s="1"/>
  <c r="AG8" i="3"/>
  <c r="Y6" i="3"/>
  <c r="T18" i="3" l="1"/>
  <c r="Z19" i="3"/>
  <c r="P19" i="3"/>
  <c r="Q19" i="3" s="1"/>
  <c r="R19" i="3" s="1"/>
  <c r="S19" i="3" s="1"/>
  <c r="AD19" i="3"/>
  <c r="AC19" i="3"/>
  <c r="A20" i="3"/>
  <c r="B20" i="3" s="1"/>
  <c r="AA19" i="3"/>
  <c r="E8" i="3"/>
  <c r="H8" i="3" s="1"/>
  <c r="K8" i="3" s="1"/>
  <c r="G8" i="3"/>
  <c r="T19" i="3" l="1"/>
  <c r="AD20" i="3"/>
  <c r="AC20" i="3"/>
  <c r="AA20" i="3"/>
  <c r="P20" i="3"/>
  <c r="Q20" i="3" s="1"/>
  <c r="R20" i="3" s="1"/>
  <c r="S20" i="3" s="1"/>
  <c r="Z20" i="3"/>
  <c r="A21" i="3"/>
  <c r="B21" i="3" s="1"/>
  <c r="F8" i="3"/>
  <c r="I8" i="3"/>
  <c r="J8" i="3"/>
  <c r="M8" i="3"/>
  <c r="N8" i="3" s="1"/>
  <c r="V8" i="3"/>
  <c r="AE8" i="3"/>
  <c r="T20" i="3" l="1"/>
  <c r="P21" i="3"/>
  <c r="Q21" i="3" s="1"/>
  <c r="R21" i="3" s="1"/>
  <c r="S21" i="3" s="1"/>
  <c r="Z21" i="3"/>
  <c r="A22" i="3"/>
  <c r="B22" i="3" s="1"/>
  <c r="AA21" i="3"/>
  <c r="AD21" i="3"/>
  <c r="AC21" i="3"/>
  <c r="W8" i="3"/>
  <c r="L8" i="3"/>
  <c r="T21" i="3" l="1"/>
  <c r="AC22" i="3"/>
  <c r="P22" i="3"/>
  <c r="Q22" i="3" s="1"/>
  <c r="R22" i="3" s="1"/>
  <c r="S22" i="3" s="1"/>
  <c r="Z22" i="3"/>
  <c r="AD22" i="3"/>
  <c r="AA22" i="3"/>
  <c r="A23" i="3"/>
  <c r="B23" i="3" s="1"/>
  <c r="U8" i="3"/>
  <c r="D9" i="3" s="1"/>
  <c r="AH9" i="3"/>
  <c r="AG9" i="3"/>
  <c r="Y7" i="3"/>
  <c r="T22" i="3" l="1"/>
  <c r="A24" i="3"/>
  <c r="B24" i="3" s="1"/>
  <c r="AA23" i="3"/>
  <c r="AD23" i="3"/>
  <c r="Z23" i="3"/>
  <c r="P23" i="3"/>
  <c r="Q23" i="3" s="1"/>
  <c r="R23" i="3" s="1"/>
  <c r="S23" i="3" s="1"/>
  <c r="AC23" i="3"/>
  <c r="E9" i="3"/>
  <c r="H9" i="3" s="1"/>
  <c r="K9" i="3" s="1"/>
  <c r="G9" i="3"/>
  <c r="T23" i="3" l="1"/>
  <c r="A25" i="3"/>
  <c r="B25" i="3" s="1"/>
  <c r="P24" i="3"/>
  <c r="Q24" i="3" s="1"/>
  <c r="R24" i="3" s="1"/>
  <c r="S24" i="3" s="1"/>
  <c r="Z24" i="3"/>
  <c r="AD24" i="3"/>
  <c r="AA24" i="3"/>
  <c r="AC24" i="3"/>
  <c r="F9" i="3"/>
  <c r="V9" i="3"/>
  <c r="AE9" i="3"/>
  <c r="I9" i="3"/>
  <c r="J9" i="3"/>
  <c r="M9" i="3"/>
  <c r="N9" i="3" s="1"/>
  <c r="T24" i="3" l="1"/>
  <c r="P25" i="3"/>
  <c r="Q25" i="3" s="1"/>
  <c r="R25" i="3" s="1"/>
  <c r="S25" i="3" s="1"/>
  <c r="Z25" i="3"/>
  <c r="A26" i="3"/>
  <c r="B26" i="3" s="1"/>
  <c r="AC25" i="3"/>
  <c r="AA25" i="3"/>
  <c r="AD25" i="3"/>
  <c r="W9" i="3"/>
  <c r="L9" i="3"/>
  <c r="T25" i="3" l="1"/>
  <c r="P26" i="3"/>
  <c r="Q26" i="3" s="1"/>
  <c r="R26" i="3" s="1"/>
  <c r="S26" i="3" s="1"/>
  <c r="Z26" i="3"/>
  <c r="A27" i="3"/>
  <c r="B27" i="3" s="1"/>
  <c r="AA26" i="3"/>
  <c r="AD26" i="3"/>
  <c r="AC26" i="3"/>
  <c r="AH10" i="3"/>
  <c r="U9" i="3"/>
  <c r="E10" i="3" s="1"/>
  <c r="H10" i="3" s="1"/>
  <c r="AG10" i="3"/>
  <c r="Y8" i="3"/>
  <c r="T26" i="3" l="1"/>
  <c r="P27" i="3"/>
  <c r="Q27" i="3" s="1"/>
  <c r="R27" i="3" s="1"/>
  <c r="S27" i="3" s="1"/>
  <c r="AA27" i="3"/>
  <c r="A28" i="3"/>
  <c r="B28" i="3" s="1"/>
  <c r="AD27" i="3"/>
  <c r="Z27" i="3"/>
  <c r="AC27" i="3"/>
  <c r="K10" i="3"/>
  <c r="D10" i="3"/>
  <c r="T27" i="3" l="1"/>
  <c r="P28" i="3"/>
  <c r="Q28" i="3" s="1"/>
  <c r="R28" i="3" s="1"/>
  <c r="S28" i="3" s="1"/>
  <c r="AA28" i="3"/>
  <c r="AD28" i="3"/>
  <c r="Z28" i="3"/>
  <c r="A29" i="3"/>
  <c r="B29" i="3" s="1"/>
  <c r="AC28" i="3"/>
  <c r="F10" i="3"/>
  <c r="G10" i="3"/>
  <c r="V10" i="3"/>
  <c r="AE10" i="3"/>
  <c r="T28" i="3" l="1"/>
  <c r="AA29" i="3"/>
  <c r="A30" i="3"/>
  <c r="B30" i="3" s="1"/>
  <c r="AD29" i="3"/>
  <c r="P29" i="3"/>
  <c r="Q29" i="3" s="1"/>
  <c r="R29" i="3" s="1"/>
  <c r="S29" i="3" s="1"/>
  <c r="Z29" i="3"/>
  <c r="AC29" i="3"/>
  <c r="I10" i="3"/>
  <c r="W10" i="3" s="1"/>
  <c r="J10" i="3"/>
  <c r="M10" i="3"/>
  <c r="N10" i="3" s="1"/>
  <c r="T29" i="3" l="1"/>
  <c r="Z30" i="3"/>
  <c r="AC30" i="3"/>
  <c r="A31" i="3"/>
  <c r="B31" i="3" s="1"/>
  <c r="P30" i="3"/>
  <c r="Q30" i="3" s="1"/>
  <c r="R30" i="3" s="1"/>
  <c r="S30" i="3" s="1"/>
  <c r="AA30" i="3"/>
  <c r="AD30" i="3"/>
  <c r="L10" i="3"/>
  <c r="T30" i="3" l="1"/>
  <c r="AA31" i="3"/>
  <c r="AC31" i="3"/>
  <c r="P31" i="3"/>
  <c r="Q31" i="3" s="1"/>
  <c r="R31" i="3" s="1"/>
  <c r="S31" i="3" s="1"/>
  <c r="A32" i="3"/>
  <c r="B32" i="3" s="1"/>
  <c r="Z31" i="3"/>
  <c r="AD31" i="3"/>
  <c r="AG11" i="3"/>
  <c r="AH11" i="3"/>
  <c r="U10" i="3"/>
  <c r="E11" i="3" s="1"/>
  <c r="H11" i="3" s="1"/>
  <c r="Y9" i="3"/>
  <c r="T31" i="3" l="1"/>
  <c r="P32" i="3"/>
  <c r="Q32" i="3" s="1"/>
  <c r="R32" i="3" s="1"/>
  <c r="S32" i="3" s="1"/>
  <c r="AA32" i="3"/>
  <c r="A33" i="3"/>
  <c r="B33" i="3" s="1"/>
  <c r="AD32" i="3"/>
  <c r="AC32" i="3"/>
  <c r="Z32" i="3"/>
  <c r="K11" i="3"/>
  <c r="D11" i="3"/>
  <c r="T32" i="3" l="1"/>
  <c r="P33" i="3"/>
  <c r="Q33" i="3" s="1"/>
  <c r="R33" i="3" s="1"/>
  <c r="S33" i="3" s="1"/>
  <c r="AC33" i="3"/>
  <c r="AD33" i="3"/>
  <c r="A34" i="3"/>
  <c r="B34" i="3" s="1"/>
  <c r="Z33" i="3"/>
  <c r="AA33" i="3"/>
  <c r="V11" i="3"/>
  <c r="AE11" i="3"/>
  <c r="F11" i="3"/>
  <c r="G11" i="3"/>
  <c r="T33" i="3" l="1"/>
  <c r="AA34" i="3"/>
  <c r="Z34" i="3"/>
  <c r="AD34" i="3"/>
  <c r="P34" i="3"/>
  <c r="Q34" i="3" s="1"/>
  <c r="R34" i="3" s="1"/>
  <c r="S34" i="3" s="1"/>
  <c r="AC34" i="3"/>
  <c r="A35" i="3"/>
  <c r="B35" i="3" s="1"/>
  <c r="I11" i="3"/>
  <c r="W11" i="3" s="1"/>
  <c r="J11" i="3"/>
  <c r="M11" i="3"/>
  <c r="N11" i="3" s="1"/>
  <c r="T34" i="3" l="1"/>
  <c r="AC35" i="3"/>
  <c r="P35" i="3"/>
  <c r="Q35" i="3" s="1"/>
  <c r="R35" i="3" s="1"/>
  <c r="S35" i="3" s="1"/>
  <c r="AD35" i="3"/>
  <c r="A36" i="3"/>
  <c r="B36" i="3" s="1"/>
  <c r="Z35" i="3"/>
  <c r="AA35" i="3"/>
  <c r="L11" i="3"/>
  <c r="T35" i="3" l="1"/>
  <c r="P36" i="3"/>
  <c r="Q36" i="3" s="1"/>
  <c r="R36" i="3" s="1"/>
  <c r="S36" i="3" s="1"/>
  <c r="AA36" i="3"/>
  <c r="Z36" i="3"/>
  <c r="AD36" i="3"/>
  <c r="A37" i="3"/>
  <c r="B37" i="3" s="1"/>
  <c r="AC36" i="3"/>
  <c r="AH12" i="3"/>
  <c r="U11" i="3"/>
  <c r="E12" i="3" s="1"/>
  <c r="H12" i="3" s="1"/>
  <c r="AG12" i="3"/>
  <c r="Y10" i="3"/>
  <c r="T36" i="3" l="1"/>
  <c r="AD37" i="3"/>
  <c r="Z37" i="3"/>
  <c r="AC37" i="3"/>
  <c r="A38" i="3"/>
  <c r="B38" i="3" s="1"/>
  <c r="AA37" i="3"/>
  <c r="P37" i="3"/>
  <c r="Q37" i="3" s="1"/>
  <c r="R37" i="3" s="1"/>
  <c r="S37" i="3" s="1"/>
  <c r="D12" i="3"/>
  <c r="G12" i="3" s="1"/>
  <c r="K12" i="3"/>
  <c r="T37" i="3" l="1"/>
  <c r="P38" i="3"/>
  <c r="Q38" i="3" s="1"/>
  <c r="R38" i="3" s="1"/>
  <c r="S38" i="3" s="1"/>
  <c r="AC38" i="3"/>
  <c r="AD38" i="3"/>
  <c r="AA38" i="3"/>
  <c r="Z38" i="3"/>
  <c r="A39" i="3"/>
  <c r="B39" i="3" s="1"/>
  <c r="F12" i="3"/>
  <c r="V12" i="3"/>
  <c r="AE12" i="3"/>
  <c r="I12" i="3"/>
  <c r="J12" i="3"/>
  <c r="M12" i="3"/>
  <c r="N12" i="3" s="1"/>
  <c r="T38" i="3" l="1"/>
  <c r="A40" i="3"/>
  <c r="B40" i="3" s="1"/>
  <c r="AA39" i="3"/>
  <c r="AC39" i="3"/>
  <c r="P39" i="3"/>
  <c r="Q39" i="3" s="1"/>
  <c r="R39" i="3" s="1"/>
  <c r="S39" i="3" s="1"/>
  <c r="AD39" i="3"/>
  <c r="Z39" i="3"/>
  <c r="W12" i="3"/>
  <c r="L12" i="3"/>
  <c r="T39" i="3" l="1"/>
  <c r="AA40" i="3"/>
  <c r="A41" i="3"/>
  <c r="B41" i="3" s="1"/>
  <c r="AC40" i="3"/>
  <c r="Z40" i="3"/>
  <c r="P40" i="3"/>
  <c r="Q40" i="3" s="1"/>
  <c r="R40" i="3" s="1"/>
  <c r="S40" i="3" s="1"/>
  <c r="AD40" i="3"/>
  <c r="AG13" i="3"/>
  <c r="U12" i="3"/>
  <c r="E13" i="3" s="1"/>
  <c r="H13" i="3" s="1"/>
  <c r="AH13" i="3"/>
  <c r="Y11" i="3"/>
  <c r="T40" i="3" l="1"/>
  <c r="AA41" i="3"/>
  <c r="P41" i="3"/>
  <c r="Q41" i="3" s="1"/>
  <c r="R41" i="3" s="1"/>
  <c r="S41" i="3" s="1"/>
  <c r="AC41" i="3"/>
  <c r="AD41" i="3"/>
  <c r="A42" i="3"/>
  <c r="B42" i="3" s="1"/>
  <c r="Z41" i="3"/>
  <c r="D13" i="3"/>
  <c r="F13" i="3" s="1"/>
  <c r="K13" i="3"/>
  <c r="T41" i="3" l="1"/>
  <c r="AD42" i="3"/>
  <c r="AC42" i="3"/>
  <c r="P42" i="3"/>
  <c r="Q42" i="3" s="1"/>
  <c r="R42" i="3" s="1"/>
  <c r="S42" i="3" s="1"/>
  <c r="AA42" i="3"/>
  <c r="Z42" i="3"/>
  <c r="A43" i="3"/>
  <c r="B43" i="3" s="1"/>
  <c r="G13" i="3"/>
  <c r="I13" i="3" s="1"/>
  <c r="V13" i="3"/>
  <c r="AE13" i="3"/>
  <c r="T42" i="3" l="1"/>
  <c r="P43" i="3"/>
  <c r="Q43" i="3" s="1"/>
  <c r="R43" i="3" s="1"/>
  <c r="S43" i="3" s="1"/>
  <c r="AA43" i="3"/>
  <c r="AC43" i="3"/>
  <c r="AD43" i="3"/>
  <c r="Z43" i="3"/>
  <c r="A44" i="3"/>
  <c r="B44" i="3" s="1"/>
  <c r="J13" i="3"/>
  <c r="L13" i="3" s="1"/>
  <c r="M13" i="3"/>
  <c r="N13" i="3" s="1"/>
  <c r="W13" i="3"/>
  <c r="T43" i="3" l="1"/>
  <c r="AA44" i="3"/>
  <c r="AD44" i="3"/>
  <c r="Z44" i="3"/>
  <c r="A45" i="3"/>
  <c r="B45" i="3" s="1"/>
  <c r="AC44" i="3"/>
  <c r="P44" i="3"/>
  <c r="Q44" i="3" s="1"/>
  <c r="R44" i="3" s="1"/>
  <c r="S44" i="3" s="1"/>
  <c r="AH14" i="3"/>
  <c r="AG14" i="3"/>
  <c r="U13" i="3"/>
  <c r="D14" i="3" s="1"/>
  <c r="Y12" i="3"/>
  <c r="T44" i="3" l="1"/>
  <c r="AA45" i="3"/>
  <c r="A46" i="3"/>
  <c r="B46" i="3" s="1"/>
  <c r="AD45" i="3"/>
  <c r="P45" i="3"/>
  <c r="Q45" i="3" s="1"/>
  <c r="R45" i="3" s="1"/>
  <c r="S45" i="3" s="1"/>
  <c r="Z45" i="3"/>
  <c r="AC45" i="3"/>
  <c r="E14" i="3"/>
  <c r="H14" i="3" s="1"/>
  <c r="K14" i="3" s="1"/>
  <c r="G14" i="3"/>
  <c r="T45" i="3" l="1"/>
  <c r="P46" i="3"/>
  <c r="Q46" i="3" s="1"/>
  <c r="R46" i="3" s="1"/>
  <c r="S46" i="3" s="1"/>
  <c r="AD46" i="3"/>
  <c r="Z46" i="3"/>
  <c r="A47" i="3"/>
  <c r="B47" i="3" s="1"/>
  <c r="AA46" i="3"/>
  <c r="AC46" i="3"/>
  <c r="F14" i="3"/>
  <c r="V14" i="3"/>
  <c r="AE14" i="3"/>
  <c r="I14" i="3"/>
  <c r="J14" i="3"/>
  <c r="M14" i="3"/>
  <c r="N14" i="3" s="1"/>
  <c r="T46" i="3" l="1"/>
  <c r="P47" i="3"/>
  <c r="Q47" i="3" s="1"/>
  <c r="R47" i="3" s="1"/>
  <c r="S47" i="3" s="1"/>
  <c r="AC47" i="3"/>
  <c r="A48" i="3"/>
  <c r="B48" i="3" s="1"/>
  <c r="AD47" i="3"/>
  <c r="AA47" i="3"/>
  <c r="Z47" i="3"/>
  <c r="W14" i="3"/>
  <c r="L14" i="3"/>
  <c r="T47" i="3" l="1"/>
  <c r="A49" i="3"/>
  <c r="B49" i="3" s="1"/>
  <c r="AD48" i="3"/>
  <c r="AC48" i="3"/>
  <c r="Z48" i="3"/>
  <c r="P48" i="3"/>
  <c r="Q48" i="3" s="1"/>
  <c r="R48" i="3" s="1"/>
  <c r="S48" i="3" s="1"/>
  <c r="AA48" i="3"/>
  <c r="U14" i="3"/>
  <c r="E15" i="3" s="1"/>
  <c r="H15" i="3" s="1"/>
  <c r="AG15" i="3"/>
  <c r="AH15" i="3"/>
  <c r="Y13" i="3"/>
  <c r="T48" i="3" l="1"/>
  <c r="AA49" i="3"/>
  <c r="A50" i="3"/>
  <c r="B50" i="3" s="1"/>
  <c r="P49" i="3"/>
  <c r="Q49" i="3" s="1"/>
  <c r="R49" i="3" s="1"/>
  <c r="S49" i="3" s="1"/>
  <c r="Z49" i="3"/>
  <c r="AC49" i="3"/>
  <c r="AD49" i="3"/>
  <c r="D15" i="3"/>
  <c r="F15" i="3" s="1"/>
  <c r="K15" i="3"/>
  <c r="T49" i="3" l="1"/>
  <c r="AD50" i="3"/>
  <c r="AC50" i="3"/>
  <c r="Z50" i="3"/>
  <c r="P50" i="3"/>
  <c r="Q50" i="3" s="1"/>
  <c r="R50" i="3" s="1"/>
  <c r="S50" i="3" s="1"/>
  <c r="A51" i="3"/>
  <c r="B51" i="3" s="1"/>
  <c r="AA50" i="3"/>
  <c r="G15" i="3"/>
  <c r="I15" i="3" s="1"/>
  <c r="V15" i="3"/>
  <c r="AE15" i="3"/>
  <c r="T50" i="3" l="1"/>
  <c r="A52" i="3"/>
  <c r="B52" i="3" s="1"/>
  <c r="AA51" i="3"/>
  <c r="AD51" i="3"/>
  <c r="Z51" i="3"/>
  <c r="P51" i="3"/>
  <c r="Q51" i="3" s="1"/>
  <c r="R51" i="3" s="1"/>
  <c r="S51" i="3" s="1"/>
  <c r="AC51" i="3"/>
  <c r="J15" i="3"/>
  <c r="L15" i="3" s="1"/>
  <c r="M15" i="3"/>
  <c r="N15" i="3" s="1"/>
  <c r="W15" i="3"/>
  <c r="T51" i="3" l="1"/>
  <c r="A53" i="3"/>
  <c r="B53" i="3" s="1"/>
  <c r="AC52" i="3"/>
  <c r="AA52" i="3"/>
  <c r="P52" i="3"/>
  <c r="Q52" i="3" s="1"/>
  <c r="R52" i="3" s="1"/>
  <c r="S52" i="3" s="1"/>
  <c r="Z52" i="3"/>
  <c r="AD52" i="3"/>
  <c r="U15" i="3"/>
  <c r="D16" i="3" s="1"/>
  <c r="AG16" i="3"/>
  <c r="AH16" i="3"/>
  <c r="Y14" i="3"/>
  <c r="T52" i="3" l="1"/>
  <c r="A54" i="3"/>
  <c r="B54" i="3" s="1"/>
  <c r="P53" i="3"/>
  <c r="Q53" i="3" s="1"/>
  <c r="R53" i="3" s="1"/>
  <c r="S53" i="3" s="1"/>
  <c r="AD53" i="3"/>
  <c r="AA53" i="3"/>
  <c r="AC53" i="3"/>
  <c r="Z53" i="3"/>
  <c r="E16" i="3"/>
  <c r="H16" i="3" s="1"/>
  <c r="K16" i="3" s="1"/>
  <c r="G16" i="3"/>
  <c r="T53" i="3" l="1"/>
  <c r="A55" i="3"/>
  <c r="B55" i="3" s="1"/>
  <c r="P54" i="3"/>
  <c r="Q54" i="3" s="1"/>
  <c r="R54" i="3" s="1"/>
  <c r="S54" i="3" s="1"/>
  <c r="Z54" i="3"/>
  <c r="AA54" i="3"/>
  <c r="AC54" i="3"/>
  <c r="AD54" i="3"/>
  <c r="F16" i="3"/>
  <c r="I16" i="3"/>
  <c r="J16" i="3"/>
  <c r="M16" i="3"/>
  <c r="N16" i="3" s="1"/>
  <c r="V16" i="3"/>
  <c r="AE16" i="3"/>
  <c r="T54" i="3" l="1"/>
  <c r="Z55" i="3"/>
  <c r="AD55" i="3"/>
  <c r="P55" i="3"/>
  <c r="Q55" i="3" s="1"/>
  <c r="R55" i="3" s="1"/>
  <c r="S55" i="3" s="1"/>
  <c r="AA55" i="3"/>
  <c r="A56" i="3"/>
  <c r="B56" i="3" s="1"/>
  <c r="AC55" i="3"/>
  <c r="L16" i="3"/>
  <c r="W16" i="3"/>
  <c r="T55" i="3" l="1"/>
  <c r="P56" i="3"/>
  <c r="Q56" i="3" s="1"/>
  <c r="R56" i="3" s="1"/>
  <c r="S56" i="3" s="1"/>
  <c r="AD56" i="3"/>
  <c r="A57" i="3"/>
  <c r="B57" i="3" s="1"/>
  <c r="AC56" i="3"/>
  <c r="AA56" i="3"/>
  <c r="Z56" i="3"/>
  <c r="U16" i="3"/>
  <c r="D17" i="3" s="1"/>
  <c r="AG17" i="3"/>
  <c r="AH17" i="3"/>
  <c r="Y15" i="3"/>
  <c r="T56" i="3" l="1"/>
  <c r="AD57" i="3"/>
  <c r="AC57" i="3"/>
  <c r="Z57" i="3"/>
  <c r="AA57" i="3"/>
  <c r="A58" i="3"/>
  <c r="B58" i="3" s="1"/>
  <c r="P57" i="3"/>
  <c r="Q57" i="3" s="1"/>
  <c r="R57" i="3" s="1"/>
  <c r="S57" i="3" s="1"/>
  <c r="G17" i="3"/>
  <c r="E17" i="3"/>
  <c r="H17" i="3" s="1"/>
  <c r="T57" i="3" l="1"/>
  <c r="AD58" i="3"/>
  <c r="A59" i="3"/>
  <c r="B59" i="3" s="1"/>
  <c r="P58" i="3"/>
  <c r="Q58" i="3" s="1"/>
  <c r="R58" i="3" s="1"/>
  <c r="S58" i="3" s="1"/>
  <c r="AA58" i="3"/>
  <c r="Z58" i="3"/>
  <c r="AC58" i="3"/>
  <c r="F17" i="3"/>
  <c r="I17" i="3"/>
  <c r="J17" i="3"/>
  <c r="M17" i="3"/>
  <c r="N17" i="3" s="1"/>
  <c r="K17" i="3"/>
  <c r="T58" i="3" l="1"/>
  <c r="AA59" i="3"/>
  <c r="P59" i="3"/>
  <c r="Q59" i="3" s="1"/>
  <c r="R59" i="3" s="1"/>
  <c r="S59" i="3" s="1"/>
  <c r="AD59" i="3"/>
  <c r="A60" i="3"/>
  <c r="B60" i="3" s="1"/>
  <c r="Z59" i="3"/>
  <c r="AC59" i="3"/>
  <c r="V17" i="3"/>
  <c r="W17" i="3" s="1"/>
  <c r="AE17" i="3"/>
  <c r="L17" i="3"/>
  <c r="T59" i="3" l="1"/>
  <c r="Z60" i="3"/>
  <c r="AA60" i="3"/>
  <c r="AD60" i="3"/>
  <c r="P60" i="3"/>
  <c r="Q60" i="3" s="1"/>
  <c r="R60" i="3" s="1"/>
  <c r="S60" i="3" s="1"/>
  <c r="A61" i="3"/>
  <c r="B61" i="3" s="1"/>
  <c r="AC60" i="3"/>
  <c r="U17" i="3"/>
  <c r="E18" i="3" s="1"/>
  <c r="H18" i="3" s="1"/>
  <c r="AG18" i="3"/>
  <c r="AH18" i="3"/>
  <c r="Y16" i="3"/>
  <c r="T60" i="3" l="1"/>
  <c r="A62" i="3"/>
  <c r="B62" i="3" s="1"/>
  <c r="AD61" i="3"/>
  <c r="AA61" i="3"/>
  <c r="Z61" i="3"/>
  <c r="P61" i="3"/>
  <c r="Q61" i="3" s="1"/>
  <c r="R61" i="3" s="1"/>
  <c r="S61" i="3" s="1"/>
  <c r="AC61" i="3"/>
  <c r="D18" i="3"/>
  <c r="G18" i="3" s="1"/>
  <c r="K18" i="3"/>
  <c r="T61" i="3" l="1"/>
  <c r="Z62" i="3"/>
  <c r="P62" i="3"/>
  <c r="Q62" i="3" s="1"/>
  <c r="R62" i="3" s="1"/>
  <c r="S62" i="3" s="1"/>
  <c r="AD62" i="3"/>
  <c r="AA62" i="3"/>
  <c r="A63" i="3"/>
  <c r="B63" i="3" s="1"/>
  <c r="AC62" i="3"/>
  <c r="F18" i="3"/>
  <c r="I18" i="3"/>
  <c r="J18" i="3"/>
  <c r="M18" i="3"/>
  <c r="N18" i="3" s="1"/>
  <c r="V18" i="3"/>
  <c r="AE18" i="3"/>
  <c r="T62" i="3" l="1"/>
  <c r="AA63" i="3"/>
  <c r="P63" i="3"/>
  <c r="Q63" i="3" s="1"/>
  <c r="R63" i="3" s="1"/>
  <c r="S63" i="3" s="1"/>
  <c r="AD63" i="3"/>
  <c r="A64" i="3"/>
  <c r="B64" i="3" s="1"/>
  <c r="Z63" i="3"/>
  <c r="AC63" i="3"/>
  <c r="L18" i="3"/>
  <c r="W18" i="3"/>
  <c r="T63" i="3" l="1"/>
  <c r="AA64" i="3"/>
  <c r="AD64" i="3"/>
  <c r="P64" i="3"/>
  <c r="Q64" i="3" s="1"/>
  <c r="R64" i="3" s="1"/>
  <c r="S64" i="3" s="1"/>
  <c r="Z64" i="3"/>
  <c r="AC64" i="3"/>
  <c r="A65" i="3"/>
  <c r="B65" i="3" s="1"/>
  <c r="U18" i="3"/>
  <c r="D19" i="3" s="1"/>
  <c r="AH19" i="3"/>
  <c r="AG19" i="3"/>
  <c r="Y17" i="3"/>
  <c r="T64" i="3" l="1"/>
  <c r="AA65" i="3"/>
  <c r="AD65" i="3"/>
  <c r="Z65" i="3"/>
  <c r="A66" i="3"/>
  <c r="B66" i="3" s="1"/>
  <c r="AC65" i="3"/>
  <c r="P65" i="3"/>
  <c r="Q65" i="3" s="1"/>
  <c r="R65" i="3" s="1"/>
  <c r="S65" i="3" s="1"/>
  <c r="G19" i="3"/>
  <c r="E19" i="3"/>
  <c r="H19" i="3" s="1"/>
  <c r="T65" i="3" l="1"/>
  <c r="AC66" i="3"/>
  <c r="AA66" i="3"/>
  <c r="A67" i="3"/>
  <c r="B67" i="3" s="1"/>
  <c r="P66" i="3"/>
  <c r="Q66" i="3" s="1"/>
  <c r="R66" i="3" s="1"/>
  <c r="S66" i="3" s="1"/>
  <c r="AD66" i="3"/>
  <c r="Z66" i="3"/>
  <c r="F19" i="3"/>
  <c r="I19" i="3"/>
  <c r="J19" i="3"/>
  <c r="M19" i="3"/>
  <c r="N19" i="3" s="1"/>
  <c r="K19" i="3"/>
  <c r="T66" i="3" l="1"/>
  <c r="AA67" i="3"/>
  <c r="AD67" i="3"/>
  <c r="P67" i="3"/>
  <c r="Q67" i="3" s="1"/>
  <c r="R67" i="3" s="1"/>
  <c r="S67" i="3" s="1"/>
  <c r="A68" i="3"/>
  <c r="B68" i="3" s="1"/>
  <c r="Z67" i="3"/>
  <c r="AC67" i="3"/>
  <c r="V19" i="3"/>
  <c r="W19" i="3" s="1"/>
  <c r="AE19" i="3"/>
  <c r="L19" i="3"/>
  <c r="T67" i="3" l="1"/>
  <c r="AD68" i="3"/>
  <c r="AC68" i="3"/>
  <c r="A69" i="3"/>
  <c r="B69" i="3" s="1"/>
  <c r="P68" i="3"/>
  <c r="Q68" i="3" s="1"/>
  <c r="R68" i="3" s="1"/>
  <c r="S68" i="3" s="1"/>
  <c r="AA68" i="3"/>
  <c r="Z68" i="3"/>
  <c r="AH20" i="3"/>
  <c r="U19" i="3"/>
  <c r="E20" i="3" s="1"/>
  <c r="H20" i="3" s="1"/>
  <c r="AG20" i="3"/>
  <c r="Y18" i="3"/>
  <c r="T68" i="3" l="1"/>
  <c r="Z69" i="3"/>
  <c r="P69" i="3"/>
  <c r="Q69" i="3" s="1"/>
  <c r="R69" i="3" s="1"/>
  <c r="S69" i="3" s="1"/>
  <c r="AD69" i="3"/>
  <c r="AC69" i="3"/>
  <c r="AA69" i="3"/>
  <c r="A70" i="3"/>
  <c r="B70" i="3" s="1"/>
  <c r="D20" i="3"/>
  <c r="G20" i="3" s="1"/>
  <c r="K20" i="3"/>
  <c r="T69" i="3" l="1"/>
  <c r="P70" i="3"/>
  <c r="Q70" i="3" s="1"/>
  <c r="R70" i="3" s="1"/>
  <c r="S70" i="3" s="1"/>
  <c r="Z70" i="3"/>
  <c r="AD70" i="3"/>
  <c r="A71" i="3"/>
  <c r="B71" i="3" s="1"/>
  <c r="AC70" i="3"/>
  <c r="AA70" i="3"/>
  <c r="F20" i="3"/>
  <c r="V20" i="3"/>
  <c r="AE20" i="3"/>
  <c r="I20" i="3"/>
  <c r="J20" i="3"/>
  <c r="M20" i="3"/>
  <c r="N20" i="3" s="1"/>
  <c r="T70" i="3" l="1"/>
  <c r="AD71" i="3"/>
  <c r="A72" i="3"/>
  <c r="B72" i="3" s="1"/>
  <c r="AC71" i="3"/>
  <c r="P71" i="3"/>
  <c r="Q71" i="3" s="1"/>
  <c r="R71" i="3" s="1"/>
  <c r="S71" i="3" s="1"/>
  <c r="AA71" i="3"/>
  <c r="Z71" i="3"/>
  <c r="L20" i="3"/>
  <c r="W20" i="3"/>
  <c r="T71" i="3" l="1"/>
  <c r="AD72" i="3"/>
  <c r="A73" i="3"/>
  <c r="B73" i="3" s="1"/>
  <c r="P72" i="3"/>
  <c r="Q72" i="3" s="1"/>
  <c r="R72" i="3" s="1"/>
  <c r="S72" i="3" s="1"/>
  <c r="AA72" i="3"/>
  <c r="Z72" i="3"/>
  <c r="AC72" i="3"/>
  <c r="AG21" i="3"/>
  <c r="U20" i="3"/>
  <c r="E21" i="3" s="1"/>
  <c r="H21" i="3" s="1"/>
  <c r="AH21" i="3"/>
  <c r="Y19" i="3"/>
  <c r="T72" i="3" l="1"/>
  <c r="P73" i="3"/>
  <c r="Q73" i="3" s="1"/>
  <c r="R73" i="3" s="1"/>
  <c r="S73" i="3" s="1"/>
  <c r="AC73" i="3"/>
  <c r="AD73" i="3"/>
  <c r="A74" i="3"/>
  <c r="B74" i="3" s="1"/>
  <c r="AA73" i="3"/>
  <c r="Z73" i="3"/>
  <c r="D21" i="3"/>
  <c r="G21" i="3" s="1"/>
  <c r="K21" i="3"/>
  <c r="T73" i="3" l="1"/>
  <c r="AC74" i="3"/>
  <c r="P74" i="3"/>
  <c r="Q74" i="3" s="1"/>
  <c r="R74" i="3" s="1"/>
  <c r="S74" i="3" s="1"/>
  <c r="A75" i="3"/>
  <c r="B75" i="3" s="1"/>
  <c r="AA74" i="3"/>
  <c r="AD74" i="3"/>
  <c r="Z74" i="3"/>
  <c r="F21" i="3"/>
  <c r="I21" i="3"/>
  <c r="J21" i="3"/>
  <c r="M21" i="3"/>
  <c r="N21" i="3" s="1"/>
  <c r="V21" i="3"/>
  <c r="AE21" i="3"/>
  <c r="T74" i="3" l="1"/>
  <c r="P75" i="3"/>
  <c r="Q75" i="3" s="1"/>
  <c r="R75" i="3" s="1"/>
  <c r="S75" i="3" s="1"/>
  <c r="Z75" i="3"/>
  <c r="AD75" i="3"/>
  <c r="A76" i="3"/>
  <c r="B76" i="3" s="1"/>
  <c r="AC75" i="3"/>
  <c r="AA75" i="3"/>
  <c r="W21" i="3"/>
  <c r="L21" i="3"/>
  <c r="T75" i="3" l="1"/>
  <c r="A77" i="3"/>
  <c r="B77" i="3" s="1"/>
  <c r="AC76" i="3"/>
  <c r="AA76" i="3"/>
  <c r="AD76" i="3"/>
  <c r="P76" i="3"/>
  <c r="Q76" i="3" s="1"/>
  <c r="R76" i="3" s="1"/>
  <c r="S76" i="3" s="1"/>
  <c r="Z76" i="3"/>
  <c r="AG22" i="3"/>
  <c r="U21" i="3"/>
  <c r="D22" i="3" s="1"/>
  <c r="AH22" i="3"/>
  <c r="Y20" i="3"/>
  <c r="T76" i="3" l="1"/>
  <c r="AC77" i="3"/>
  <c r="A78" i="3"/>
  <c r="B78" i="3" s="1"/>
  <c r="AA77" i="3"/>
  <c r="Z77" i="3"/>
  <c r="P77" i="3"/>
  <c r="Q77" i="3" s="1"/>
  <c r="R77" i="3" s="1"/>
  <c r="S77" i="3" s="1"/>
  <c r="AD77" i="3"/>
  <c r="G22" i="3"/>
  <c r="E22" i="3"/>
  <c r="H22" i="3" s="1"/>
  <c r="T77" i="3" l="1"/>
  <c r="P78" i="3"/>
  <c r="Q78" i="3" s="1"/>
  <c r="R78" i="3" s="1"/>
  <c r="S78" i="3" s="1"/>
  <c r="AA78" i="3"/>
  <c r="A79" i="3"/>
  <c r="B79" i="3" s="1"/>
  <c r="AD78" i="3"/>
  <c r="AC78" i="3"/>
  <c r="Z78" i="3"/>
  <c r="I22" i="3"/>
  <c r="J22" i="3"/>
  <c r="M22" i="3"/>
  <c r="N22" i="3" s="1"/>
  <c r="K22" i="3"/>
  <c r="F22" i="3"/>
  <c r="T78" i="3" l="1"/>
  <c r="AA79" i="3"/>
  <c r="P79" i="3"/>
  <c r="Q79" i="3" s="1"/>
  <c r="R79" i="3" s="1"/>
  <c r="S79" i="3" s="1"/>
  <c r="AC79" i="3"/>
  <c r="AD79" i="3"/>
  <c r="A80" i="3"/>
  <c r="B80" i="3" s="1"/>
  <c r="Z79" i="3"/>
  <c r="L22" i="3"/>
  <c r="V22" i="3"/>
  <c r="W22" i="3" s="1"/>
  <c r="AE22" i="3"/>
  <c r="T79" i="3" l="1"/>
  <c r="AA80" i="3"/>
  <c r="A81" i="3"/>
  <c r="B81" i="3" s="1"/>
  <c r="AD80" i="3"/>
  <c r="AC80" i="3"/>
  <c r="Z80" i="3"/>
  <c r="P80" i="3"/>
  <c r="Q80" i="3" s="1"/>
  <c r="R80" i="3" s="1"/>
  <c r="S80" i="3" s="1"/>
  <c r="U22" i="3"/>
  <c r="E23" i="3" s="1"/>
  <c r="H23" i="3" s="1"/>
  <c r="AH23" i="3"/>
  <c r="AG23" i="3"/>
  <c r="Y21" i="3"/>
  <c r="T80" i="3" l="1"/>
  <c r="P81" i="3"/>
  <c r="Q81" i="3" s="1"/>
  <c r="R81" i="3" s="1"/>
  <c r="S81" i="3" s="1"/>
  <c r="AC81" i="3"/>
  <c r="AA81" i="3"/>
  <c r="A82" i="3"/>
  <c r="B82" i="3" s="1"/>
  <c r="AD81" i="3"/>
  <c r="Z81" i="3"/>
  <c r="K23" i="3"/>
  <c r="D23" i="3"/>
  <c r="T81" i="3" l="1"/>
  <c r="Z82" i="3"/>
  <c r="AD82" i="3"/>
  <c r="A83" i="3"/>
  <c r="B83" i="3" s="1"/>
  <c r="AC82" i="3"/>
  <c r="P82" i="3"/>
  <c r="Q82" i="3" s="1"/>
  <c r="R82" i="3" s="1"/>
  <c r="S82" i="3" s="1"/>
  <c r="AA82" i="3"/>
  <c r="V23" i="3"/>
  <c r="AE23" i="3"/>
  <c r="F23" i="3"/>
  <c r="G23" i="3"/>
  <c r="T82" i="3" l="1"/>
  <c r="AC83" i="3"/>
  <c r="AA83" i="3"/>
  <c r="AD83" i="3"/>
  <c r="A84" i="3"/>
  <c r="B84" i="3" s="1"/>
  <c r="P83" i="3"/>
  <c r="Q83" i="3" s="1"/>
  <c r="R83" i="3" s="1"/>
  <c r="S83" i="3" s="1"/>
  <c r="Z83" i="3"/>
  <c r="I23" i="3"/>
  <c r="W23" i="3" s="1"/>
  <c r="J23" i="3"/>
  <c r="M23" i="3"/>
  <c r="N23" i="3" s="1"/>
  <c r="T83" i="3" l="1"/>
  <c r="Z84" i="3"/>
  <c r="AA84" i="3"/>
  <c r="A85" i="3"/>
  <c r="B85" i="3" s="1"/>
  <c r="AD84" i="3"/>
  <c r="P84" i="3"/>
  <c r="Q84" i="3" s="1"/>
  <c r="R84" i="3" s="1"/>
  <c r="S84" i="3" s="1"/>
  <c r="AC84" i="3"/>
  <c r="L23" i="3"/>
  <c r="T84" i="3" l="1"/>
  <c r="AA85" i="3"/>
  <c r="P85" i="3"/>
  <c r="Q85" i="3" s="1"/>
  <c r="R85" i="3" s="1"/>
  <c r="S85" i="3" s="1"/>
  <c r="AC85" i="3"/>
  <c r="AD85" i="3"/>
  <c r="A86" i="3"/>
  <c r="B86" i="3" s="1"/>
  <c r="Z85" i="3"/>
  <c r="AG24" i="3"/>
  <c r="AH24" i="3"/>
  <c r="U23" i="3"/>
  <c r="E24" i="3" s="1"/>
  <c r="H24" i="3" s="1"/>
  <c r="Y22" i="3"/>
  <c r="T85" i="3" l="1"/>
  <c r="P86" i="3"/>
  <c r="Q86" i="3" s="1"/>
  <c r="R86" i="3" s="1"/>
  <c r="S86" i="3" s="1"/>
  <c r="AD86" i="3"/>
  <c r="AC86" i="3"/>
  <c r="Z86" i="3"/>
  <c r="A87" i="3"/>
  <c r="B87" i="3" s="1"/>
  <c r="AA86" i="3"/>
  <c r="D24" i="3"/>
  <c r="G24" i="3" s="1"/>
  <c r="K24" i="3"/>
  <c r="T86" i="3" l="1"/>
  <c r="Z87" i="3"/>
  <c r="P87" i="3"/>
  <c r="Q87" i="3" s="1"/>
  <c r="R87" i="3" s="1"/>
  <c r="S87" i="3" s="1"/>
  <c r="AA87" i="3"/>
  <c r="AD87" i="3"/>
  <c r="AC87" i="3"/>
  <c r="A88" i="3"/>
  <c r="B88" i="3" s="1"/>
  <c r="F24" i="3"/>
  <c r="V24" i="3"/>
  <c r="AE24" i="3"/>
  <c r="I24" i="3"/>
  <c r="J24" i="3"/>
  <c r="M24" i="3"/>
  <c r="N24" i="3" s="1"/>
  <c r="T87" i="3" l="1"/>
  <c r="AD88" i="3"/>
  <c r="A89" i="3"/>
  <c r="B89" i="3" s="1"/>
  <c r="P88" i="3"/>
  <c r="Q88" i="3" s="1"/>
  <c r="R88" i="3" s="1"/>
  <c r="S88" i="3" s="1"/>
  <c r="AC88" i="3"/>
  <c r="Z88" i="3"/>
  <c r="AA88" i="3"/>
  <c r="L24" i="3"/>
  <c r="W24" i="3"/>
  <c r="T88" i="3" l="1"/>
  <c r="Z89" i="3"/>
  <c r="AC89" i="3"/>
  <c r="AD89" i="3"/>
  <c r="A90" i="3"/>
  <c r="B90" i="3" s="1"/>
  <c r="AA89" i="3"/>
  <c r="P89" i="3"/>
  <c r="Q89" i="3" s="1"/>
  <c r="R89" i="3" s="1"/>
  <c r="S89" i="3" s="1"/>
  <c r="AH25" i="3"/>
  <c r="AG25" i="3"/>
  <c r="U24" i="3"/>
  <c r="D25" i="3" s="1"/>
  <c r="Y23" i="3"/>
  <c r="T89" i="3" l="1"/>
  <c r="A91" i="3"/>
  <c r="B91" i="3" s="1"/>
  <c r="P90" i="3"/>
  <c r="Q90" i="3" s="1"/>
  <c r="R90" i="3" s="1"/>
  <c r="S90" i="3" s="1"/>
  <c r="Z90" i="3"/>
  <c r="AD90" i="3"/>
  <c r="AC90" i="3"/>
  <c r="AA90" i="3"/>
  <c r="E25" i="3"/>
  <c r="H25" i="3" s="1"/>
  <c r="K25" i="3" s="1"/>
  <c r="G25" i="3"/>
  <c r="T90" i="3" l="1"/>
  <c r="P91" i="3"/>
  <c r="Q91" i="3" s="1"/>
  <c r="R91" i="3" s="1"/>
  <c r="S91" i="3" s="1"/>
  <c r="A92" i="3"/>
  <c r="B92" i="3" s="1"/>
  <c r="AD91" i="3"/>
  <c r="AC91" i="3"/>
  <c r="Z91" i="3"/>
  <c r="AA91" i="3"/>
  <c r="F25" i="3"/>
  <c r="I25" i="3"/>
  <c r="J25" i="3"/>
  <c r="M25" i="3"/>
  <c r="N25" i="3" s="1"/>
  <c r="V25" i="3"/>
  <c r="AE25" i="3"/>
  <c r="T91" i="3" l="1"/>
  <c r="AD92" i="3"/>
  <c r="Z92" i="3"/>
  <c r="AA92" i="3"/>
  <c r="P92" i="3"/>
  <c r="Q92" i="3" s="1"/>
  <c r="R92" i="3" s="1"/>
  <c r="S92" i="3" s="1"/>
  <c r="AC92" i="3"/>
  <c r="A93" i="3"/>
  <c r="B93" i="3" s="1"/>
  <c r="W25" i="3"/>
  <c r="L25" i="3"/>
  <c r="T92" i="3" l="1"/>
  <c r="AC93" i="3"/>
  <c r="Z93" i="3"/>
  <c r="A94" i="3"/>
  <c r="B94" i="3" s="1"/>
  <c r="AA93" i="3"/>
  <c r="P93" i="3"/>
  <c r="Q93" i="3" s="1"/>
  <c r="R93" i="3" s="1"/>
  <c r="S93" i="3" s="1"/>
  <c r="AD93" i="3"/>
  <c r="U25" i="3"/>
  <c r="E26" i="3" s="1"/>
  <c r="H26" i="3" s="1"/>
  <c r="AH26" i="3"/>
  <c r="AG26" i="3"/>
  <c r="Y24" i="3"/>
  <c r="T93" i="3" l="1"/>
  <c r="AC94" i="3"/>
  <c r="Z94" i="3"/>
  <c r="AA94" i="3"/>
  <c r="AD94" i="3"/>
  <c r="P94" i="3"/>
  <c r="Q94" i="3" s="1"/>
  <c r="R94" i="3" s="1"/>
  <c r="S94" i="3" s="1"/>
  <c r="A95" i="3"/>
  <c r="B95" i="3" s="1"/>
  <c r="D26" i="3"/>
  <c r="G26" i="3" s="1"/>
  <c r="K26" i="3"/>
  <c r="T94" i="3" l="1"/>
  <c r="AD95" i="3"/>
  <c r="AA95" i="3"/>
  <c r="P95" i="3"/>
  <c r="Q95" i="3" s="1"/>
  <c r="R95" i="3" s="1"/>
  <c r="S95" i="3" s="1"/>
  <c r="A96" i="3"/>
  <c r="B96" i="3" s="1"/>
  <c r="AC95" i="3"/>
  <c r="Z95" i="3"/>
  <c r="F26" i="3"/>
  <c r="I26" i="3"/>
  <c r="J26" i="3"/>
  <c r="M26" i="3"/>
  <c r="N26" i="3" s="1"/>
  <c r="V26" i="3"/>
  <c r="AE26" i="3"/>
  <c r="T95" i="3" l="1"/>
  <c r="P96" i="3"/>
  <c r="Q96" i="3" s="1"/>
  <c r="R96" i="3" s="1"/>
  <c r="S96" i="3" s="1"/>
  <c r="AD96" i="3"/>
  <c r="Z96" i="3"/>
  <c r="AC96" i="3"/>
  <c r="AA96" i="3"/>
  <c r="A97" i="3"/>
  <c r="B97" i="3" s="1"/>
  <c r="W26" i="3"/>
  <c r="L26" i="3"/>
  <c r="T96" i="3" l="1"/>
  <c r="AD97" i="3"/>
  <c r="AA97" i="3"/>
  <c r="Z97" i="3"/>
  <c r="AC97" i="3"/>
  <c r="P97" i="3"/>
  <c r="Q97" i="3" s="1"/>
  <c r="R97" i="3" s="1"/>
  <c r="S97" i="3" s="1"/>
  <c r="A98" i="3"/>
  <c r="B98" i="3" s="1"/>
  <c r="AH27" i="3"/>
  <c r="U26" i="3"/>
  <c r="D27" i="3" s="1"/>
  <c r="AG27" i="3"/>
  <c r="Y25" i="3"/>
  <c r="T97" i="3" l="1"/>
  <c r="AA98" i="3"/>
  <c r="Z98" i="3"/>
  <c r="AC98" i="3"/>
  <c r="A99" i="3"/>
  <c r="B99" i="3" s="1"/>
  <c r="AD98" i="3"/>
  <c r="P98" i="3"/>
  <c r="Q98" i="3" s="1"/>
  <c r="R98" i="3" s="1"/>
  <c r="S98" i="3" s="1"/>
  <c r="E27" i="3"/>
  <c r="H27" i="3" s="1"/>
  <c r="K27" i="3" s="1"/>
  <c r="G27" i="3"/>
  <c r="T98" i="3" l="1"/>
  <c r="AD99" i="3"/>
  <c r="P99" i="3"/>
  <c r="Q99" i="3" s="1"/>
  <c r="R99" i="3" s="1"/>
  <c r="S99" i="3" s="1"/>
  <c r="Z99" i="3"/>
  <c r="AC99" i="3"/>
  <c r="AA99" i="3"/>
  <c r="A100" i="3"/>
  <c r="B100" i="3" s="1"/>
  <c r="F27" i="3"/>
  <c r="I27" i="3"/>
  <c r="J27" i="3"/>
  <c r="M27" i="3"/>
  <c r="N27" i="3" s="1"/>
  <c r="V27" i="3"/>
  <c r="AE27" i="3"/>
  <c r="T99" i="3" l="1"/>
  <c r="A101" i="3"/>
  <c r="B101" i="3" s="1"/>
  <c r="AA100" i="3"/>
  <c r="AD100" i="3"/>
  <c r="P100" i="3"/>
  <c r="Q100" i="3" s="1"/>
  <c r="R100" i="3" s="1"/>
  <c r="S100" i="3" s="1"/>
  <c r="AC100" i="3"/>
  <c r="Z100" i="3"/>
  <c r="L27" i="3"/>
  <c r="W27" i="3"/>
  <c r="T100" i="3" l="1"/>
  <c r="AC101" i="3"/>
  <c r="P101" i="3"/>
  <c r="Q101" i="3" s="1"/>
  <c r="R101" i="3" s="1"/>
  <c r="S101" i="3" s="1"/>
  <c r="Z101" i="3"/>
  <c r="AA101" i="3"/>
  <c r="AD101" i="3"/>
  <c r="A102" i="3"/>
  <c r="B102" i="3" s="1"/>
  <c r="U27" i="3"/>
  <c r="E28" i="3" s="1"/>
  <c r="H28" i="3" s="1"/>
  <c r="AG28" i="3"/>
  <c r="AH28" i="3"/>
  <c r="Y26" i="3"/>
  <c r="T101" i="3" l="1"/>
  <c r="Z102" i="3"/>
  <c r="P102" i="3"/>
  <c r="Q102" i="3" s="1"/>
  <c r="R102" i="3" s="1"/>
  <c r="S102" i="3" s="1"/>
  <c r="AA102" i="3"/>
  <c r="A103" i="3"/>
  <c r="B103" i="3" s="1"/>
  <c r="AD102" i="3"/>
  <c r="AC102" i="3"/>
  <c r="D28" i="3"/>
  <c r="F28" i="3" s="1"/>
  <c r="K28" i="3"/>
  <c r="T102" i="3" l="1"/>
  <c r="P103" i="3"/>
  <c r="Q103" i="3" s="1"/>
  <c r="R103" i="3" s="1"/>
  <c r="S103" i="3" s="1"/>
  <c r="AC103" i="3"/>
  <c r="Z103" i="3"/>
  <c r="A104" i="3"/>
  <c r="B104" i="3" s="1"/>
  <c r="AD103" i="3"/>
  <c r="AA103" i="3"/>
  <c r="G28" i="3"/>
  <c r="I28" i="3" s="1"/>
  <c r="V28" i="3"/>
  <c r="AE28" i="3"/>
  <c r="T103" i="3" l="1"/>
  <c r="A105" i="3"/>
  <c r="B105" i="3" s="1"/>
  <c r="P104" i="3"/>
  <c r="Q104" i="3" s="1"/>
  <c r="R104" i="3" s="1"/>
  <c r="S104" i="3" s="1"/>
  <c r="AC104" i="3"/>
  <c r="Z104" i="3"/>
  <c r="AA104" i="3"/>
  <c r="M28" i="3"/>
  <c r="N28" i="3" s="1"/>
  <c r="J28" i="3"/>
  <c r="L28" i="3" s="1"/>
  <c r="W28" i="3"/>
  <c r="T104" i="3" l="1"/>
  <c r="Z105" i="3"/>
  <c r="AC105" i="3"/>
  <c r="AA105" i="3"/>
  <c r="A106" i="3"/>
  <c r="B106" i="3" s="1"/>
  <c r="P105" i="3"/>
  <c r="Q105" i="3" s="1"/>
  <c r="R105" i="3" s="1"/>
  <c r="S105" i="3" s="1"/>
  <c r="AD105" i="3"/>
  <c r="AH29" i="3"/>
  <c r="AG29" i="3"/>
  <c r="U28" i="3"/>
  <c r="E29" i="3" s="1"/>
  <c r="H29" i="3" s="1"/>
  <c r="Y27" i="3"/>
  <c r="T105" i="3" l="1"/>
  <c r="Z106" i="3"/>
  <c r="AC106" i="3"/>
  <c r="A107" i="3"/>
  <c r="B107" i="3" s="1"/>
  <c r="AA106" i="3"/>
  <c r="P106" i="3"/>
  <c r="Q106" i="3" s="1"/>
  <c r="R106" i="3" s="1"/>
  <c r="S106" i="3" s="1"/>
  <c r="AD106" i="3"/>
  <c r="D29" i="3"/>
  <c r="F29" i="3" s="1"/>
  <c r="K29" i="3"/>
  <c r="T106" i="3" l="1"/>
  <c r="AC107" i="3"/>
  <c r="A108" i="3"/>
  <c r="B108" i="3" s="1"/>
  <c r="P107" i="3"/>
  <c r="Q107" i="3" s="1"/>
  <c r="R107" i="3" s="1"/>
  <c r="S107" i="3" s="1"/>
  <c r="Z107" i="3"/>
  <c r="AD107" i="3"/>
  <c r="AA107" i="3"/>
  <c r="G29" i="3"/>
  <c r="M29" i="3" s="1"/>
  <c r="N29" i="3" s="1"/>
  <c r="V29" i="3"/>
  <c r="AE29" i="3"/>
  <c r="T107" i="3" l="1"/>
  <c r="AA108" i="3"/>
  <c r="AC108" i="3"/>
  <c r="P108" i="3"/>
  <c r="Q108" i="3" s="1"/>
  <c r="R108" i="3" s="1"/>
  <c r="S108" i="3" s="1"/>
  <c r="Z108" i="3"/>
  <c r="AD108" i="3"/>
  <c r="A109" i="3"/>
  <c r="B109" i="3" s="1"/>
  <c r="J29" i="3"/>
  <c r="L29" i="3" s="1"/>
  <c r="I29" i="3"/>
  <c r="W29" i="3" s="1"/>
  <c r="T108" i="3" l="1"/>
  <c r="P109" i="3"/>
  <c r="Q109" i="3" s="1"/>
  <c r="R109" i="3" s="1"/>
  <c r="S109" i="3" s="1"/>
  <c r="AC109" i="3"/>
  <c r="AD109" i="3"/>
  <c r="Z109" i="3"/>
  <c r="A110" i="3"/>
  <c r="B110" i="3" s="1"/>
  <c r="AA109" i="3"/>
  <c r="U29" i="3"/>
  <c r="D30" i="3" s="1"/>
  <c r="AG30" i="3"/>
  <c r="AH30" i="3"/>
  <c r="Y28" i="3"/>
  <c r="T109" i="3" l="1"/>
  <c r="A111" i="3"/>
  <c r="B111" i="3" s="1"/>
  <c r="AD110" i="3"/>
  <c r="P110" i="3"/>
  <c r="Q110" i="3" s="1"/>
  <c r="R110" i="3" s="1"/>
  <c r="S110" i="3" s="1"/>
  <c r="AC110" i="3"/>
  <c r="AA110" i="3"/>
  <c r="Z110" i="3"/>
  <c r="E30" i="3"/>
  <c r="H30" i="3" s="1"/>
  <c r="K30" i="3" s="1"/>
  <c r="G30" i="3"/>
  <c r="T110" i="3" l="1"/>
  <c r="AC111" i="3"/>
  <c r="AD111" i="3"/>
  <c r="A112" i="3"/>
  <c r="B112" i="3" s="1"/>
  <c r="Z111" i="3"/>
  <c r="AA111" i="3"/>
  <c r="P111" i="3"/>
  <c r="Q111" i="3" s="1"/>
  <c r="R111" i="3" s="1"/>
  <c r="S111" i="3" s="1"/>
  <c r="F30" i="3"/>
  <c r="I30" i="3"/>
  <c r="J30" i="3"/>
  <c r="M30" i="3"/>
  <c r="N30" i="3" s="1"/>
  <c r="V30" i="3"/>
  <c r="AE30" i="3"/>
  <c r="T111" i="3" l="1"/>
  <c r="P112" i="3"/>
  <c r="Q112" i="3" s="1"/>
  <c r="R112" i="3" s="1"/>
  <c r="S112" i="3" s="1"/>
  <c r="Z112" i="3"/>
  <c r="AC112" i="3"/>
  <c r="AD112" i="3"/>
  <c r="A113" i="3"/>
  <c r="B113" i="3" s="1"/>
  <c r="AA112" i="3"/>
  <c r="W30" i="3"/>
  <c r="L30" i="3"/>
  <c r="T112" i="3" l="1"/>
  <c r="Z113" i="3"/>
  <c r="AD113" i="3"/>
  <c r="A114" i="3"/>
  <c r="B114" i="3" s="1"/>
  <c r="P113" i="3"/>
  <c r="Q113" i="3" s="1"/>
  <c r="R113" i="3" s="1"/>
  <c r="S113" i="3" s="1"/>
  <c r="AC113" i="3"/>
  <c r="AA113" i="3"/>
  <c r="U30" i="3"/>
  <c r="D31" i="3" s="1"/>
  <c r="AG31" i="3"/>
  <c r="AH31" i="3"/>
  <c r="Y29" i="3"/>
  <c r="T113" i="3" l="1"/>
  <c r="P114" i="3"/>
  <c r="Q114" i="3" s="1"/>
  <c r="R114" i="3" s="1"/>
  <c r="S114" i="3" s="1"/>
  <c r="AA114" i="3"/>
  <c r="Z114" i="3"/>
  <c r="AD114" i="3"/>
  <c r="AC114" i="3"/>
  <c r="A115" i="3"/>
  <c r="B115" i="3" s="1"/>
  <c r="E31" i="3"/>
  <c r="H31" i="3" s="1"/>
  <c r="K31" i="3" s="1"/>
  <c r="G31" i="3"/>
  <c r="T114" i="3" l="1"/>
  <c r="AA115" i="3"/>
  <c r="AD115" i="3"/>
  <c r="AC115" i="3"/>
  <c r="P115" i="3"/>
  <c r="Q115" i="3" s="1"/>
  <c r="R115" i="3" s="1"/>
  <c r="S115" i="3" s="1"/>
  <c r="A116" i="3"/>
  <c r="B116" i="3" s="1"/>
  <c r="Z115" i="3"/>
  <c r="F31" i="3"/>
  <c r="V31" i="3"/>
  <c r="AE31" i="3"/>
  <c r="I31" i="3"/>
  <c r="J31" i="3"/>
  <c r="M31" i="3"/>
  <c r="N31" i="3" s="1"/>
  <c r="T115" i="3" l="1"/>
  <c r="AA116" i="3"/>
  <c r="P116" i="3"/>
  <c r="Q116" i="3" s="1"/>
  <c r="R116" i="3" s="1"/>
  <c r="S116" i="3" s="1"/>
  <c r="AC116" i="3"/>
  <c r="Z116" i="3"/>
  <c r="AD116" i="3"/>
  <c r="A117" i="3"/>
  <c r="B117" i="3" s="1"/>
  <c r="L31" i="3"/>
  <c r="W31" i="3"/>
  <c r="T116" i="3" l="1"/>
  <c r="AC117" i="3"/>
  <c r="AA117" i="3"/>
  <c r="P117" i="3"/>
  <c r="Q117" i="3" s="1"/>
  <c r="R117" i="3" s="1"/>
  <c r="S117" i="3" s="1"/>
  <c r="Z117" i="3"/>
  <c r="A118" i="3"/>
  <c r="B118" i="3" s="1"/>
  <c r="AD117" i="3"/>
  <c r="AG32" i="3"/>
  <c r="AH32" i="3"/>
  <c r="U31" i="3"/>
  <c r="E32" i="3" s="1"/>
  <c r="H32" i="3" s="1"/>
  <c r="Y30" i="3"/>
  <c r="T117" i="3" l="1"/>
  <c r="AC118" i="3"/>
  <c r="AD118" i="3"/>
  <c r="Z118" i="3"/>
  <c r="AA118" i="3"/>
  <c r="P118" i="3"/>
  <c r="Q118" i="3" s="1"/>
  <c r="R118" i="3" s="1"/>
  <c r="S118" i="3" s="1"/>
  <c r="A119" i="3"/>
  <c r="B119" i="3" s="1"/>
  <c r="D32" i="3"/>
  <c r="F32" i="3" s="1"/>
  <c r="K32" i="3"/>
  <c r="T118" i="3" l="1"/>
  <c r="AC119" i="3"/>
  <c r="AA119" i="3"/>
  <c r="A120" i="3"/>
  <c r="B120" i="3" s="1"/>
  <c r="P119" i="3"/>
  <c r="Q119" i="3" s="1"/>
  <c r="R119" i="3" s="1"/>
  <c r="S119" i="3" s="1"/>
  <c r="AD119" i="3"/>
  <c r="Z119" i="3"/>
  <c r="G32" i="3"/>
  <c r="I32" i="3" s="1"/>
  <c r="V32" i="3"/>
  <c r="AE32" i="3"/>
  <c r="T119" i="3" l="1"/>
  <c r="A121" i="3"/>
  <c r="B121" i="3" s="1"/>
  <c r="AC120" i="3"/>
  <c r="P120" i="3"/>
  <c r="Q120" i="3" s="1"/>
  <c r="R120" i="3" s="1"/>
  <c r="S120" i="3" s="1"/>
  <c r="AA120" i="3"/>
  <c r="Z120" i="3"/>
  <c r="AD120" i="3"/>
  <c r="M32" i="3"/>
  <c r="N32" i="3" s="1"/>
  <c r="J32" i="3"/>
  <c r="L32" i="3" s="1"/>
  <c r="W32" i="3"/>
  <c r="T120" i="3" l="1"/>
  <c r="P121" i="3"/>
  <c r="Q121" i="3" s="1"/>
  <c r="R121" i="3" s="1"/>
  <c r="S121" i="3" s="1"/>
  <c r="AA121" i="3"/>
  <c r="AC121" i="3"/>
  <c r="Z121" i="3"/>
  <c r="A122" i="3"/>
  <c r="B122" i="3" s="1"/>
  <c r="AD121" i="3"/>
  <c r="AH33" i="3"/>
  <c r="AG33" i="3"/>
  <c r="U32" i="3"/>
  <c r="D33" i="3" s="1"/>
  <c r="Y31" i="3"/>
  <c r="T121" i="3" l="1"/>
  <c r="AC122" i="3"/>
  <c r="P122" i="3"/>
  <c r="Q122" i="3" s="1"/>
  <c r="R122" i="3" s="1"/>
  <c r="S122" i="3" s="1"/>
  <c r="AD122" i="3"/>
  <c r="AA122" i="3"/>
  <c r="Z122" i="3"/>
  <c r="A123" i="3"/>
  <c r="B123" i="3" s="1"/>
  <c r="E33" i="3"/>
  <c r="H33" i="3" s="1"/>
  <c r="K33" i="3" s="1"/>
  <c r="G33" i="3"/>
  <c r="T122" i="3" l="1"/>
  <c r="P123" i="3"/>
  <c r="Q123" i="3" s="1"/>
  <c r="R123" i="3" s="1"/>
  <c r="S123" i="3" s="1"/>
  <c r="AD123" i="3"/>
  <c r="AA123" i="3"/>
  <c r="A124" i="3"/>
  <c r="B124" i="3" s="1"/>
  <c r="AC123" i="3"/>
  <c r="Z123" i="3"/>
  <c r="F33" i="3"/>
  <c r="I33" i="3"/>
  <c r="J33" i="3"/>
  <c r="M33" i="3"/>
  <c r="N33" i="3" s="1"/>
  <c r="V33" i="3"/>
  <c r="AE33" i="3"/>
  <c r="T123" i="3" l="1"/>
  <c r="AC124" i="3"/>
  <c r="Z124" i="3"/>
  <c r="AD124" i="3"/>
  <c r="A125" i="3"/>
  <c r="B125" i="3" s="1"/>
  <c r="P124" i="3"/>
  <c r="Q124" i="3" s="1"/>
  <c r="R124" i="3" s="1"/>
  <c r="S124" i="3" s="1"/>
  <c r="AA124" i="3"/>
  <c r="W33" i="3"/>
  <c r="L33" i="3"/>
  <c r="T124" i="3" l="1"/>
  <c r="A126" i="3"/>
  <c r="B126" i="3" s="1"/>
  <c r="P125" i="3"/>
  <c r="Q125" i="3" s="1"/>
  <c r="R125" i="3" s="1"/>
  <c r="S125" i="3" s="1"/>
  <c r="Z125" i="3"/>
  <c r="AC125" i="3"/>
  <c r="AD125" i="3"/>
  <c r="AA125" i="3"/>
  <c r="AH34" i="3"/>
  <c r="AG34" i="3"/>
  <c r="U33" i="3"/>
  <c r="D34" i="3" s="1"/>
  <c r="Y32" i="3"/>
  <c r="T125" i="3" l="1"/>
  <c r="P126" i="3"/>
  <c r="Q126" i="3" s="1"/>
  <c r="R126" i="3" s="1"/>
  <c r="S126" i="3" s="1"/>
  <c r="Z126" i="3"/>
  <c r="A127" i="3"/>
  <c r="B127" i="3" s="1"/>
  <c r="AD126" i="3"/>
  <c r="AC126" i="3"/>
  <c r="AA126" i="3"/>
  <c r="G34" i="3"/>
  <c r="E34" i="3"/>
  <c r="H34" i="3" s="1"/>
  <c r="T126" i="3" l="1"/>
  <c r="P127" i="3"/>
  <c r="Q127" i="3" s="1"/>
  <c r="R127" i="3" s="1"/>
  <c r="S127" i="3" s="1"/>
  <c r="AA127" i="3"/>
  <c r="AC127" i="3"/>
  <c r="Z127" i="3"/>
  <c r="AD127" i="3"/>
  <c r="A128" i="3"/>
  <c r="B128" i="3" s="1"/>
  <c r="F34" i="3"/>
  <c r="I34" i="3"/>
  <c r="J34" i="3"/>
  <c r="M34" i="3"/>
  <c r="N34" i="3" s="1"/>
  <c r="K34" i="3"/>
  <c r="T127" i="3" l="1"/>
  <c r="P128" i="3"/>
  <c r="Q128" i="3" s="1"/>
  <c r="R128" i="3" s="1"/>
  <c r="S128" i="3" s="1"/>
  <c r="AA128" i="3"/>
  <c r="A129" i="3"/>
  <c r="B129" i="3" s="1"/>
  <c r="AD128" i="3"/>
  <c r="AC128" i="3"/>
  <c r="Z128" i="3"/>
  <c r="V34" i="3"/>
  <c r="W34" i="3" s="1"/>
  <c r="AE34" i="3"/>
  <c r="L34" i="3"/>
  <c r="T128" i="3" l="1"/>
  <c r="A130" i="3"/>
  <c r="B130" i="3" s="1"/>
  <c r="AD129" i="3"/>
  <c r="AA129" i="3"/>
  <c r="P129" i="3"/>
  <c r="Q129" i="3" s="1"/>
  <c r="R129" i="3" s="1"/>
  <c r="S129" i="3" s="1"/>
  <c r="AC129" i="3"/>
  <c r="Z129" i="3"/>
  <c r="U34" i="3"/>
  <c r="E35" i="3" s="1"/>
  <c r="H35" i="3" s="1"/>
  <c r="AH35" i="3"/>
  <c r="AG35" i="3"/>
  <c r="Y33" i="3"/>
  <c r="T129" i="3" l="1"/>
  <c r="AC130" i="3"/>
  <c r="A131" i="3"/>
  <c r="B131" i="3" s="1"/>
  <c r="P130" i="3"/>
  <c r="Q130" i="3" s="1"/>
  <c r="R130" i="3" s="1"/>
  <c r="S130" i="3" s="1"/>
  <c r="Z130" i="3"/>
  <c r="AA130" i="3"/>
  <c r="AD130" i="3"/>
  <c r="D35" i="3"/>
  <c r="G35" i="3" s="1"/>
  <c r="K35" i="3"/>
  <c r="T130" i="3" l="1"/>
  <c r="A132" i="3"/>
  <c r="B132" i="3" s="1"/>
  <c r="Z131" i="3"/>
  <c r="AD131" i="3"/>
  <c r="P131" i="3"/>
  <c r="Q131" i="3" s="1"/>
  <c r="R131" i="3" s="1"/>
  <c r="S131" i="3" s="1"/>
  <c r="AC131" i="3"/>
  <c r="AA131" i="3"/>
  <c r="F35" i="3"/>
  <c r="I35" i="3"/>
  <c r="J35" i="3"/>
  <c r="M35" i="3"/>
  <c r="N35" i="3" s="1"/>
  <c r="V35" i="3"/>
  <c r="AE35" i="3"/>
  <c r="T131" i="3" l="1"/>
  <c r="AD132" i="3"/>
  <c r="P132" i="3"/>
  <c r="Q132" i="3" s="1"/>
  <c r="R132" i="3" s="1"/>
  <c r="S132" i="3" s="1"/>
  <c r="A133" i="3"/>
  <c r="B133" i="3" s="1"/>
  <c r="AA132" i="3"/>
  <c r="Z132" i="3"/>
  <c r="AC132" i="3"/>
  <c r="W35" i="3"/>
  <c r="L35" i="3"/>
  <c r="T132" i="3" l="1"/>
  <c r="P133" i="3"/>
  <c r="Q133" i="3" s="1"/>
  <c r="R133" i="3" s="1"/>
  <c r="S133" i="3" s="1"/>
  <c r="AC133" i="3"/>
  <c r="AD133" i="3"/>
  <c r="AA133" i="3"/>
  <c r="A134" i="3"/>
  <c r="B134" i="3" s="1"/>
  <c r="Z133" i="3"/>
  <c r="U35" i="3"/>
  <c r="E36" i="3" s="1"/>
  <c r="H36" i="3" s="1"/>
  <c r="AG36" i="3"/>
  <c r="AH36" i="3"/>
  <c r="Y34" i="3"/>
  <c r="T133" i="3" l="1"/>
  <c r="A135" i="3"/>
  <c r="B135" i="3" s="1"/>
  <c r="P134" i="3"/>
  <c r="Q134" i="3" s="1"/>
  <c r="R134" i="3" s="1"/>
  <c r="S134" i="3" s="1"/>
  <c r="AC134" i="3"/>
  <c r="AA134" i="3"/>
  <c r="AD134" i="3"/>
  <c r="Z134" i="3"/>
  <c r="K36" i="3"/>
  <c r="D36" i="3"/>
  <c r="T134" i="3" l="1"/>
  <c r="AC135" i="3"/>
  <c r="Z135" i="3"/>
  <c r="P135" i="3"/>
  <c r="Q135" i="3" s="1"/>
  <c r="R135" i="3" s="1"/>
  <c r="S135" i="3" s="1"/>
  <c r="AD135" i="3"/>
  <c r="A136" i="3"/>
  <c r="B136" i="3" s="1"/>
  <c r="AA135" i="3"/>
  <c r="F36" i="3"/>
  <c r="G36" i="3"/>
  <c r="V36" i="3"/>
  <c r="AE36" i="3"/>
  <c r="T135" i="3" l="1"/>
  <c r="P136" i="3"/>
  <c r="Q136" i="3" s="1"/>
  <c r="R136" i="3" s="1"/>
  <c r="S136" i="3" s="1"/>
  <c r="AD136" i="3"/>
  <c r="A137" i="3"/>
  <c r="B137" i="3" s="1"/>
  <c r="AA136" i="3"/>
  <c r="AC136" i="3"/>
  <c r="Z136" i="3"/>
  <c r="I36" i="3"/>
  <c r="W36" i="3" s="1"/>
  <c r="J36" i="3"/>
  <c r="M36" i="3"/>
  <c r="N36" i="3" s="1"/>
  <c r="T136" i="3" l="1"/>
  <c r="AC137" i="3"/>
  <c r="A138" i="3"/>
  <c r="B138" i="3" s="1"/>
  <c r="Z137" i="3"/>
  <c r="AD137" i="3"/>
  <c r="AA137" i="3"/>
  <c r="P137" i="3"/>
  <c r="Q137" i="3" s="1"/>
  <c r="R137" i="3" s="1"/>
  <c r="S137" i="3" s="1"/>
  <c r="L36" i="3"/>
  <c r="T137" i="3" l="1"/>
  <c r="AD138" i="3"/>
  <c r="AC138" i="3"/>
  <c r="AA138" i="3"/>
  <c r="P138" i="3"/>
  <c r="Q138" i="3" s="1"/>
  <c r="R138" i="3" s="1"/>
  <c r="S138" i="3" s="1"/>
  <c r="Z138" i="3"/>
  <c r="A139" i="3"/>
  <c r="B139" i="3" s="1"/>
  <c r="AH37" i="3"/>
  <c r="AG37" i="3"/>
  <c r="U36" i="3"/>
  <c r="E37" i="3" s="1"/>
  <c r="H37" i="3" s="1"/>
  <c r="Y35" i="3"/>
  <c r="T138" i="3" l="1"/>
  <c r="P139" i="3"/>
  <c r="Q139" i="3" s="1"/>
  <c r="R139" i="3" s="1"/>
  <c r="S139" i="3" s="1"/>
  <c r="A140" i="3"/>
  <c r="B140" i="3" s="1"/>
  <c r="AC139" i="3"/>
  <c r="Z139" i="3"/>
  <c r="AA139" i="3"/>
  <c r="AD139" i="3"/>
  <c r="D37" i="3"/>
  <c r="G37" i="3" s="1"/>
  <c r="K37" i="3"/>
  <c r="T139" i="3" l="1"/>
  <c r="P140" i="3"/>
  <c r="Q140" i="3" s="1"/>
  <c r="R140" i="3" s="1"/>
  <c r="S140" i="3" s="1"/>
  <c r="A141" i="3"/>
  <c r="B141" i="3" s="1"/>
  <c r="AA140" i="3"/>
  <c r="AC140" i="3"/>
  <c r="Z140" i="3"/>
  <c r="AD140" i="3"/>
  <c r="F37" i="3"/>
  <c r="I37" i="3"/>
  <c r="J37" i="3"/>
  <c r="M37" i="3"/>
  <c r="N37" i="3" s="1"/>
  <c r="V37" i="3"/>
  <c r="AE37" i="3"/>
  <c r="T140" i="3" l="1"/>
  <c r="P141" i="3"/>
  <c r="Q141" i="3" s="1"/>
  <c r="R141" i="3" s="1"/>
  <c r="S141" i="3" s="1"/>
  <c r="AC141" i="3"/>
  <c r="AD141" i="3"/>
  <c r="AA141" i="3"/>
  <c r="A142" i="3"/>
  <c r="B142" i="3" s="1"/>
  <c r="Z141" i="3"/>
  <c r="W37" i="3"/>
  <c r="L37" i="3"/>
  <c r="T141" i="3" l="1"/>
  <c r="AD142" i="3"/>
  <c r="AA142" i="3"/>
  <c r="AC142" i="3"/>
  <c r="Z142" i="3"/>
  <c r="A143" i="3"/>
  <c r="B143" i="3" s="1"/>
  <c r="P142" i="3"/>
  <c r="Q142" i="3" s="1"/>
  <c r="R142" i="3" s="1"/>
  <c r="S142" i="3" s="1"/>
  <c r="AH38" i="3"/>
  <c r="AG38" i="3"/>
  <c r="U37" i="3"/>
  <c r="D38" i="3" s="1"/>
  <c r="Y36" i="3"/>
  <c r="T142" i="3" l="1"/>
  <c r="AC143" i="3"/>
  <c r="A144" i="3"/>
  <c r="B144" i="3" s="1"/>
  <c r="Z143" i="3"/>
  <c r="AA143" i="3"/>
  <c r="AD143" i="3"/>
  <c r="P143" i="3"/>
  <c r="Q143" i="3" s="1"/>
  <c r="R143" i="3" s="1"/>
  <c r="S143" i="3" s="1"/>
  <c r="G38" i="3"/>
  <c r="E38" i="3"/>
  <c r="H38" i="3" s="1"/>
  <c r="T143" i="3" l="1"/>
  <c r="AC144" i="3"/>
  <c r="P144" i="3"/>
  <c r="Q144" i="3" s="1"/>
  <c r="R144" i="3" s="1"/>
  <c r="S144" i="3" s="1"/>
  <c r="A145" i="3"/>
  <c r="B145" i="3" s="1"/>
  <c r="Z144" i="3"/>
  <c r="AA144" i="3"/>
  <c r="AD144" i="3"/>
  <c r="K38" i="3"/>
  <c r="F38" i="3"/>
  <c r="I38" i="3"/>
  <c r="J38" i="3"/>
  <c r="M38" i="3"/>
  <c r="N38" i="3" s="1"/>
  <c r="T144" i="3" l="1"/>
  <c r="Z145" i="3"/>
  <c r="AC145" i="3"/>
  <c r="A146" i="3"/>
  <c r="B146" i="3" s="1"/>
  <c r="AA145" i="3"/>
  <c r="AD145" i="3"/>
  <c r="P145" i="3"/>
  <c r="Q145" i="3" s="1"/>
  <c r="R145" i="3" s="1"/>
  <c r="S145" i="3" s="1"/>
  <c r="L38" i="3"/>
  <c r="V38" i="3"/>
  <c r="W38" i="3" s="1"/>
  <c r="AE38" i="3"/>
  <c r="T145" i="3" l="1"/>
  <c r="Z146" i="3"/>
  <c r="AA146" i="3"/>
  <c r="P146" i="3"/>
  <c r="Q146" i="3" s="1"/>
  <c r="R146" i="3" s="1"/>
  <c r="S146" i="3" s="1"/>
  <c r="AD146" i="3"/>
  <c r="A147" i="3"/>
  <c r="B147" i="3" s="1"/>
  <c r="AC146" i="3"/>
  <c r="U38" i="3"/>
  <c r="D39" i="3" s="1"/>
  <c r="AG39" i="3"/>
  <c r="AH39" i="3"/>
  <c r="Y37" i="3"/>
  <c r="T146" i="3" l="1"/>
  <c r="AC147" i="3"/>
  <c r="AD147" i="3"/>
  <c r="P147" i="3"/>
  <c r="Q147" i="3" s="1"/>
  <c r="R147" i="3" s="1"/>
  <c r="S147" i="3" s="1"/>
  <c r="A148" i="3"/>
  <c r="B148" i="3" s="1"/>
  <c r="AA147" i="3"/>
  <c r="Z147" i="3"/>
  <c r="G39" i="3"/>
  <c r="E39" i="3"/>
  <c r="H39" i="3" s="1"/>
  <c r="T147" i="3" l="1"/>
  <c r="P148" i="3"/>
  <c r="Q148" i="3" s="1"/>
  <c r="R148" i="3" s="1"/>
  <c r="S148" i="3" s="1"/>
  <c r="AA148" i="3"/>
  <c r="Z148" i="3"/>
  <c r="AD148" i="3"/>
  <c r="AC148" i="3"/>
  <c r="A149" i="3"/>
  <c r="B149" i="3" s="1"/>
  <c r="F39" i="3"/>
  <c r="K39" i="3"/>
  <c r="I39" i="3"/>
  <c r="J39" i="3"/>
  <c r="M39" i="3"/>
  <c r="N39" i="3" s="1"/>
  <c r="T148" i="3" l="1"/>
  <c r="AC149" i="3"/>
  <c r="AA149" i="3"/>
  <c r="AD149" i="3"/>
  <c r="Z149" i="3"/>
  <c r="A150" i="3"/>
  <c r="B150" i="3" s="1"/>
  <c r="P149" i="3"/>
  <c r="Q149" i="3" s="1"/>
  <c r="R149" i="3" s="1"/>
  <c r="S149" i="3" s="1"/>
  <c r="L39" i="3"/>
  <c r="V39" i="3"/>
  <c r="W39" i="3" s="1"/>
  <c r="AE39" i="3"/>
  <c r="T149" i="3" l="1"/>
  <c r="P150" i="3"/>
  <c r="Q150" i="3" s="1"/>
  <c r="R150" i="3" s="1"/>
  <c r="S150" i="3" s="1"/>
  <c r="AD150" i="3"/>
  <c r="A151" i="3"/>
  <c r="B151" i="3" s="1"/>
  <c r="AA150" i="3"/>
  <c r="AC150" i="3"/>
  <c r="Z150" i="3"/>
  <c r="U39" i="3"/>
  <c r="E40" i="3" s="1"/>
  <c r="H40" i="3" s="1"/>
  <c r="AH40" i="3"/>
  <c r="AG40" i="3"/>
  <c r="Y38" i="3"/>
  <c r="T150" i="3" l="1"/>
  <c r="AD151" i="3"/>
  <c r="A152" i="3"/>
  <c r="B152" i="3" s="1"/>
  <c r="P151" i="3"/>
  <c r="Q151" i="3" s="1"/>
  <c r="R151" i="3" s="1"/>
  <c r="S151" i="3" s="1"/>
  <c r="Z151" i="3"/>
  <c r="AA151" i="3"/>
  <c r="AC151" i="3"/>
  <c r="D40" i="3"/>
  <c r="F40" i="3" s="1"/>
  <c r="K40" i="3"/>
  <c r="T151" i="3" l="1"/>
  <c r="P152" i="3"/>
  <c r="Q152" i="3" s="1"/>
  <c r="R152" i="3" s="1"/>
  <c r="S152" i="3" s="1"/>
  <c r="A153" i="3"/>
  <c r="B153" i="3" s="1"/>
  <c r="AC152" i="3"/>
  <c r="AA152" i="3"/>
  <c r="Z152" i="3"/>
  <c r="AD152" i="3"/>
  <c r="G40" i="3"/>
  <c r="M40" i="3" s="1"/>
  <c r="N40" i="3" s="1"/>
  <c r="V40" i="3"/>
  <c r="AE40" i="3"/>
  <c r="T152" i="3" l="1"/>
  <c r="P153" i="3"/>
  <c r="Q153" i="3" s="1"/>
  <c r="R153" i="3" s="1"/>
  <c r="S153" i="3" s="1"/>
  <c r="AA153" i="3"/>
  <c r="A154" i="3"/>
  <c r="B154" i="3" s="1"/>
  <c r="Z153" i="3"/>
  <c r="AC153" i="3"/>
  <c r="AD153" i="3"/>
  <c r="I40" i="3"/>
  <c r="W40" i="3" s="1"/>
  <c r="J40" i="3"/>
  <c r="L40" i="3" s="1"/>
  <c r="T153" i="3" l="1"/>
  <c r="AD154" i="3"/>
  <c r="AC154" i="3"/>
  <c r="P154" i="3"/>
  <c r="Q154" i="3" s="1"/>
  <c r="R154" i="3" s="1"/>
  <c r="S154" i="3" s="1"/>
  <c r="A155" i="3"/>
  <c r="B155" i="3" s="1"/>
  <c r="Z154" i="3"/>
  <c r="AA154" i="3"/>
  <c r="U40" i="3"/>
  <c r="D41" i="3" s="1"/>
  <c r="AG41" i="3"/>
  <c r="AH41" i="3"/>
  <c r="Y39" i="3"/>
  <c r="T154" i="3" l="1"/>
  <c r="Z155" i="3"/>
  <c r="A156" i="3"/>
  <c r="B156" i="3" s="1"/>
  <c r="AD155" i="3"/>
  <c r="P155" i="3"/>
  <c r="Q155" i="3" s="1"/>
  <c r="R155" i="3" s="1"/>
  <c r="S155" i="3" s="1"/>
  <c r="AA155" i="3"/>
  <c r="AC155" i="3"/>
  <c r="G41" i="3"/>
  <c r="E41" i="3"/>
  <c r="H41" i="3" s="1"/>
  <c r="T155" i="3" l="1"/>
  <c r="AD156" i="3"/>
  <c r="Z156" i="3"/>
  <c r="AC156" i="3"/>
  <c r="P156" i="3"/>
  <c r="Q156" i="3" s="1"/>
  <c r="R156" i="3" s="1"/>
  <c r="S156" i="3" s="1"/>
  <c r="AA156" i="3"/>
  <c r="A157" i="3"/>
  <c r="B157" i="3" s="1"/>
  <c r="F41" i="3"/>
  <c r="I41" i="3"/>
  <c r="J41" i="3"/>
  <c r="M41" i="3"/>
  <c r="N41" i="3" s="1"/>
  <c r="K41" i="3"/>
  <c r="T156" i="3" l="1"/>
  <c r="AA157" i="3"/>
  <c r="P157" i="3"/>
  <c r="Q157" i="3" s="1"/>
  <c r="R157" i="3" s="1"/>
  <c r="S157" i="3" s="1"/>
  <c r="AC157" i="3"/>
  <c r="AD157" i="3"/>
  <c r="A158" i="3"/>
  <c r="B158" i="3" s="1"/>
  <c r="Z157" i="3"/>
  <c r="V41" i="3"/>
  <c r="W41" i="3" s="1"/>
  <c r="AE41" i="3"/>
  <c r="L41" i="3"/>
  <c r="T157" i="3" l="1"/>
  <c r="AD158" i="3"/>
  <c r="AA158" i="3"/>
  <c r="Z158" i="3"/>
  <c r="P158" i="3"/>
  <c r="Q158" i="3" s="1"/>
  <c r="R158" i="3" s="1"/>
  <c r="S158" i="3" s="1"/>
  <c r="A159" i="3"/>
  <c r="B159" i="3" s="1"/>
  <c r="AC158" i="3"/>
  <c r="U41" i="3"/>
  <c r="E42" i="3" s="1"/>
  <c r="H42" i="3" s="1"/>
  <c r="AG42" i="3"/>
  <c r="AH42" i="3"/>
  <c r="Y40" i="3"/>
  <c r="T158" i="3" l="1"/>
  <c r="AA159" i="3"/>
  <c r="A160" i="3"/>
  <c r="B160" i="3" s="1"/>
  <c r="AC159" i="3"/>
  <c r="AD159" i="3"/>
  <c r="Z159" i="3"/>
  <c r="P159" i="3"/>
  <c r="Q159" i="3" s="1"/>
  <c r="R159" i="3" s="1"/>
  <c r="S159" i="3" s="1"/>
  <c r="D42" i="3"/>
  <c r="G42" i="3" s="1"/>
  <c r="K42" i="3"/>
  <c r="T159" i="3" l="1"/>
  <c r="AC160" i="3"/>
  <c r="AA160" i="3"/>
  <c r="AD160" i="3"/>
  <c r="A161" i="3"/>
  <c r="B161" i="3" s="1"/>
  <c r="P160" i="3"/>
  <c r="Q160" i="3" s="1"/>
  <c r="R160" i="3" s="1"/>
  <c r="S160" i="3" s="1"/>
  <c r="Z160" i="3"/>
  <c r="F42" i="3"/>
  <c r="V42" i="3"/>
  <c r="AE42" i="3"/>
  <c r="I42" i="3"/>
  <c r="J42" i="3"/>
  <c r="M42" i="3"/>
  <c r="N42" i="3" s="1"/>
  <c r="T160" i="3" l="1"/>
  <c r="AA161" i="3"/>
  <c r="P161" i="3"/>
  <c r="Q161" i="3" s="1"/>
  <c r="R161" i="3" s="1"/>
  <c r="S161" i="3" s="1"/>
  <c r="AD161" i="3"/>
  <c r="Z161" i="3"/>
  <c r="A162" i="3"/>
  <c r="B162" i="3" s="1"/>
  <c r="AC161" i="3"/>
  <c r="W42" i="3"/>
  <c r="L42" i="3"/>
  <c r="T161" i="3" l="1"/>
  <c r="Z162" i="3"/>
  <c r="AA162" i="3"/>
  <c r="AC162" i="3"/>
  <c r="A163" i="3"/>
  <c r="B163" i="3" s="1"/>
  <c r="P162" i="3"/>
  <c r="Q162" i="3" s="1"/>
  <c r="R162" i="3" s="1"/>
  <c r="S162" i="3" s="1"/>
  <c r="AD162" i="3"/>
  <c r="AG43" i="3"/>
  <c r="AH43" i="3"/>
  <c r="U42" i="3"/>
  <c r="E43" i="3" s="1"/>
  <c r="H43" i="3" s="1"/>
  <c r="Y41" i="3"/>
  <c r="T162" i="3" l="1"/>
  <c r="P163" i="3"/>
  <c r="Q163" i="3" s="1"/>
  <c r="R163" i="3" s="1"/>
  <c r="S163" i="3" s="1"/>
  <c r="AA163" i="3"/>
  <c r="A164" i="3"/>
  <c r="B164" i="3" s="1"/>
  <c r="AC163" i="3"/>
  <c r="Z163" i="3"/>
  <c r="AD163" i="3"/>
  <c r="K43" i="3"/>
  <c r="D43" i="3"/>
  <c r="T163" i="3" l="1"/>
  <c r="AD164" i="3"/>
  <c r="AC164" i="3"/>
  <c r="P164" i="3"/>
  <c r="Q164" i="3" s="1"/>
  <c r="R164" i="3" s="1"/>
  <c r="S164" i="3" s="1"/>
  <c r="Z164" i="3"/>
  <c r="AA164" i="3"/>
  <c r="A165" i="3"/>
  <c r="B165" i="3" s="1"/>
  <c r="V43" i="3"/>
  <c r="AE43" i="3"/>
  <c r="F43" i="3"/>
  <c r="G43" i="3"/>
  <c r="T164" i="3" l="1"/>
  <c r="AD165" i="3"/>
  <c r="A166" i="3"/>
  <c r="B166" i="3" s="1"/>
  <c r="AA165" i="3"/>
  <c r="AC165" i="3"/>
  <c r="P165" i="3"/>
  <c r="Q165" i="3" s="1"/>
  <c r="R165" i="3" s="1"/>
  <c r="S165" i="3" s="1"/>
  <c r="Z165" i="3"/>
  <c r="I43" i="3"/>
  <c r="W43" i="3" s="1"/>
  <c r="J43" i="3"/>
  <c r="M43" i="3"/>
  <c r="N43" i="3" s="1"/>
  <c r="T165" i="3" l="1"/>
  <c r="AA166" i="3"/>
  <c r="AD166" i="3"/>
  <c r="Z166" i="3"/>
  <c r="A167" i="3"/>
  <c r="B167" i="3" s="1"/>
  <c r="P166" i="3"/>
  <c r="Q166" i="3" s="1"/>
  <c r="R166" i="3" s="1"/>
  <c r="S166" i="3" s="1"/>
  <c r="AC166" i="3"/>
  <c r="L43" i="3"/>
  <c r="T166" i="3" l="1"/>
  <c r="AA167" i="3"/>
  <c r="Z167" i="3"/>
  <c r="A168" i="3"/>
  <c r="B168" i="3" s="1"/>
  <c r="AD167" i="3"/>
  <c r="P167" i="3"/>
  <c r="Q167" i="3" s="1"/>
  <c r="R167" i="3" s="1"/>
  <c r="S167" i="3" s="1"/>
  <c r="AC167" i="3"/>
  <c r="AG44" i="3"/>
  <c r="AH44" i="3"/>
  <c r="U43" i="3"/>
  <c r="E44" i="3" s="1"/>
  <c r="H44" i="3" s="1"/>
  <c r="Y42" i="3"/>
  <c r="T167" i="3" l="1"/>
  <c r="P168" i="3"/>
  <c r="Q168" i="3" s="1"/>
  <c r="R168" i="3" s="1"/>
  <c r="S168" i="3" s="1"/>
  <c r="AD168" i="3"/>
  <c r="AA168" i="3"/>
  <c r="A169" i="3"/>
  <c r="B169" i="3" s="1"/>
  <c r="Z168" i="3"/>
  <c r="AC168" i="3"/>
  <c r="D44" i="3"/>
  <c r="F44" i="3" s="1"/>
  <c r="K44" i="3"/>
  <c r="T168" i="3" l="1"/>
  <c r="Z169" i="3"/>
  <c r="P169" i="3"/>
  <c r="Q169" i="3" s="1"/>
  <c r="R169" i="3" s="1"/>
  <c r="S169" i="3" s="1"/>
  <c r="AD169" i="3"/>
  <c r="A170" i="3"/>
  <c r="B170" i="3" s="1"/>
  <c r="AA169" i="3"/>
  <c r="AC169" i="3"/>
  <c r="G44" i="3"/>
  <c r="J44" i="3" s="1"/>
  <c r="V44" i="3"/>
  <c r="AE44" i="3"/>
  <c r="T169" i="3" l="1"/>
  <c r="AC170" i="3"/>
  <c r="AD170" i="3"/>
  <c r="P170" i="3"/>
  <c r="Q170" i="3" s="1"/>
  <c r="R170" i="3" s="1"/>
  <c r="S170" i="3" s="1"/>
  <c r="AA170" i="3"/>
  <c r="A171" i="3"/>
  <c r="B171" i="3" s="1"/>
  <c r="Z170" i="3"/>
  <c r="M44" i="3"/>
  <c r="N44" i="3" s="1"/>
  <c r="I44" i="3"/>
  <c r="W44" i="3" s="1"/>
  <c r="L44" i="3"/>
  <c r="T170" i="3" l="1"/>
  <c r="AC171" i="3"/>
  <c r="AD171" i="3"/>
  <c r="Z171" i="3"/>
  <c r="A172" i="3"/>
  <c r="B172" i="3" s="1"/>
  <c r="P171" i="3"/>
  <c r="Q171" i="3" s="1"/>
  <c r="R171" i="3" s="1"/>
  <c r="S171" i="3" s="1"/>
  <c r="AA171" i="3"/>
  <c r="U44" i="3"/>
  <c r="E45" i="3" s="1"/>
  <c r="H45" i="3" s="1"/>
  <c r="AH45" i="3"/>
  <c r="AG45" i="3"/>
  <c r="Y43" i="3"/>
  <c r="T171" i="3" l="1"/>
  <c r="A173" i="3"/>
  <c r="B173" i="3" s="1"/>
  <c r="AD172" i="3"/>
  <c r="AC172" i="3"/>
  <c r="AA172" i="3"/>
  <c r="P172" i="3"/>
  <c r="Q172" i="3" s="1"/>
  <c r="R172" i="3" s="1"/>
  <c r="S172" i="3" s="1"/>
  <c r="Z172" i="3"/>
  <c r="D45" i="3"/>
  <c r="G45" i="3" s="1"/>
  <c r="K45" i="3"/>
  <c r="T172" i="3" l="1"/>
  <c r="AD173" i="3"/>
  <c r="A174" i="3"/>
  <c r="B174" i="3" s="1"/>
  <c r="Z173" i="3"/>
  <c r="AC173" i="3"/>
  <c r="P173" i="3"/>
  <c r="Q173" i="3" s="1"/>
  <c r="R173" i="3" s="1"/>
  <c r="S173" i="3" s="1"/>
  <c r="AA173" i="3"/>
  <c r="F45" i="3"/>
  <c r="I45" i="3"/>
  <c r="J45" i="3"/>
  <c r="M45" i="3"/>
  <c r="N45" i="3" s="1"/>
  <c r="V45" i="3"/>
  <c r="AE45" i="3"/>
  <c r="T173" i="3" l="1"/>
  <c r="A175" i="3"/>
  <c r="B175" i="3" s="1"/>
  <c r="AA174" i="3"/>
  <c r="Z174" i="3"/>
  <c r="P174" i="3"/>
  <c r="Q174" i="3" s="1"/>
  <c r="R174" i="3" s="1"/>
  <c r="S174" i="3" s="1"/>
  <c r="AC174" i="3"/>
  <c r="AD174" i="3"/>
  <c r="L45" i="3"/>
  <c r="W45" i="3"/>
  <c r="T174" i="3" l="1"/>
  <c r="A176" i="3"/>
  <c r="B176" i="3" s="1"/>
  <c r="AC175" i="3"/>
  <c r="AD175" i="3"/>
  <c r="Z175" i="3"/>
  <c r="P175" i="3"/>
  <c r="Q175" i="3" s="1"/>
  <c r="R175" i="3" s="1"/>
  <c r="S175" i="3" s="1"/>
  <c r="AA175" i="3"/>
  <c r="U45" i="3"/>
  <c r="D46" i="3" s="1"/>
  <c r="AG46" i="3"/>
  <c r="AH46" i="3"/>
  <c r="Y44" i="3"/>
  <c r="T175" i="3" l="1"/>
  <c r="AD176" i="3"/>
  <c r="Z176" i="3"/>
  <c r="P176" i="3"/>
  <c r="Q176" i="3" s="1"/>
  <c r="R176" i="3" s="1"/>
  <c r="S176" i="3" s="1"/>
  <c r="AC176" i="3"/>
  <c r="AA176" i="3"/>
  <c r="A177" i="3"/>
  <c r="B177" i="3" s="1"/>
  <c r="E46" i="3"/>
  <c r="H46" i="3" s="1"/>
  <c r="K46" i="3" s="1"/>
  <c r="G46" i="3"/>
  <c r="T176" i="3" l="1"/>
  <c r="P177" i="3"/>
  <c r="Q177" i="3" s="1"/>
  <c r="R177" i="3" s="1"/>
  <c r="S177" i="3" s="1"/>
  <c r="AC177" i="3"/>
  <c r="AA177" i="3"/>
  <c r="AD177" i="3"/>
  <c r="Z177" i="3"/>
  <c r="A178" i="3"/>
  <c r="B178" i="3" s="1"/>
  <c r="F46" i="3"/>
  <c r="I46" i="3"/>
  <c r="J46" i="3"/>
  <c r="M46" i="3"/>
  <c r="N46" i="3" s="1"/>
  <c r="V46" i="3"/>
  <c r="AE46" i="3"/>
  <c r="T177" i="3" l="1"/>
  <c r="A179" i="3"/>
  <c r="B179" i="3" s="1"/>
  <c r="Z178" i="3"/>
  <c r="AC178" i="3"/>
  <c r="P178" i="3"/>
  <c r="Q178" i="3" s="1"/>
  <c r="R178" i="3" s="1"/>
  <c r="S178" i="3" s="1"/>
  <c r="AD178" i="3"/>
  <c r="AA178" i="3"/>
  <c r="W46" i="3"/>
  <c r="L46" i="3"/>
  <c r="T178" i="3" l="1"/>
  <c r="Z179" i="3"/>
  <c r="AA179" i="3"/>
  <c r="AC179" i="3"/>
  <c r="A180" i="3"/>
  <c r="B180" i="3" s="1"/>
  <c r="P179" i="3"/>
  <c r="Q179" i="3" s="1"/>
  <c r="R179" i="3" s="1"/>
  <c r="S179" i="3" s="1"/>
  <c r="AD179" i="3"/>
  <c r="AG47" i="3"/>
  <c r="U46" i="3"/>
  <c r="D47" i="3" s="1"/>
  <c r="AH47" i="3"/>
  <c r="Y45" i="3"/>
  <c r="T179" i="3" l="1"/>
  <c r="A181" i="3"/>
  <c r="B181" i="3" s="1"/>
  <c r="AD180" i="3"/>
  <c r="Z180" i="3"/>
  <c r="AC180" i="3"/>
  <c r="AA180" i="3"/>
  <c r="P180" i="3"/>
  <c r="Q180" i="3" s="1"/>
  <c r="R180" i="3" s="1"/>
  <c r="S180" i="3" s="1"/>
  <c r="E47" i="3"/>
  <c r="H47" i="3" s="1"/>
  <c r="K47" i="3" s="1"/>
  <c r="G47" i="3"/>
  <c r="T180" i="3" l="1"/>
  <c r="AA181" i="3"/>
  <c r="A182" i="3"/>
  <c r="B182" i="3" s="1"/>
  <c r="AD181" i="3"/>
  <c r="Z181" i="3"/>
  <c r="P181" i="3"/>
  <c r="Q181" i="3" s="1"/>
  <c r="R181" i="3" s="1"/>
  <c r="S181" i="3" s="1"/>
  <c r="AC181" i="3"/>
  <c r="F47" i="3"/>
  <c r="I47" i="3"/>
  <c r="J47" i="3"/>
  <c r="M47" i="3"/>
  <c r="N47" i="3" s="1"/>
  <c r="V47" i="3"/>
  <c r="AE47" i="3"/>
  <c r="T181" i="3" l="1"/>
  <c r="A183" i="3"/>
  <c r="B183" i="3" s="1"/>
  <c r="Z182" i="3"/>
  <c r="P182" i="3"/>
  <c r="Q182" i="3" s="1"/>
  <c r="R182" i="3" s="1"/>
  <c r="S182" i="3" s="1"/>
  <c r="AC182" i="3"/>
  <c r="AA182" i="3"/>
  <c r="AD182" i="3"/>
  <c r="W47" i="3"/>
  <c r="L47" i="3"/>
  <c r="T182" i="3" l="1"/>
  <c r="AD183" i="3"/>
  <c r="AA183" i="3"/>
  <c r="P183" i="3"/>
  <c r="Q183" i="3" s="1"/>
  <c r="R183" i="3" s="1"/>
  <c r="S183" i="3" s="1"/>
  <c r="A184" i="3"/>
  <c r="B184" i="3" s="1"/>
  <c r="Z183" i="3"/>
  <c r="AC183" i="3"/>
  <c r="AG48" i="3"/>
  <c r="U47" i="3"/>
  <c r="E48" i="3" s="1"/>
  <c r="H48" i="3" s="1"/>
  <c r="AH48" i="3"/>
  <c r="Y46" i="3"/>
  <c r="T183" i="3" l="1"/>
  <c r="AD184" i="3"/>
  <c r="A185" i="3"/>
  <c r="B185" i="3" s="1"/>
  <c r="Z184" i="3"/>
  <c r="AC184" i="3"/>
  <c r="P184" i="3"/>
  <c r="Q184" i="3" s="1"/>
  <c r="R184" i="3" s="1"/>
  <c r="S184" i="3" s="1"/>
  <c r="AA184" i="3"/>
  <c r="K48" i="3"/>
  <c r="D48" i="3"/>
  <c r="T184" i="3" l="1"/>
  <c r="A186" i="3"/>
  <c r="B186" i="3" s="1"/>
  <c r="P185" i="3"/>
  <c r="Q185" i="3" s="1"/>
  <c r="R185" i="3" s="1"/>
  <c r="S185" i="3" s="1"/>
  <c r="AC185" i="3"/>
  <c r="AD185" i="3"/>
  <c r="AA185" i="3"/>
  <c r="Z185" i="3"/>
  <c r="V48" i="3"/>
  <c r="AE48" i="3"/>
  <c r="F48" i="3"/>
  <c r="G48" i="3"/>
  <c r="T185" i="3" l="1"/>
  <c r="Z186" i="3"/>
  <c r="P186" i="3"/>
  <c r="Q186" i="3" s="1"/>
  <c r="R186" i="3" s="1"/>
  <c r="S186" i="3" s="1"/>
  <c r="AC186" i="3"/>
  <c r="AD186" i="3"/>
  <c r="AA186" i="3"/>
  <c r="A187" i="3"/>
  <c r="B187" i="3" s="1"/>
  <c r="I48" i="3"/>
  <c r="W48" i="3" s="1"/>
  <c r="J48" i="3"/>
  <c r="M48" i="3"/>
  <c r="N48" i="3" s="1"/>
  <c r="T186" i="3" l="1"/>
  <c r="AA187" i="3"/>
  <c r="AD187" i="3"/>
  <c r="AC187" i="3"/>
  <c r="A188" i="3"/>
  <c r="B188" i="3" s="1"/>
  <c r="Z187" i="3"/>
  <c r="P187" i="3"/>
  <c r="Q187" i="3" s="1"/>
  <c r="R187" i="3" s="1"/>
  <c r="S187" i="3" s="1"/>
  <c r="L48" i="3"/>
  <c r="T187" i="3" l="1"/>
  <c r="AD188" i="3"/>
  <c r="AA188" i="3"/>
  <c r="Z188" i="3"/>
  <c r="P188" i="3"/>
  <c r="Q188" i="3" s="1"/>
  <c r="R188" i="3" s="1"/>
  <c r="S188" i="3" s="1"/>
  <c r="A189" i="3"/>
  <c r="B189" i="3" s="1"/>
  <c r="AC188" i="3"/>
  <c r="AH49" i="3"/>
  <c r="U48" i="3"/>
  <c r="E49" i="3" s="1"/>
  <c r="H49" i="3" s="1"/>
  <c r="AG49" i="3"/>
  <c r="Y47" i="3"/>
  <c r="T188" i="3" l="1"/>
  <c r="P189" i="3"/>
  <c r="Q189" i="3" s="1"/>
  <c r="R189" i="3" s="1"/>
  <c r="S189" i="3" s="1"/>
  <c r="A190" i="3"/>
  <c r="B190" i="3" s="1"/>
  <c r="AA189" i="3"/>
  <c r="AC189" i="3"/>
  <c r="Z189" i="3"/>
  <c r="AD189" i="3"/>
  <c r="D49" i="3"/>
  <c r="G49" i="3" s="1"/>
  <c r="K49" i="3"/>
  <c r="T189" i="3" l="1"/>
  <c r="AA190" i="3"/>
  <c r="A191" i="3"/>
  <c r="B191" i="3" s="1"/>
  <c r="AD190" i="3"/>
  <c r="P190" i="3"/>
  <c r="Q190" i="3" s="1"/>
  <c r="R190" i="3" s="1"/>
  <c r="S190" i="3" s="1"/>
  <c r="Z190" i="3"/>
  <c r="AC190" i="3"/>
  <c r="F49" i="3"/>
  <c r="V49" i="3"/>
  <c r="AE49" i="3"/>
  <c r="I49" i="3"/>
  <c r="J49" i="3"/>
  <c r="M49" i="3"/>
  <c r="N49" i="3" s="1"/>
  <c r="T190" i="3" l="1"/>
  <c r="P191" i="3"/>
  <c r="Q191" i="3" s="1"/>
  <c r="R191" i="3" s="1"/>
  <c r="S191" i="3" s="1"/>
  <c r="AA191" i="3"/>
  <c r="AC191" i="3"/>
  <c r="Z191" i="3"/>
  <c r="AD191" i="3"/>
  <c r="A192" i="3"/>
  <c r="B192" i="3" s="1"/>
  <c r="W49" i="3"/>
  <c r="L49" i="3"/>
  <c r="T191" i="3" l="1"/>
  <c r="Z192" i="3"/>
  <c r="AD192" i="3"/>
  <c r="AC192" i="3"/>
  <c r="P192" i="3"/>
  <c r="Q192" i="3" s="1"/>
  <c r="R192" i="3" s="1"/>
  <c r="S192" i="3" s="1"/>
  <c r="A193" i="3"/>
  <c r="B193" i="3" s="1"/>
  <c r="AA192" i="3"/>
  <c r="AG50" i="3"/>
  <c r="AH50" i="3"/>
  <c r="U49" i="3"/>
  <c r="D50" i="3" s="1"/>
  <c r="Y48" i="3"/>
  <c r="T192" i="3" l="1"/>
  <c r="AA193" i="3"/>
  <c r="A194" i="3"/>
  <c r="B194" i="3" s="1"/>
  <c r="Z193" i="3"/>
  <c r="P193" i="3"/>
  <c r="Q193" i="3" s="1"/>
  <c r="R193" i="3" s="1"/>
  <c r="S193" i="3" s="1"/>
  <c r="AD193" i="3"/>
  <c r="AC193" i="3"/>
  <c r="E50" i="3"/>
  <c r="H50" i="3" s="1"/>
  <c r="K50" i="3" s="1"/>
  <c r="G50" i="3"/>
  <c r="T193" i="3" l="1"/>
  <c r="AD194" i="3"/>
  <c r="AC194" i="3"/>
  <c r="P194" i="3"/>
  <c r="Q194" i="3" s="1"/>
  <c r="R194" i="3" s="1"/>
  <c r="S194" i="3" s="1"/>
  <c r="A195" i="3"/>
  <c r="B195" i="3" s="1"/>
  <c r="Z194" i="3"/>
  <c r="AA194" i="3"/>
  <c r="F50" i="3"/>
  <c r="I50" i="3"/>
  <c r="J50" i="3"/>
  <c r="M50" i="3"/>
  <c r="N50" i="3" s="1"/>
  <c r="V50" i="3"/>
  <c r="AE50" i="3"/>
  <c r="T194" i="3" l="1"/>
  <c r="AC195" i="3"/>
  <c r="AD195" i="3"/>
  <c r="Z195" i="3"/>
  <c r="A196" i="3"/>
  <c r="B196" i="3" s="1"/>
  <c r="P195" i="3"/>
  <c r="Q195" i="3" s="1"/>
  <c r="R195" i="3" s="1"/>
  <c r="S195" i="3" s="1"/>
  <c r="AA195" i="3"/>
  <c r="L50" i="3"/>
  <c r="W50" i="3"/>
  <c r="T195" i="3" l="1"/>
  <c r="P196" i="3"/>
  <c r="Q196" i="3" s="1"/>
  <c r="R196" i="3" s="1"/>
  <c r="S196" i="3" s="1"/>
  <c r="AC196" i="3"/>
  <c r="Z196" i="3"/>
  <c r="AD196" i="3"/>
  <c r="A197" i="3"/>
  <c r="B197" i="3" s="1"/>
  <c r="AA196" i="3"/>
  <c r="U50" i="3"/>
  <c r="D51" i="3" s="1"/>
  <c r="AH51" i="3"/>
  <c r="AG51" i="3"/>
  <c r="Y49" i="3"/>
  <c r="T196" i="3" l="1"/>
  <c r="AC197" i="3"/>
  <c r="AA197" i="3"/>
  <c r="AD197" i="3"/>
  <c r="Z197" i="3"/>
  <c r="A198" i="3"/>
  <c r="B198" i="3" s="1"/>
  <c r="P197" i="3"/>
  <c r="Q197" i="3" s="1"/>
  <c r="R197" i="3" s="1"/>
  <c r="S197" i="3" s="1"/>
  <c r="E51" i="3"/>
  <c r="H51" i="3" s="1"/>
  <c r="K51" i="3" s="1"/>
  <c r="G51" i="3"/>
  <c r="T197" i="3" l="1"/>
  <c r="P198" i="3"/>
  <c r="Q198" i="3" s="1"/>
  <c r="R198" i="3" s="1"/>
  <c r="S198" i="3" s="1"/>
  <c r="AA198" i="3"/>
  <c r="Z198" i="3"/>
  <c r="AC198" i="3"/>
  <c r="A199" i="3"/>
  <c r="B199" i="3" s="1"/>
  <c r="AD198" i="3"/>
  <c r="F51" i="3"/>
  <c r="V51" i="3"/>
  <c r="AE51" i="3"/>
  <c r="I51" i="3"/>
  <c r="J51" i="3"/>
  <c r="M51" i="3"/>
  <c r="N51" i="3" s="1"/>
  <c r="T198" i="3" l="1"/>
  <c r="AD199" i="3"/>
  <c r="AC199" i="3"/>
  <c r="Z199" i="3"/>
  <c r="P199" i="3"/>
  <c r="Q199" i="3" s="1"/>
  <c r="R199" i="3" s="1"/>
  <c r="S199" i="3" s="1"/>
  <c r="AA199" i="3"/>
  <c r="A200" i="3"/>
  <c r="B200" i="3" s="1"/>
  <c r="W51" i="3"/>
  <c r="L51" i="3"/>
  <c r="T199" i="3" l="1"/>
  <c r="A201" i="3"/>
  <c r="B201" i="3" s="1"/>
  <c r="AC200" i="3"/>
  <c r="P200" i="3"/>
  <c r="Q200" i="3" s="1"/>
  <c r="R200" i="3" s="1"/>
  <c r="S200" i="3" s="1"/>
  <c r="AA200" i="3"/>
  <c r="Z200" i="3"/>
  <c r="AD200" i="3"/>
  <c r="AH52" i="3"/>
  <c r="AG52" i="3"/>
  <c r="U51" i="3"/>
  <c r="E52" i="3" s="1"/>
  <c r="H52" i="3" s="1"/>
  <c r="Y50" i="3"/>
  <c r="T200" i="3" l="1"/>
  <c r="A202" i="3"/>
  <c r="B202" i="3" s="1"/>
  <c r="Z201" i="3"/>
  <c r="P201" i="3"/>
  <c r="Q201" i="3" s="1"/>
  <c r="R201" i="3" s="1"/>
  <c r="S201" i="3" s="1"/>
  <c r="AA201" i="3"/>
  <c r="AD201" i="3"/>
  <c r="AC201" i="3"/>
  <c r="D52" i="3"/>
  <c r="G52" i="3" s="1"/>
  <c r="K52" i="3"/>
  <c r="T201" i="3" l="1"/>
  <c r="P202" i="3"/>
  <c r="Q202" i="3" s="1"/>
  <c r="R202" i="3" s="1"/>
  <c r="S202" i="3" s="1"/>
  <c r="Z202" i="3"/>
  <c r="A203" i="3"/>
  <c r="B203" i="3" s="1"/>
  <c r="AD202" i="3"/>
  <c r="AA202" i="3"/>
  <c r="AC202" i="3"/>
  <c r="F52" i="3"/>
  <c r="V52" i="3"/>
  <c r="AE52" i="3"/>
  <c r="I52" i="3"/>
  <c r="J52" i="3"/>
  <c r="M52" i="3"/>
  <c r="N52" i="3" s="1"/>
  <c r="T202" i="3" l="1"/>
  <c r="P203" i="3"/>
  <c r="Q203" i="3" s="1"/>
  <c r="R203" i="3" s="1"/>
  <c r="S203" i="3" s="1"/>
  <c r="A204" i="3"/>
  <c r="B204" i="3" s="1"/>
  <c r="Z203" i="3"/>
  <c r="AC203" i="3"/>
  <c r="AD203" i="3"/>
  <c r="AA203" i="3"/>
  <c r="L52" i="3"/>
  <c r="W52" i="3"/>
  <c r="T203" i="3" l="1"/>
  <c r="P204" i="3"/>
  <c r="Q204" i="3" s="1"/>
  <c r="R204" i="3" s="1"/>
  <c r="S204" i="3" s="1"/>
  <c r="T204" i="3" s="1"/>
  <c r="AA204" i="3"/>
  <c r="AC204" i="3"/>
  <c r="Z204" i="3"/>
  <c r="AH53" i="3"/>
  <c r="AG53" i="3"/>
  <c r="U52" i="3"/>
  <c r="E53" i="3" s="1"/>
  <c r="H53" i="3" s="1"/>
  <c r="Y51" i="3"/>
  <c r="K53" i="3" l="1"/>
  <c r="D53" i="3"/>
  <c r="V53" i="3" l="1"/>
  <c r="AE53" i="3"/>
  <c r="F53" i="3"/>
  <c r="G53" i="3"/>
  <c r="I53" i="3" l="1"/>
  <c r="W53" i="3" s="1"/>
  <c r="J53" i="3"/>
  <c r="M53" i="3"/>
  <c r="N53" i="3" s="1"/>
  <c r="L53" i="3" l="1"/>
  <c r="AH54" i="3" l="1"/>
  <c r="AG54" i="3"/>
  <c r="U53" i="3"/>
  <c r="D54" i="3" s="1"/>
  <c r="Y52" i="3"/>
  <c r="G54" i="3" l="1"/>
  <c r="E54" i="3"/>
  <c r="H54" i="3" s="1"/>
  <c r="I54" i="3" l="1"/>
  <c r="J54" i="3"/>
  <c r="M54" i="3"/>
  <c r="N54" i="3" s="1"/>
  <c r="F54" i="3"/>
  <c r="K54" i="3"/>
  <c r="L54" i="3" l="1"/>
  <c r="V54" i="3"/>
  <c r="W54" i="3" s="1"/>
  <c r="AE54" i="3"/>
  <c r="U54" i="3" l="1"/>
  <c r="D55" i="3" s="1"/>
  <c r="AG55" i="3"/>
  <c r="AH55" i="3"/>
  <c r="Y53" i="3"/>
  <c r="E55" i="3" l="1"/>
  <c r="H55" i="3" s="1"/>
  <c r="K55" i="3" s="1"/>
  <c r="G55" i="3"/>
  <c r="F55" i="3" l="1"/>
  <c r="V55" i="3"/>
  <c r="AE55" i="3"/>
  <c r="I55" i="3"/>
  <c r="J55" i="3"/>
  <c r="M55" i="3"/>
  <c r="N55" i="3" s="1"/>
  <c r="W55" i="3" l="1"/>
  <c r="L55" i="3"/>
  <c r="AH56" i="3" l="1"/>
  <c r="U55" i="3"/>
  <c r="D56" i="3" s="1"/>
  <c r="AG56" i="3"/>
  <c r="Y54" i="3"/>
  <c r="E56" i="3" l="1"/>
  <c r="H56" i="3" s="1"/>
  <c r="K56" i="3" s="1"/>
  <c r="G56" i="3"/>
  <c r="F56" i="3" l="1"/>
  <c r="I56" i="3"/>
  <c r="J56" i="3"/>
  <c r="M56" i="3"/>
  <c r="N56" i="3" s="1"/>
  <c r="V56" i="3"/>
  <c r="AE56" i="3"/>
  <c r="W56" i="3" l="1"/>
  <c r="L56" i="3"/>
  <c r="AG57" i="3" l="1"/>
  <c r="U56" i="3"/>
  <c r="D57" i="3" s="1"/>
  <c r="AH57" i="3"/>
  <c r="Y55" i="3"/>
  <c r="E57" i="3" l="1"/>
  <c r="H57" i="3" s="1"/>
  <c r="K57" i="3" s="1"/>
  <c r="G57" i="3"/>
  <c r="F57" i="3" l="1"/>
  <c r="I57" i="3"/>
  <c r="J57" i="3"/>
  <c r="M57" i="3"/>
  <c r="N57" i="3" s="1"/>
  <c r="V57" i="3"/>
  <c r="AE57" i="3"/>
  <c r="W57" i="3" l="1"/>
  <c r="L57" i="3"/>
  <c r="U57" i="3" l="1"/>
  <c r="D58" i="3" s="1"/>
  <c r="AH58" i="3"/>
  <c r="AG58" i="3"/>
  <c r="Y56" i="3"/>
  <c r="E58" i="3" l="1"/>
  <c r="H58" i="3" s="1"/>
  <c r="K58" i="3" s="1"/>
  <c r="G58" i="3"/>
  <c r="F58" i="3" l="1"/>
  <c r="V58" i="3"/>
  <c r="AE58" i="3"/>
  <c r="I58" i="3"/>
  <c r="J58" i="3"/>
  <c r="M58" i="3"/>
  <c r="N58" i="3" s="1"/>
  <c r="W58" i="3" l="1"/>
  <c r="L58" i="3"/>
  <c r="AG59" i="3" l="1"/>
  <c r="U58" i="3"/>
  <c r="E59" i="3" s="1"/>
  <c r="H59" i="3" s="1"/>
  <c r="AH59" i="3"/>
  <c r="Y57" i="3"/>
  <c r="D59" i="3" l="1"/>
  <c r="F59" i="3" s="1"/>
  <c r="K59" i="3"/>
  <c r="G59" i="3" l="1"/>
  <c r="M59" i="3" s="1"/>
  <c r="N59" i="3" s="1"/>
  <c r="V59" i="3"/>
  <c r="AE59" i="3"/>
  <c r="I59" i="3" l="1"/>
  <c r="W59" i="3" s="1"/>
  <c r="J59" i="3"/>
  <c r="L59" i="3" s="1"/>
  <c r="AH60" i="3" l="1"/>
  <c r="U59" i="3"/>
  <c r="D60" i="3" s="1"/>
  <c r="AG60" i="3"/>
  <c r="Y58" i="3"/>
  <c r="E60" i="3" l="1"/>
  <c r="H60" i="3" s="1"/>
  <c r="K60" i="3" s="1"/>
  <c r="G60" i="3"/>
  <c r="F60" i="3" l="1"/>
  <c r="I60" i="3"/>
  <c r="J60" i="3"/>
  <c r="M60" i="3"/>
  <c r="N60" i="3" s="1"/>
  <c r="V60" i="3"/>
  <c r="AE60" i="3"/>
  <c r="W60" i="3" l="1"/>
  <c r="L60" i="3"/>
  <c r="AG61" i="3" l="1"/>
  <c r="U60" i="3"/>
  <c r="D61" i="3" s="1"/>
  <c r="AH61" i="3"/>
  <c r="Y59" i="3"/>
  <c r="G61" i="3" l="1"/>
  <c r="E61" i="3"/>
  <c r="H61" i="3" s="1"/>
  <c r="F61" i="3" l="1"/>
  <c r="I61" i="3"/>
  <c r="J61" i="3"/>
  <c r="M61" i="3"/>
  <c r="N61" i="3" s="1"/>
  <c r="K61" i="3"/>
  <c r="V61" i="3" l="1"/>
  <c r="W61" i="3" s="1"/>
  <c r="AE61" i="3"/>
  <c r="L61" i="3"/>
  <c r="AG62" i="3" l="1"/>
  <c r="U61" i="3"/>
  <c r="D62" i="3" s="1"/>
  <c r="AH62" i="3"/>
  <c r="Y60" i="3"/>
  <c r="G62" i="3" l="1"/>
  <c r="E62" i="3"/>
  <c r="H62" i="3" s="1"/>
  <c r="F62" i="3" l="1"/>
  <c r="I62" i="3"/>
  <c r="J62" i="3"/>
  <c r="M62" i="3"/>
  <c r="N62" i="3" s="1"/>
  <c r="K62" i="3"/>
  <c r="V62" i="3" l="1"/>
  <c r="W62" i="3" s="1"/>
  <c r="AE62" i="3"/>
  <c r="L62" i="3"/>
  <c r="U62" i="3" l="1"/>
  <c r="E63" i="3" s="1"/>
  <c r="H63" i="3" s="1"/>
  <c r="AG63" i="3"/>
  <c r="AH63" i="3"/>
  <c r="Y61" i="3"/>
  <c r="D63" i="3" l="1"/>
  <c r="G63" i="3" s="1"/>
  <c r="K63" i="3"/>
  <c r="F63" i="3" l="1"/>
  <c r="I63" i="3"/>
  <c r="J63" i="3"/>
  <c r="M63" i="3"/>
  <c r="N63" i="3" s="1"/>
  <c r="V63" i="3"/>
  <c r="AE63" i="3"/>
  <c r="W63" i="3" l="1"/>
  <c r="L63" i="3"/>
  <c r="U63" i="3" l="1"/>
  <c r="E64" i="3" s="1"/>
  <c r="H64" i="3" s="1"/>
  <c r="AH64" i="3"/>
  <c r="AG64" i="3"/>
  <c r="Y62" i="3"/>
  <c r="D64" i="3" l="1"/>
  <c r="G64" i="3" s="1"/>
  <c r="K64" i="3"/>
  <c r="F64" i="3" l="1"/>
  <c r="V64" i="3"/>
  <c r="AE64" i="3"/>
  <c r="I64" i="3"/>
  <c r="J64" i="3"/>
  <c r="M64" i="3"/>
  <c r="N64" i="3" s="1"/>
  <c r="W64" i="3" l="1"/>
  <c r="L64" i="3"/>
  <c r="U64" i="3" l="1"/>
  <c r="E65" i="3" s="1"/>
  <c r="H65" i="3" s="1"/>
  <c r="AH65" i="3"/>
  <c r="AG65" i="3"/>
  <c r="Y63" i="3"/>
  <c r="D65" i="3" l="1"/>
  <c r="G65" i="3" s="1"/>
  <c r="K65" i="3"/>
  <c r="F65" i="3" l="1"/>
  <c r="V65" i="3"/>
  <c r="AE65" i="3"/>
  <c r="I65" i="3"/>
  <c r="J65" i="3"/>
  <c r="M65" i="3"/>
  <c r="N65" i="3" s="1"/>
  <c r="W65" i="3" l="1"/>
  <c r="L65" i="3"/>
  <c r="U65" i="3" l="1"/>
  <c r="D66" i="3" s="1"/>
  <c r="AH66" i="3"/>
  <c r="AG66" i="3"/>
  <c r="Y64" i="3"/>
  <c r="E66" i="3" l="1"/>
  <c r="H66" i="3" s="1"/>
  <c r="K66" i="3" s="1"/>
  <c r="G66" i="3"/>
  <c r="F66" i="3" l="1"/>
  <c r="I66" i="3"/>
  <c r="J66" i="3"/>
  <c r="M66" i="3"/>
  <c r="N66" i="3" s="1"/>
  <c r="V66" i="3"/>
  <c r="AE66" i="3"/>
  <c r="W66" i="3" l="1"/>
  <c r="L66" i="3"/>
  <c r="U66" i="3" l="1"/>
  <c r="D67" i="3" s="1"/>
  <c r="AH67" i="3"/>
  <c r="AG67" i="3"/>
  <c r="Y65" i="3"/>
  <c r="E67" i="3" l="1"/>
  <c r="H67" i="3" s="1"/>
  <c r="K67" i="3" s="1"/>
  <c r="G67" i="3"/>
  <c r="F67" i="3" l="1"/>
  <c r="I67" i="3"/>
  <c r="J67" i="3"/>
  <c r="M67" i="3"/>
  <c r="N67" i="3" s="1"/>
  <c r="V67" i="3"/>
  <c r="AE67" i="3"/>
  <c r="W67" i="3" l="1"/>
  <c r="L67" i="3"/>
  <c r="U67" i="3" l="1"/>
  <c r="D68" i="3" s="1"/>
  <c r="AH68" i="3"/>
  <c r="AG68" i="3"/>
  <c r="Y66" i="3"/>
  <c r="E68" i="3" l="1"/>
  <c r="H68" i="3" s="1"/>
  <c r="K68" i="3" s="1"/>
  <c r="G68" i="3"/>
  <c r="F68" i="3" l="1"/>
  <c r="I68" i="3"/>
  <c r="J68" i="3"/>
  <c r="M68" i="3"/>
  <c r="N68" i="3" s="1"/>
  <c r="V68" i="3"/>
  <c r="AE68" i="3"/>
  <c r="W68" i="3" l="1"/>
  <c r="L68" i="3"/>
  <c r="U68" i="3" l="1"/>
  <c r="D69" i="3" s="1"/>
  <c r="AH69" i="3"/>
  <c r="AG69" i="3"/>
  <c r="Y67" i="3"/>
  <c r="E69" i="3" l="1"/>
  <c r="H69" i="3" s="1"/>
  <c r="K69" i="3" s="1"/>
  <c r="G69" i="3"/>
  <c r="F69" i="3" l="1"/>
  <c r="I69" i="3"/>
  <c r="J69" i="3"/>
  <c r="M69" i="3"/>
  <c r="N69" i="3" s="1"/>
  <c r="V69" i="3"/>
  <c r="AE69" i="3"/>
  <c r="W69" i="3" l="1"/>
  <c r="L69" i="3"/>
  <c r="AH70" i="3" l="1"/>
  <c r="U69" i="3"/>
  <c r="E70" i="3" s="1"/>
  <c r="H70" i="3" s="1"/>
  <c r="AG70" i="3"/>
  <c r="Y68" i="3"/>
  <c r="D70" i="3" l="1"/>
  <c r="G70" i="3" s="1"/>
  <c r="K70" i="3"/>
  <c r="F70" i="3" l="1"/>
  <c r="I70" i="3"/>
  <c r="J70" i="3"/>
  <c r="M70" i="3"/>
  <c r="N70" i="3" s="1"/>
  <c r="V70" i="3"/>
  <c r="AE70" i="3"/>
  <c r="W70" i="3" l="1"/>
  <c r="L70" i="3"/>
  <c r="AG71" i="3" l="1"/>
  <c r="AH71" i="3"/>
  <c r="U70" i="3"/>
  <c r="E71" i="3" s="1"/>
  <c r="H71" i="3" s="1"/>
  <c r="Y69" i="3"/>
  <c r="D71" i="3" l="1"/>
  <c r="G71" i="3" s="1"/>
  <c r="K71" i="3"/>
  <c r="F71" i="3" l="1"/>
  <c r="I71" i="3"/>
  <c r="J71" i="3"/>
  <c r="M71" i="3"/>
  <c r="N71" i="3" s="1"/>
  <c r="V71" i="3"/>
  <c r="AE71" i="3"/>
  <c r="W71" i="3" l="1"/>
  <c r="L71" i="3"/>
  <c r="AH72" i="3" l="1"/>
  <c r="U71" i="3"/>
  <c r="E72" i="3" s="1"/>
  <c r="H72" i="3" s="1"/>
  <c r="AG72" i="3"/>
  <c r="Y70" i="3"/>
  <c r="D72" i="3" l="1"/>
  <c r="F72" i="3" s="1"/>
  <c r="K72" i="3"/>
  <c r="G72" i="3" l="1"/>
  <c r="M72" i="3" s="1"/>
  <c r="N72" i="3" s="1"/>
  <c r="V72" i="3"/>
  <c r="AE72" i="3"/>
  <c r="I72" i="3" l="1"/>
  <c r="W72" i="3" s="1"/>
  <c r="J72" i="3"/>
  <c r="L72" i="3" s="1"/>
  <c r="U72" i="3" l="1"/>
  <c r="D73" i="3" s="1"/>
  <c r="AG73" i="3"/>
  <c r="AH73" i="3"/>
  <c r="Y71" i="3"/>
  <c r="E73" i="3" l="1"/>
  <c r="H73" i="3" s="1"/>
  <c r="K73" i="3" s="1"/>
  <c r="G73" i="3"/>
  <c r="F73" i="3" l="1"/>
  <c r="I73" i="3"/>
  <c r="J73" i="3"/>
  <c r="M73" i="3"/>
  <c r="N73" i="3" s="1"/>
  <c r="V73" i="3"/>
  <c r="AE73" i="3"/>
  <c r="W73" i="3" l="1"/>
  <c r="L73" i="3"/>
  <c r="AG74" i="3" l="1"/>
  <c r="AH74" i="3"/>
  <c r="U73" i="3"/>
  <c r="D74" i="3" s="1"/>
  <c r="Y72" i="3"/>
  <c r="G74" i="3" l="1"/>
  <c r="E74" i="3"/>
  <c r="H74" i="3" s="1"/>
  <c r="I74" i="3" l="1"/>
  <c r="J74" i="3"/>
  <c r="M74" i="3"/>
  <c r="N74" i="3" s="1"/>
  <c r="K74" i="3"/>
  <c r="F74" i="3"/>
  <c r="V74" i="3" l="1"/>
  <c r="W74" i="3" s="1"/>
  <c r="AE74" i="3"/>
  <c r="L74" i="3"/>
  <c r="AG75" i="3" l="1"/>
  <c r="U74" i="3"/>
  <c r="E75" i="3" s="1"/>
  <c r="H75" i="3" s="1"/>
  <c r="AH75" i="3"/>
  <c r="Y73" i="3"/>
  <c r="K75" i="3" l="1"/>
  <c r="D75" i="3"/>
  <c r="V75" i="3" l="1"/>
  <c r="AE75" i="3"/>
  <c r="F75" i="3"/>
  <c r="G75" i="3"/>
  <c r="I75" i="3" l="1"/>
  <c r="W75" i="3" s="1"/>
  <c r="J75" i="3"/>
  <c r="M75" i="3"/>
  <c r="N75" i="3" s="1"/>
  <c r="L75" i="3" l="1"/>
  <c r="U75" i="3" l="1"/>
  <c r="E76" i="3" s="1"/>
  <c r="H76" i="3" s="1"/>
  <c r="AH76" i="3"/>
  <c r="AG76" i="3"/>
  <c r="Y74" i="3"/>
  <c r="D76" i="3" l="1"/>
  <c r="F76" i="3" s="1"/>
  <c r="K76" i="3"/>
  <c r="G76" i="3" l="1"/>
  <c r="I76" i="3" s="1"/>
  <c r="V76" i="3"/>
  <c r="AE76" i="3"/>
  <c r="J76" i="3" l="1"/>
  <c r="L76" i="3" s="1"/>
  <c r="M76" i="3"/>
  <c r="N76" i="3" s="1"/>
  <c r="W76" i="3"/>
  <c r="U76" i="3" l="1"/>
  <c r="D77" i="3" s="1"/>
  <c r="AH77" i="3"/>
  <c r="AG77" i="3"/>
  <c r="Y75" i="3"/>
  <c r="E77" i="3" l="1"/>
  <c r="H77" i="3" s="1"/>
  <c r="K77" i="3" s="1"/>
  <c r="G77" i="3"/>
  <c r="F77" i="3" l="1"/>
  <c r="I77" i="3"/>
  <c r="J77" i="3"/>
  <c r="M77" i="3"/>
  <c r="N77" i="3" s="1"/>
  <c r="V77" i="3"/>
  <c r="AE77" i="3"/>
  <c r="W77" i="3" l="1"/>
  <c r="L77" i="3"/>
  <c r="AH78" i="3" l="1"/>
  <c r="U77" i="3"/>
  <c r="D78" i="3" s="1"/>
  <c r="AG78" i="3"/>
  <c r="Y76" i="3"/>
  <c r="E78" i="3" l="1"/>
  <c r="H78" i="3" s="1"/>
  <c r="K78" i="3" s="1"/>
  <c r="G78" i="3"/>
  <c r="F78" i="3" l="1"/>
  <c r="I78" i="3"/>
  <c r="J78" i="3"/>
  <c r="M78" i="3"/>
  <c r="N78" i="3" s="1"/>
  <c r="V78" i="3"/>
  <c r="AE78" i="3"/>
  <c r="W78" i="3" l="1"/>
  <c r="L78" i="3"/>
  <c r="U78" i="3" l="1"/>
  <c r="E79" i="3" s="1"/>
  <c r="H79" i="3" s="1"/>
  <c r="AH79" i="3"/>
  <c r="AG79" i="3"/>
  <c r="Y77" i="3"/>
  <c r="D79" i="3" l="1"/>
  <c r="G79" i="3" s="1"/>
  <c r="K79" i="3"/>
  <c r="F79" i="3" l="1"/>
  <c r="I79" i="3"/>
  <c r="J79" i="3"/>
  <c r="M79" i="3"/>
  <c r="N79" i="3" s="1"/>
  <c r="V79" i="3"/>
  <c r="AE79" i="3"/>
  <c r="W79" i="3" l="1"/>
  <c r="L79" i="3"/>
  <c r="AH80" i="3" l="1"/>
  <c r="AG80" i="3"/>
  <c r="U79" i="3"/>
  <c r="E80" i="3" s="1"/>
  <c r="H80" i="3" s="1"/>
  <c r="Y78" i="3"/>
  <c r="D80" i="3" l="1"/>
  <c r="F80" i="3" s="1"/>
  <c r="K80" i="3"/>
  <c r="G80" i="3" l="1"/>
  <c r="I80" i="3" s="1"/>
  <c r="V80" i="3"/>
  <c r="AE80" i="3"/>
  <c r="J80" i="3" l="1"/>
  <c r="L80" i="3" s="1"/>
  <c r="M80" i="3"/>
  <c r="N80" i="3" s="1"/>
  <c r="W80" i="3"/>
  <c r="U80" i="3" l="1"/>
  <c r="E81" i="3" s="1"/>
  <c r="H81" i="3" s="1"/>
  <c r="AG81" i="3"/>
  <c r="AH81" i="3"/>
  <c r="Y79" i="3"/>
  <c r="D81" i="3" l="1"/>
  <c r="G81" i="3" s="1"/>
  <c r="K81" i="3"/>
  <c r="F81" i="3" l="1"/>
  <c r="I81" i="3"/>
  <c r="J81" i="3"/>
  <c r="M81" i="3"/>
  <c r="N81" i="3" s="1"/>
  <c r="V81" i="3"/>
  <c r="AE81" i="3"/>
  <c r="W81" i="3" l="1"/>
  <c r="L81" i="3"/>
  <c r="AH82" i="3" l="1"/>
  <c r="AG82" i="3"/>
  <c r="U81" i="3"/>
  <c r="E82" i="3" s="1"/>
  <c r="H82" i="3" s="1"/>
  <c r="Y80" i="3"/>
  <c r="D82" i="3" l="1"/>
  <c r="G82" i="3" s="1"/>
  <c r="K82" i="3"/>
  <c r="F82" i="3" l="1"/>
  <c r="I82" i="3"/>
  <c r="J82" i="3"/>
  <c r="M82" i="3"/>
  <c r="N82" i="3" s="1"/>
  <c r="V82" i="3"/>
  <c r="AE82" i="3"/>
  <c r="W82" i="3" l="1"/>
  <c r="L82" i="3"/>
  <c r="AG83" i="3" l="1"/>
  <c r="U82" i="3"/>
  <c r="D83" i="3" s="1"/>
  <c r="AH83" i="3"/>
  <c r="Y81" i="3"/>
  <c r="E83" i="3" l="1"/>
  <c r="H83" i="3" s="1"/>
  <c r="K83" i="3" s="1"/>
  <c r="G83" i="3"/>
  <c r="F83" i="3" l="1"/>
  <c r="I83" i="3"/>
  <c r="J83" i="3"/>
  <c r="M83" i="3"/>
  <c r="N83" i="3" s="1"/>
  <c r="V83" i="3"/>
  <c r="AE83" i="3"/>
  <c r="W83" i="3" l="1"/>
  <c r="L83" i="3"/>
  <c r="AG84" i="3" l="1"/>
  <c r="AH84" i="3"/>
  <c r="U83" i="3"/>
  <c r="D84" i="3" s="1"/>
  <c r="Y82" i="3"/>
  <c r="G84" i="3" l="1"/>
  <c r="E84" i="3"/>
  <c r="H84" i="3" s="1"/>
  <c r="K84" i="3" l="1"/>
  <c r="I84" i="3"/>
  <c r="J84" i="3"/>
  <c r="M84" i="3"/>
  <c r="N84" i="3" s="1"/>
  <c r="F84" i="3"/>
  <c r="L84" i="3" l="1"/>
  <c r="V84" i="3"/>
  <c r="W84" i="3" s="1"/>
  <c r="AE84" i="3"/>
  <c r="AH85" i="3" l="1"/>
  <c r="AG85" i="3"/>
  <c r="U84" i="3"/>
  <c r="D85" i="3" s="1"/>
  <c r="Y83" i="3"/>
  <c r="E85" i="3" l="1"/>
  <c r="H85" i="3" s="1"/>
  <c r="K85" i="3" s="1"/>
  <c r="G85" i="3"/>
  <c r="F85" i="3" l="1"/>
  <c r="I85" i="3"/>
  <c r="J85" i="3"/>
  <c r="M85" i="3"/>
  <c r="N85" i="3" s="1"/>
  <c r="V85" i="3"/>
  <c r="AE85" i="3"/>
  <c r="W85" i="3" l="1"/>
  <c r="L85" i="3"/>
  <c r="AH86" i="3" l="1"/>
  <c r="AG86" i="3"/>
  <c r="U85" i="3"/>
  <c r="E86" i="3" s="1"/>
  <c r="H86" i="3" s="1"/>
  <c r="Y84" i="3"/>
  <c r="D86" i="3" l="1"/>
  <c r="F86" i="3" s="1"/>
  <c r="K86" i="3"/>
  <c r="G86" i="3" l="1"/>
  <c r="M86" i="3" s="1"/>
  <c r="N86" i="3" s="1"/>
  <c r="V86" i="3"/>
  <c r="AE86" i="3"/>
  <c r="I86" i="3" l="1"/>
  <c r="W86" i="3" s="1"/>
  <c r="J86" i="3"/>
  <c r="L86" i="3" s="1"/>
  <c r="U86" i="3" l="1"/>
  <c r="E87" i="3" s="1"/>
  <c r="H87" i="3" s="1"/>
  <c r="AH87" i="3"/>
  <c r="AG87" i="3"/>
  <c r="Y85" i="3"/>
  <c r="D87" i="3" l="1"/>
  <c r="G87" i="3" s="1"/>
  <c r="K87" i="3"/>
  <c r="F87" i="3" l="1"/>
  <c r="V87" i="3"/>
  <c r="AE87" i="3"/>
  <c r="I87" i="3"/>
  <c r="J87" i="3"/>
  <c r="M87" i="3"/>
  <c r="N87" i="3" s="1"/>
  <c r="L87" i="3" l="1"/>
  <c r="W87" i="3"/>
  <c r="U87" i="3" l="1"/>
  <c r="E88" i="3" s="1"/>
  <c r="H88" i="3" s="1"/>
  <c r="AG88" i="3"/>
  <c r="AH88" i="3"/>
  <c r="Y86" i="3"/>
  <c r="D88" i="3" l="1"/>
  <c r="G88" i="3" s="1"/>
  <c r="K88" i="3"/>
  <c r="F88" i="3" l="1"/>
  <c r="I88" i="3"/>
  <c r="J88" i="3"/>
  <c r="M88" i="3"/>
  <c r="N88" i="3" s="1"/>
  <c r="V88" i="3"/>
  <c r="AE88" i="3"/>
  <c r="W88" i="3" l="1"/>
  <c r="L88" i="3"/>
  <c r="AH89" i="3" l="1"/>
  <c r="U88" i="3"/>
  <c r="E89" i="3" s="1"/>
  <c r="H89" i="3" s="1"/>
  <c r="AG89" i="3"/>
  <c r="Y87" i="3"/>
  <c r="K89" i="3" l="1"/>
  <c r="D89" i="3"/>
  <c r="V89" i="3" l="1"/>
  <c r="AE89" i="3"/>
  <c r="F89" i="3"/>
  <c r="G89" i="3"/>
  <c r="I89" i="3" l="1"/>
  <c r="W89" i="3" s="1"/>
  <c r="J89" i="3"/>
  <c r="M89" i="3"/>
  <c r="N89" i="3" s="1"/>
  <c r="L89" i="3" l="1"/>
  <c r="U89" i="3" l="1"/>
  <c r="D90" i="3" s="1"/>
  <c r="AH90" i="3"/>
  <c r="AG90" i="3"/>
  <c r="Y88" i="3"/>
  <c r="G90" i="3" l="1"/>
  <c r="E90" i="3"/>
  <c r="H90" i="3" s="1"/>
  <c r="F90" i="3" l="1"/>
  <c r="I90" i="3"/>
  <c r="J90" i="3"/>
  <c r="M90" i="3"/>
  <c r="N90" i="3" s="1"/>
  <c r="K90" i="3"/>
  <c r="V90" i="3" l="1"/>
  <c r="W90" i="3" s="1"/>
  <c r="AE90" i="3"/>
  <c r="L90" i="3"/>
  <c r="AG91" i="3" l="1"/>
  <c r="AH91" i="3"/>
  <c r="U90" i="3"/>
  <c r="D91" i="3" s="1"/>
  <c r="Y89" i="3"/>
  <c r="G91" i="3" l="1"/>
  <c r="E91" i="3"/>
  <c r="H91" i="3" s="1"/>
  <c r="F91" i="3" l="1"/>
  <c r="I91" i="3"/>
  <c r="J91" i="3"/>
  <c r="M91" i="3"/>
  <c r="N91" i="3" s="1"/>
  <c r="K91" i="3"/>
  <c r="V91" i="3" l="1"/>
  <c r="W91" i="3" s="1"/>
  <c r="AE91" i="3"/>
  <c r="L91" i="3"/>
  <c r="AH92" i="3" l="1"/>
  <c r="AG92" i="3"/>
  <c r="U91" i="3"/>
  <c r="D92" i="3" s="1"/>
  <c r="Y90" i="3"/>
  <c r="G92" i="3" l="1"/>
  <c r="E92" i="3"/>
  <c r="H92" i="3" s="1"/>
  <c r="F92" i="3" l="1"/>
  <c r="I92" i="3"/>
  <c r="J92" i="3"/>
  <c r="M92" i="3"/>
  <c r="N92" i="3" s="1"/>
  <c r="K92" i="3"/>
  <c r="V92" i="3" l="1"/>
  <c r="W92" i="3" s="1"/>
  <c r="AE92" i="3"/>
  <c r="L92" i="3"/>
  <c r="U92" i="3" l="1"/>
  <c r="D93" i="3" s="1"/>
  <c r="AH93" i="3"/>
  <c r="AG93" i="3"/>
  <c r="Y91" i="3"/>
  <c r="E93" i="3" l="1"/>
  <c r="H93" i="3" s="1"/>
  <c r="K93" i="3" s="1"/>
  <c r="G93" i="3"/>
  <c r="F93" i="3" l="1"/>
  <c r="I93" i="3"/>
  <c r="J93" i="3"/>
  <c r="M93" i="3"/>
  <c r="N93" i="3" s="1"/>
  <c r="V93" i="3"/>
  <c r="AE93" i="3"/>
  <c r="W93" i="3" l="1"/>
  <c r="L93" i="3"/>
  <c r="AG94" i="3" l="1"/>
  <c r="AH94" i="3"/>
  <c r="U93" i="3"/>
  <c r="D94" i="3" s="1"/>
  <c r="Y92" i="3"/>
  <c r="E94" i="3" l="1"/>
  <c r="H94" i="3" s="1"/>
  <c r="K94" i="3" s="1"/>
  <c r="G94" i="3"/>
  <c r="F94" i="3" l="1"/>
  <c r="I94" i="3"/>
  <c r="J94" i="3"/>
  <c r="M94" i="3"/>
  <c r="N94" i="3" s="1"/>
  <c r="V94" i="3"/>
  <c r="AE94" i="3"/>
  <c r="L94" i="3" l="1"/>
  <c r="W94" i="3"/>
  <c r="U94" i="3" l="1"/>
  <c r="D95" i="3" s="1"/>
  <c r="AG95" i="3"/>
  <c r="AH95" i="3"/>
  <c r="Y93" i="3"/>
  <c r="E95" i="3" l="1"/>
  <c r="H95" i="3" s="1"/>
  <c r="K95" i="3" s="1"/>
  <c r="G95" i="3"/>
  <c r="F95" i="3" l="1"/>
  <c r="I95" i="3"/>
  <c r="J95" i="3"/>
  <c r="M95" i="3"/>
  <c r="N95" i="3" s="1"/>
  <c r="V95" i="3"/>
  <c r="AE95" i="3"/>
  <c r="W95" i="3" l="1"/>
  <c r="L95" i="3"/>
  <c r="AG96" i="3" l="1"/>
  <c r="AH96" i="3"/>
  <c r="U95" i="3"/>
  <c r="D96" i="3" s="1"/>
  <c r="Y94" i="3"/>
  <c r="G96" i="3" l="1"/>
  <c r="E96" i="3"/>
  <c r="H96" i="3" s="1"/>
  <c r="F96" i="3" l="1"/>
  <c r="I96" i="3"/>
  <c r="J96" i="3"/>
  <c r="M96" i="3"/>
  <c r="N96" i="3" s="1"/>
  <c r="K96" i="3"/>
  <c r="L96" i="3" l="1"/>
  <c r="V96" i="3"/>
  <c r="W96" i="3" s="1"/>
  <c r="AE96" i="3"/>
  <c r="AG97" i="3" l="1"/>
  <c r="AH97" i="3"/>
  <c r="U96" i="3"/>
  <c r="E97" i="3" s="1"/>
  <c r="H97" i="3" s="1"/>
  <c r="Y95" i="3"/>
  <c r="K97" i="3" l="1"/>
  <c r="D97" i="3"/>
  <c r="V97" i="3" l="1"/>
  <c r="AE97" i="3"/>
  <c r="F97" i="3"/>
  <c r="G97" i="3"/>
  <c r="I97" i="3" l="1"/>
  <c r="W97" i="3" s="1"/>
  <c r="J97" i="3"/>
  <c r="M97" i="3"/>
  <c r="N97" i="3" s="1"/>
  <c r="L97" i="3" l="1"/>
  <c r="U97" i="3" l="1"/>
  <c r="D98" i="3" s="1"/>
  <c r="AH98" i="3"/>
  <c r="AG98" i="3"/>
  <c r="Y96" i="3"/>
  <c r="G98" i="3" l="1"/>
  <c r="E98" i="3"/>
  <c r="H98" i="3" s="1"/>
  <c r="I98" i="3" l="1"/>
  <c r="J98" i="3"/>
  <c r="M98" i="3"/>
  <c r="N98" i="3" s="1"/>
  <c r="F98" i="3"/>
  <c r="K98" i="3"/>
  <c r="L98" i="3" l="1"/>
  <c r="V98" i="3"/>
  <c r="W98" i="3" s="1"/>
  <c r="AE98" i="3"/>
  <c r="AG99" i="3" l="1"/>
  <c r="AH99" i="3"/>
  <c r="U98" i="3"/>
  <c r="D99" i="3" s="1"/>
  <c r="Y97" i="3"/>
  <c r="G99" i="3" l="1"/>
  <c r="E99" i="3"/>
  <c r="H99" i="3" s="1"/>
  <c r="F99" i="3" l="1"/>
  <c r="I99" i="3"/>
  <c r="J99" i="3"/>
  <c r="M99" i="3"/>
  <c r="N99" i="3" s="1"/>
  <c r="K99" i="3"/>
  <c r="V99" i="3" l="1"/>
  <c r="W99" i="3" s="1"/>
  <c r="AE99" i="3"/>
  <c r="L99" i="3"/>
  <c r="U99" i="3" l="1"/>
  <c r="D100" i="3" s="1"/>
  <c r="AH100" i="3"/>
  <c r="AG100" i="3"/>
  <c r="Y98" i="3"/>
  <c r="E100" i="3" l="1"/>
  <c r="H100" i="3" s="1"/>
  <c r="K100" i="3" s="1"/>
  <c r="G100" i="3"/>
  <c r="F100" i="3" l="1"/>
  <c r="V100" i="3"/>
  <c r="AE100" i="3"/>
  <c r="I100" i="3"/>
  <c r="J100" i="3"/>
  <c r="M100" i="3"/>
  <c r="N100" i="3" s="1"/>
  <c r="W100" i="3" l="1"/>
  <c r="L100" i="3"/>
  <c r="AH101" i="3" l="1"/>
  <c r="U100" i="3"/>
  <c r="E101" i="3" s="1"/>
  <c r="H101" i="3" s="1"/>
  <c r="AG101" i="3"/>
  <c r="Y99" i="3"/>
  <c r="K101" i="3" l="1"/>
  <c r="D101" i="3"/>
  <c r="V101" i="3" l="1"/>
  <c r="AE101" i="3"/>
  <c r="F101" i="3"/>
  <c r="G101" i="3"/>
  <c r="I101" i="3" l="1"/>
  <c r="W101" i="3" s="1"/>
  <c r="J101" i="3"/>
  <c r="M101" i="3"/>
  <c r="N101" i="3" s="1"/>
  <c r="L101" i="3" l="1"/>
  <c r="AH102" i="3" l="1"/>
  <c r="AG102" i="3"/>
  <c r="U101" i="3"/>
  <c r="E102" i="3" s="1"/>
  <c r="H102" i="3" s="1"/>
  <c r="Y100" i="3"/>
  <c r="K102" i="3" l="1"/>
  <c r="D102" i="3"/>
  <c r="V102" i="3" l="1"/>
  <c r="AE102" i="3"/>
  <c r="F102" i="3"/>
  <c r="G102" i="3"/>
  <c r="I102" i="3" l="1"/>
  <c r="W102" i="3" s="1"/>
  <c r="J102" i="3"/>
  <c r="M102" i="3"/>
  <c r="N102" i="3" s="1"/>
  <c r="L102" i="3" l="1"/>
  <c r="AG103" i="3" l="1"/>
  <c r="AH103" i="3"/>
  <c r="U102" i="3"/>
  <c r="E103" i="3" s="1"/>
  <c r="H103" i="3" s="1"/>
  <c r="Y101" i="3"/>
  <c r="K103" i="3" l="1"/>
  <c r="D103" i="3"/>
  <c r="V103" i="3" l="1"/>
  <c r="AE103" i="3"/>
  <c r="F103" i="3"/>
  <c r="G103" i="3"/>
  <c r="I103" i="3" l="1"/>
  <c r="W103" i="3" s="1"/>
  <c r="J103" i="3"/>
  <c r="M103" i="3"/>
  <c r="N103" i="3" s="1"/>
  <c r="L103" i="3" l="1"/>
  <c r="AG104" i="3" l="1"/>
  <c r="AH104" i="3"/>
  <c r="U103" i="3"/>
  <c r="E104" i="3" s="1"/>
  <c r="H104" i="3" s="1"/>
  <c r="Y102" i="3"/>
  <c r="K104" i="3" l="1"/>
  <c r="D104" i="3"/>
  <c r="V104" i="3" l="1"/>
  <c r="AE104" i="3"/>
  <c r="F104" i="3"/>
  <c r="G104" i="3"/>
  <c r="I104" i="3" l="1"/>
  <c r="W104" i="3" s="1"/>
  <c r="J104" i="3"/>
  <c r="M104" i="3"/>
  <c r="N104" i="3" s="1"/>
  <c r="L104" i="3" l="1"/>
  <c r="AD104" i="3"/>
  <c r="U104" i="3" l="1"/>
  <c r="E105" i="3" s="1"/>
  <c r="H105" i="3" s="1"/>
  <c r="AG105" i="3"/>
  <c r="AH105" i="3"/>
  <c r="Y103" i="3"/>
  <c r="D105" i="3" l="1"/>
  <c r="G105" i="3" s="1"/>
  <c r="K105" i="3"/>
  <c r="F105" i="3" l="1"/>
  <c r="V105" i="3"/>
  <c r="AE105" i="3"/>
  <c r="I105" i="3"/>
  <c r="J105" i="3"/>
  <c r="M105" i="3"/>
  <c r="N105" i="3" s="1"/>
  <c r="W105" i="3" l="1"/>
  <c r="L105" i="3"/>
  <c r="AH106" i="3" l="1"/>
  <c r="AG106" i="3"/>
  <c r="U105" i="3"/>
  <c r="D106" i="3" s="1"/>
  <c r="Y104" i="3"/>
  <c r="E106" i="3" l="1"/>
  <c r="H106" i="3" s="1"/>
  <c r="K106" i="3" s="1"/>
  <c r="G106" i="3"/>
  <c r="F106" i="3" l="1"/>
  <c r="V106" i="3"/>
  <c r="AE106" i="3"/>
  <c r="I106" i="3"/>
  <c r="J106" i="3"/>
  <c r="M106" i="3"/>
  <c r="N106" i="3" s="1"/>
  <c r="W106" i="3" l="1"/>
  <c r="L106" i="3"/>
  <c r="AG107" i="3" l="1"/>
  <c r="AH107" i="3"/>
  <c r="U106" i="3"/>
  <c r="E107" i="3" s="1"/>
  <c r="H107" i="3" s="1"/>
  <c r="Y105" i="3"/>
  <c r="K107" i="3" l="1"/>
  <c r="D107" i="3"/>
  <c r="V107" i="3" l="1"/>
  <c r="AE107" i="3"/>
  <c r="F107" i="3"/>
  <c r="G107" i="3"/>
  <c r="I107" i="3" l="1"/>
  <c r="W107" i="3" s="1"/>
  <c r="J107" i="3"/>
  <c r="M107" i="3"/>
  <c r="N107" i="3" s="1"/>
  <c r="L107" i="3" l="1"/>
  <c r="AH108" i="3" l="1"/>
  <c r="U107" i="3"/>
  <c r="E108" i="3" s="1"/>
  <c r="H108" i="3" s="1"/>
  <c r="AG108" i="3"/>
  <c r="Y106" i="3"/>
  <c r="D108" i="3" l="1"/>
  <c r="G108" i="3" s="1"/>
  <c r="K108" i="3"/>
  <c r="F108" i="3" l="1"/>
  <c r="I108" i="3"/>
  <c r="J108" i="3"/>
  <c r="M108" i="3"/>
  <c r="N108" i="3" s="1"/>
  <c r="V108" i="3"/>
  <c r="AE108" i="3"/>
  <c r="W108" i="3" l="1"/>
  <c r="L108" i="3"/>
  <c r="AG109" i="3" l="1"/>
  <c r="U108" i="3"/>
  <c r="D109" i="3" s="1"/>
  <c r="AH109" i="3"/>
  <c r="Y107" i="3"/>
  <c r="E109" i="3" l="1"/>
  <c r="H109" i="3" s="1"/>
  <c r="K109" i="3" s="1"/>
  <c r="G109" i="3"/>
  <c r="F109" i="3" l="1"/>
  <c r="V109" i="3"/>
  <c r="AE109" i="3"/>
  <c r="I109" i="3"/>
  <c r="J109" i="3"/>
  <c r="M109" i="3"/>
  <c r="N109" i="3" s="1"/>
  <c r="L109" i="3" l="1"/>
  <c r="W109" i="3"/>
  <c r="AH110" i="3" l="1"/>
  <c r="AG110" i="3"/>
  <c r="U109" i="3"/>
  <c r="D110" i="3" s="1"/>
  <c r="Y108" i="3"/>
  <c r="E110" i="3" l="1"/>
  <c r="H110" i="3" s="1"/>
  <c r="K110" i="3" s="1"/>
  <c r="G110" i="3"/>
  <c r="F110" i="3" l="1"/>
  <c r="I110" i="3"/>
  <c r="J110" i="3"/>
  <c r="M110" i="3"/>
  <c r="N110" i="3" s="1"/>
  <c r="V110" i="3"/>
  <c r="AE110" i="3"/>
  <c r="W110" i="3" l="1"/>
  <c r="L110" i="3"/>
  <c r="AH111" i="3" l="1"/>
  <c r="U110" i="3"/>
  <c r="E111" i="3" s="1"/>
  <c r="H111" i="3" s="1"/>
  <c r="AG111" i="3"/>
  <c r="Y109" i="3"/>
  <c r="D111" i="3" l="1"/>
  <c r="G111" i="3" s="1"/>
  <c r="K111" i="3"/>
  <c r="F111" i="3" l="1"/>
  <c r="I111" i="3"/>
  <c r="J111" i="3"/>
  <c r="M111" i="3"/>
  <c r="N111" i="3" s="1"/>
  <c r="V111" i="3"/>
  <c r="AE111" i="3"/>
  <c r="W111" i="3" l="1"/>
  <c r="L111" i="3"/>
  <c r="AH112" i="3" l="1"/>
  <c r="U111" i="3"/>
  <c r="D112" i="3" s="1"/>
  <c r="AG112" i="3"/>
  <c r="Y110" i="3"/>
  <c r="E112" i="3" l="1"/>
  <c r="H112" i="3" s="1"/>
  <c r="K112" i="3" s="1"/>
  <c r="G112" i="3"/>
  <c r="F112" i="3" l="1"/>
  <c r="V112" i="3"/>
  <c r="AE112" i="3"/>
  <c r="I112" i="3"/>
  <c r="J112" i="3"/>
  <c r="M112" i="3"/>
  <c r="N112" i="3" s="1"/>
  <c r="W112" i="3" l="1"/>
  <c r="L112" i="3"/>
  <c r="AG113" i="3" l="1"/>
  <c r="U112" i="3"/>
  <c r="E113" i="3" s="1"/>
  <c r="H113" i="3" s="1"/>
  <c r="AH113" i="3"/>
  <c r="Y111" i="3"/>
  <c r="D113" i="3" l="1"/>
  <c r="G113" i="3" s="1"/>
  <c r="K113" i="3"/>
  <c r="F113" i="3" l="1"/>
  <c r="V113" i="3"/>
  <c r="AE113" i="3"/>
  <c r="I113" i="3"/>
  <c r="J113" i="3"/>
  <c r="M113" i="3"/>
  <c r="N113" i="3" s="1"/>
  <c r="W113" i="3" l="1"/>
  <c r="L113" i="3"/>
  <c r="AH114" i="3" l="1"/>
  <c r="U113" i="3"/>
  <c r="D114" i="3" s="1"/>
  <c r="AG114" i="3"/>
  <c r="Y112" i="3"/>
  <c r="E114" i="3" l="1"/>
  <c r="H114" i="3" s="1"/>
  <c r="K114" i="3" s="1"/>
  <c r="G114" i="3"/>
  <c r="F114" i="3" l="1"/>
  <c r="I114" i="3"/>
  <c r="J114" i="3"/>
  <c r="M114" i="3"/>
  <c r="N114" i="3" s="1"/>
  <c r="V114" i="3"/>
  <c r="AE114" i="3"/>
  <c r="W114" i="3" l="1"/>
  <c r="L114" i="3"/>
  <c r="U114" i="3" l="1"/>
  <c r="D115" i="3" s="1"/>
  <c r="AH115" i="3"/>
  <c r="AG115" i="3"/>
  <c r="Y113" i="3"/>
  <c r="G115" i="3" l="1"/>
  <c r="E115" i="3"/>
  <c r="H115" i="3" s="1"/>
  <c r="F115" i="3" l="1"/>
  <c r="I115" i="3"/>
  <c r="J115" i="3"/>
  <c r="M115" i="3"/>
  <c r="N115" i="3" s="1"/>
  <c r="K115" i="3"/>
  <c r="V115" i="3" l="1"/>
  <c r="W115" i="3" s="1"/>
  <c r="AE115" i="3"/>
  <c r="L115" i="3"/>
  <c r="AH116" i="3" l="1"/>
  <c r="U115" i="3"/>
  <c r="E116" i="3" s="1"/>
  <c r="H116" i="3" s="1"/>
  <c r="AG116" i="3"/>
  <c r="Y114" i="3"/>
  <c r="K116" i="3" l="1"/>
  <c r="D116" i="3"/>
  <c r="V116" i="3" l="1"/>
  <c r="AE116" i="3"/>
  <c r="F116" i="3"/>
  <c r="G116" i="3"/>
  <c r="I116" i="3" l="1"/>
  <c r="W116" i="3" s="1"/>
  <c r="J116" i="3"/>
  <c r="M116" i="3"/>
  <c r="N116" i="3" s="1"/>
  <c r="L116" i="3" l="1"/>
  <c r="U116" i="3" l="1"/>
  <c r="D117" i="3" s="1"/>
  <c r="AH117" i="3"/>
  <c r="AG117" i="3"/>
  <c r="Y115" i="3"/>
  <c r="E117" i="3" l="1"/>
  <c r="H117" i="3" s="1"/>
  <c r="K117" i="3" s="1"/>
  <c r="G117" i="3"/>
  <c r="F117" i="3" l="1"/>
  <c r="I117" i="3"/>
  <c r="J117" i="3"/>
  <c r="M117" i="3"/>
  <c r="N117" i="3" s="1"/>
  <c r="V117" i="3"/>
  <c r="AE117" i="3"/>
  <c r="W117" i="3" l="1"/>
  <c r="L117" i="3"/>
  <c r="AG118" i="3" l="1"/>
  <c r="U117" i="3"/>
  <c r="D118" i="3" s="1"/>
  <c r="AH118" i="3"/>
  <c r="Y116" i="3"/>
  <c r="E118" i="3" l="1"/>
  <c r="H118" i="3" s="1"/>
  <c r="K118" i="3" s="1"/>
  <c r="G118" i="3"/>
  <c r="F118" i="3" l="1"/>
  <c r="I118" i="3"/>
  <c r="J118" i="3"/>
  <c r="M118" i="3"/>
  <c r="N118" i="3" s="1"/>
  <c r="V118" i="3"/>
  <c r="AE118" i="3"/>
  <c r="L118" i="3" l="1"/>
  <c r="W118" i="3"/>
  <c r="U118" i="3" l="1"/>
  <c r="E119" i="3" s="1"/>
  <c r="H119" i="3" s="1"/>
  <c r="AG119" i="3"/>
  <c r="AH119" i="3"/>
  <c r="Y117" i="3"/>
  <c r="D119" i="3" l="1"/>
  <c r="F119" i="3" s="1"/>
  <c r="K119" i="3"/>
  <c r="G119" i="3" l="1"/>
  <c r="M119" i="3" s="1"/>
  <c r="N119" i="3" s="1"/>
  <c r="V119" i="3"/>
  <c r="AE119" i="3"/>
  <c r="I119" i="3" l="1"/>
  <c r="W119" i="3" s="1"/>
  <c r="J119" i="3"/>
  <c r="L119" i="3" s="1"/>
  <c r="AH120" i="3" l="1"/>
  <c r="U119" i="3"/>
  <c r="D120" i="3" s="1"/>
  <c r="AG120" i="3"/>
  <c r="Y118" i="3"/>
  <c r="E120" i="3" l="1"/>
  <c r="H120" i="3" s="1"/>
  <c r="K120" i="3" s="1"/>
  <c r="G120" i="3"/>
  <c r="F120" i="3" l="1"/>
  <c r="I120" i="3"/>
  <c r="J120" i="3"/>
  <c r="M120" i="3"/>
  <c r="N120" i="3" s="1"/>
  <c r="V120" i="3"/>
  <c r="AE120" i="3"/>
  <c r="W120" i="3" l="1"/>
  <c r="L120" i="3"/>
  <c r="U120" i="3" l="1"/>
  <c r="E121" i="3" s="1"/>
  <c r="H121" i="3" s="1"/>
  <c r="AH121" i="3"/>
  <c r="AG121" i="3"/>
  <c r="Y119" i="3"/>
  <c r="D121" i="3" l="1"/>
  <c r="G121" i="3" s="1"/>
  <c r="K121" i="3"/>
  <c r="F121" i="3" l="1"/>
  <c r="I121" i="3"/>
  <c r="J121" i="3"/>
  <c r="M121" i="3"/>
  <c r="N121" i="3" s="1"/>
  <c r="V121" i="3"/>
  <c r="AE121" i="3"/>
  <c r="L121" i="3" l="1"/>
  <c r="W121" i="3"/>
  <c r="U121" i="3" l="1"/>
  <c r="D122" i="3" s="1"/>
  <c r="AG122" i="3"/>
  <c r="AH122" i="3"/>
  <c r="Y120" i="3"/>
  <c r="G122" i="3" l="1"/>
  <c r="E122" i="3"/>
  <c r="H122" i="3" s="1"/>
  <c r="F122" i="3" l="1"/>
  <c r="K122" i="3"/>
  <c r="I122" i="3"/>
  <c r="J122" i="3"/>
  <c r="M122" i="3"/>
  <c r="N122" i="3" s="1"/>
  <c r="L122" i="3" l="1"/>
  <c r="V122" i="3"/>
  <c r="W122" i="3" s="1"/>
  <c r="AE122" i="3"/>
  <c r="U122" i="3" l="1"/>
  <c r="D123" i="3" s="1"/>
  <c r="AH123" i="3"/>
  <c r="AG123" i="3"/>
  <c r="Y121" i="3"/>
  <c r="G123" i="3" l="1"/>
  <c r="E123" i="3"/>
  <c r="H123" i="3" s="1"/>
  <c r="I123" i="3" l="1"/>
  <c r="J123" i="3"/>
  <c r="M123" i="3"/>
  <c r="N123" i="3" s="1"/>
  <c r="K123" i="3"/>
  <c r="F123" i="3"/>
  <c r="V123" i="3" l="1"/>
  <c r="W123" i="3" s="1"/>
  <c r="AE123" i="3"/>
  <c r="L123" i="3"/>
  <c r="U123" i="3" l="1"/>
  <c r="D124" i="3" s="1"/>
  <c r="AH124" i="3"/>
  <c r="AG124" i="3"/>
  <c r="Y122" i="3"/>
  <c r="E124" i="3" l="1"/>
  <c r="H124" i="3" s="1"/>
  <c r="K124" i="3" s="1"/>
  <c r="G124" i="3"/>
  <c r="F124" i="3" l="1"/>
  <c r="I124" i="3"/>
  <c r="J124" i="3"/>
  <c r="M124" i="3"/>
  <c r="N124" i="3" s="1"/>
  <c r="V124" i="3"/>
  <c r="AE124" i="3"/>
  <c r="W124" i="3" l="1"/>
  <c r="L124" i="3"/>
  <c r="U124" i="3" l="1"/>
  <c r="E125" i="3" s="1"/>
  <c r="H125" i="3" s="1"/>
  <c r="AH125" i="3"/>
  <c r="AG125" i="3"/>
  <c r="Y123" i="3"/>
  <c r="K125" i="3" l="1"/>
  <c r="D125" i="3"/>
  <c r="V125" i="3" l="1"/>
  <c r="AE125" i="3"/>
  <c r="F125" i="3"/>
  <c r="G125" i="3"/>
  <c r="I125" i="3" l="1"/>
  <c r="W125" i="3" s="1"/>
  <c r="J125" i="3"/>
  <c r="M125" i="3"/>
  <c r="N125" i="3" s="1"/>
  <c r="L125" i="3" l="1"/>
  <c r="AG126" i="3" l="1"/>
  <c r="AH126" i="3"/>
  <c r="U125" i="3"/>
  <c r="D126" i="3" s="1"/>
  <c r="Y124" i="3"/>
  <c r="E126" i="3" l="1"/>
  <c r="H126" i="3" s="1"/>
  <c r="K126" i="3" s="1"/>
  <c r="G126" i="3"/>
  <c r="F126" i="3" l="1"/>
  <c r="I126" i="3"/>
  <c r="J126" i="3"/>
  <c r="M126" i="3"/>
  <c r="N126" i="3" s="1"/>
  <c r="V126" i="3"/>
  <c r="AE126" i="3"/>
  <c r="W126" i="3" l="1"/>
  <c r="L126" i="3"/>
  <c r="U126" i="3" l="1"/>
  <c r="E127" i="3" s="1"/>
  <c r="H127" i="3" s="1"/>
  <c r="AH127" i="3"/>
  <c r="AG127" i="3"/>
  <c r="Y125" i="3"/>
  <c r="D127" i="3" l="1"/>
  <c r="G127" i="3" s="1"/>
  <c r="K127" i="3"/>
  <c r="F127" i="3" l="1"/>
  <c r="I127" i="3"/>
  <c r="J127" i="3"/>
  <c r="M127" i="3"/>
  <c r="N127" i="3" s="1"/>
  <c r="V127" i="3"/>
  <c r="AE127" i="3"/>
  <c r="W127" i="3" l="1"/>
  <c r="L127" i="3"/>
  <c r="AH128" i="3" l="1"/>
  <c r="U127" i="3"/>
  <c r="E128" i="3" s="1"/>
  <c r="H128" i="3" s="1"/>
  <c r="AG128" i="3"/>
  <c r="Y126" i="3"/>
  <c r="D128" i="3" l="1"/>
  <c r="G128" i="3" s="1"/>
  <c r="K128" i="3"/>
  <c r="F128" i="3" l="1"/>
  <c r="I128" i="3"/>
  <c r="J128" i="3"/>
  <c r="M128" i="3"/>
  <c r="N128" i="3" s="1"/>
  <c r="V128" i="3"/>
  <c r="AE128" i="3"/>
  <c r="W128" i="3" l="1"/>
  <c r="L128" i="3"/>
  <c r="AH129" i="3" l="1"/>
  <c r="U128" i="3"/>
  <c r="D129" i="3" s="1"/>
  <c r="AG129" i="3"/>
  <c r="Y127" i="3"/>
  <c r="G129" i="3" l="1"/>
  <c r="E129" i="3"/>
  <c r="H129" i="3" s="1"/>
  <c r="F129" i="3" l="1"/>
  <c r="I129" i="3"/>
  <c r="J129" i="3"/>
  <c r="M129" i="3"/>
  <c r="N129" i="3" s="1"/>
  <c r="K129" i="3"/>
  <c r="V129" i="3" l="1"/>
  <c r="W129" i="3" s="1"/>
  <c r="AE129" i="3"/>
  <c r="L129" i="3"/>
  <c r="U129" i="3" l="1"/>
  <c r="E130" i="3" s="1"/>
  <c r="H130" i="3" s="1"/>
  <c r="AH130" i="3"/>
  <c r="AG130" i="3"/>
  <c r="Y128" i="3"/>
  <c r="D130" i="3" l="1"/>
  <c r="G130" i="3" s="1"/>
  <c r="K130" i="3"/>
  <c r="F130" i="3" l="1"/>
  <c r="V130" i="3"/>
  <c r="AE130" i="3"/>
  <c r="I130" i="3"/>
  <c r="J130" i="3"/>
  <c r="M130" i="3"/>
  <c r="N130" i="3" s="1"/>
  <c r="L130" i="3" l="1"/>
  <c r="W130" i="3"/>
  <c r="U130" i="3" l="1"/>
  <c r="E131" i="3" s="1"/>
  <c r="H131" i="3" s="1"/>
  <c r="AH131" i="3"/>
  <c r="AG131" i="3"/>
  <c r="Y129" i="3"/>
  <c r="D131" i="3" l="1"/>
  <c r="F131" i="3" s="1"/>
  <c r="K131" i="3"/>
  <c r="G131" i="3" l="1"/>
  <c r="M131" i="3" s="1"/>
  <c r="N131" i="3" s="1"/>
  <c r="V131" i="3"/>
  <c r="AE131" i="3"/>
  <c r="J131" i="3" l="1"/>
  <c r="L131" i="3" s="1"/>
  <c r="I131" i="3"/>
  <c r="W131" i="3" s="1"/>
  <c r="U131" i="3" l="1"/>
  <c r="E132" i="3" s="1"/>
  <c r="H132" i="3" s="1"/>
  <c r="AH132" i="3"/>
  <c r="AG132" i="3"/>
  <c r="Y130" i="3"/>
  <c r="K132" i="3" l="1"/>
  <c r="D132" i="3"/>
  <c r="V132" i="3" l="1"/>
  <c r="AE132" i="3"/>
  <c r="F132" i="3"/>
  <c r="G132" i="3"/>
  <c r="I132" i="3" l="1"/>
  <c r="W132" i="3" s="1"/>
  <c r="J132" i="3"/>
  <c r="M132" i="3"/>
  <c r="N132" i="3" s="1"/>
  <c r="L132" i="3" l="1"/>
  <c r="U132" i="3" l="1"/>
  <c r="D133" i="3" s="1"/>
  <c r="AH133" i="3"/>
  <c r="AG133" i="3"/>
  <c r="Y131" i="3"/>
  <c r="E133" i="3" l="1"/>
  <c r="H133" i="3" s="1"/>
  <c r="K133" i="3" s="1"/>
  <c r="G133" i="3"/>
  <c r="F133" i="3" l="1"/>
  <c r="V133" i="3"/>
  <c r="AE133" i="3"/>
  <c r="I133" i="3"/>
  <c r="J133" i="3"/>
  <c r="M133" i="3"/>
  <c r="N133" i="3" s="1"/>
  <c r="W133" i="3" l="1"/>
  <c r="L133" i="3"/>
  <c r="AG134" i="3" l="1"/>
  <c r="U133" i="3"/>
  <c r="D134" i="3" s="1"/>
  <c r="AH134" i="3"/>
  <c r="Y132" i="3"/>
  <c r="E134" i="3" l="1"/>
  <c r="H134" i="3" s="1"/>
  <c r="K134" i="3" s="1"/>
  <c r="G134" i="3"/>
  <c r="F134" i="3" l="1"/>
  <c r="I134" i="3"/>
  <c r="J134" i="3"/>
  <c r="M134" i="3"/>
  <c r="N134" i="3" s="1"/>
  <c r="V134" i="3"/>
  <c r="AE134" i="3"/>
  <c r="W134" i="3" l="1"/>
  <c r="L134" i="3"/>
  <c r="U134" i="3" l="1"/>
  <c r="E135" i="3" s="1"/>
  <c r="H135" i="3" s="1"/>
  <c r="AH135" i="3"/>
  <c r="AG135" i="3"/>
  <c r="Y133" i="3"/>
  <c r="K135" i="3" l="1"/>
  <c r="D135" i="3"/>
  <c r="V135" i="3" l="1"/>
  <c r="AE135" i="3"/>
  <c r="F135" i="3"/>
  <c r="G135" i="3"/>
  <c r="I135" i="3" l="1"/>
  <c r="W135" i="3" s="1"/>
  <c r="J135" i="3"/>
  <c r="M135" i="3"/>
  <c r="N135" i="3" s="1"/>
  <c r="L135" i="3" l="1"/>
  <c r="AH136" i="3" l="1"/>
  <c r="U135" i="3"/>
  <c r="D136" i="3" s="1"/>
  <c r="AG136" i="3"/>
  <c r="Y134" i="3"/>
  <c r="E136" i="3" l="1"/>
  <c r="H136" i="3" s="1"/>
  <c r="K136" i="3" s="1"/>
  <c r="G136" i="3"/>
  <c r="F136" i="3" l="1"/>
  <c r="I136" i="3"/>
  <c r="J136" i="3"/>
  <c r="M136" i="3"/>
  <c r="N136" i="3" s="1"/>
  <c r="V136" i="3"/>
  <c r="AE136" i="3"/>
  <c r="W136" i="3" l="1"/>
  <c r="L136" i="3"/>
  <c r="U136" i="3" l="1"/>
  <c r="D137" i="3" s="1"/>
  <c r="AH137" i="3"/>
  <c r="AG137" i="3"/>
  <c r="Y135" i="3"/>
  <c r="E137" i="3" l="1"/>
  <c r="H137" i="3" s="1"/>
  <c r="K137" i="3" s="1"/>
  <c r="G137" i="3"/>
  <c r="F137" i="3" l="1"/>
  <c r="I137" i="3"/>
  <c r="J137" i="3"/>
  <c r="M137" i="3"/>
  <c r="N137" i="3" s="1"/>
  <c r="V137" i="3"/>
  <c r="AE137" i="3"/>
  <c r="W137" i="3" l="1"/>
  <c r="L137" i="3"/>
  <c r="AH138" i="3" l="1"/>
  <c r="U137" i="3"/>
  <c r="E138" i="3" s="1"/>
  <c r="H138" i="3" s="1"/>
  <c r="AG138" i="3"/>
  <c r="Y136" i="3"/>
  <c r="D138" i="3" l="1"/>
  <c r="F138" i="3" s="1"/>
  <c r="K138" i="3"/>
  <c r="G138" i="3" l="1"/>
  <c r="M138" i="3" s="1"/>
  <c r="N138" i="3" s="1"/>
  <c r="V138" i="3"/>
  <c r="AE138" i="3"/>
  <c r="I138" i="3" l="1"/>
  <c r="W138" i="3" s="1"/>
  <c r="J138" i="3"/>
  <c r="L138" i="3" s="1"/>
  <c r="U138" i="3" l="1"/>
  <c r="E139" i="3" s="1"/>
  <c r="H139" i="3" s="1"/>
  <c r="AG139" i="3"/>
  <c r="AH139" i="3"/>
  <c r="Y137" i="3"/>
  <c r="D139" i="3" l="1"/>
  <c r="G139" i="3" s="1"/>
  <c r="K139" i="3"/>
  <c r="F139" i="3" l="1"/>
  <c r="V139" i="3"/>
  <c r="AE139" i="3"/>
  <c r="I139" i="3"/>
  <c r="J139" i="3"/>
  <c r="M139" i="3"/>
  <c r="N139" i="3" s="1"/>
  <c r="W139" i="3" l="1"/>
  <c r="L139" i="3"/>
  <c r="AG140" i="3" l="1"/>
  <c r="U139" i="3"/>
  <c r="E140" i="3" s="1"/>
  <c r="H140" i="3" s="1"/>
  <c r="AH140" i="3"/>
  <c r="Y138" i="3"/>
  <c r="D140" i="3" l="1"/>
  <c r="G140" i="3" s="1"/>
  <c r="K140" i="3"/>
  <c r="F140" i="3" l="1"/>
  <c r="V140" i="3"/>
  <c r="AE140" i="3"/>
  <c r="I140" i="3"/>
  <c r="J140" i="3"/>
  <c r="M140" i="3"/>
  <c r="N140" i="3" s="1"/>
  <c r="W140" i="3" l="1"/>
  <c r="L140" i="3"/>
  <c r="AG141" i="3" l="1"/>
  <c r="U140" i="3"/>
  <c r="D141" i="3" s="1"/>
  <c r="AH141" i="3"/>
  <c r="Y139" i="3"/>
  <c r="E141" i="3" l="1"/>
  <c r="H141" i="3" s="1"/>
  <c r="K141" i="3" s="1"/>
  <c r="G141" i="3"/>
  <c r="F141" i="3" l="1"/>
  <c r="I141" i="3"/>
  <c r="J141" i="3"/>
  <c r="M141" i="3"/>
  <c r="N141" i="3" s="1"/>
  <c r="V141" i="3"/>
  <c r="AE141" i="3"/>
  <c r="W141" i="3" l="1"/>
  <c r="L141" i="3"/>
  <c r="U141" i="3" l="1"/>
  <c r="D142" i="3" s="1"/>
  <c r="AH142" i="3"/>
  <c r="AG142" i="3"/>
  <c r="Y140" i="3"/>
  <c r="E142" i="3" l="1"/>
  <c r="H142" i="3" s="1"/>
  <c r="K142" i="3" s="1"/>
  <c r="G142" i="3"/>
  <c r="F142" i="3" l="1"/>
  <c r="V142" i="3"/>
  <c r="AE142" i="3"/>
  <c r="I142" i="3"/>
  <c r="J142" i="3"/>
  <c r="M142" i="3"/>
  <c r="N142" i="3" s="1"/>
  <c r="W142" i="3" l="1"/>
  <c r="L142" i="3"/>
  <c r="U142" i="3" l="1"/>
  <c r="E143" i="3" s="1"/>
  <c r="H143" i="3" s="1"/>
  <c r="AG143" i="3"/>
  <c r="AH143" i="3"/>
  <c r="Y141" i="3"/>
  <c r="D143" i="3" l="1"/>
  <c r="F143" i="3" s="1"/>
  <c r="K143" i="3"/>
  <c r="G143" i="3" l="1"/>
  <c r="M143" i="3" s="1"/>
  <c r="N143" i="3" s="1"/>
  <c r="V143" i="3"/>
  <c r="AE143" i="3"/>
  <c r="J143" i="3" l="1"/>
  <c r="L143" i="3" s="1"/>
  <c r="I143" i="3"/>
  <c r="W143" i="3" s="1"/>
  <c r="U143" i="3" l="1"/>
  <c r="D144" i="3" s="1"/>
  <c r="AG144" i="3"/>
  <c r="AH144" i="3"/>
  <c r="Y142" i="3"/>
  <c r="E144" i="3" l="1"/>
  <c r="H144" i="3" s="1"/>
  <c r="K144" i="3" s="1"/>
  <c r="G144" i="3"/>
  <c r="F144" i="3" l="1"/>
  <c r="V144" i="3"/>
  <c r="AE144" i="3"/>
  <c r="I144" i="3"/>
  <c r="J144" i="3"/>
  <c r="M144" i="3"/>
  <c r="N144" i="3" s="1"/>
  <c r="W144" i="3" l="1"/>
  <c r="L144" i="3"/>
  <c r="AH145" i="3" l="1"/>
  <c r="AG145" i="3"/>
  <c r="U144" i="3"/>
  <c r="D145" i="3" s="1"/>
  <c r="Y143" i="3"/>
  <c r="E145" i="3" l="1"/>
  <c r="H145" i="3" s="1"/>
  <c r="K145" i="3" s="1"/>
  <c r="G145" i="3"/>
  <c r="F145" i="3" l="1"/>
  <c r="I145" i="3"/>
  <c r="J145" i="3"/>
  <c r="M145" i="3"/>
  <c r="N145" i="3" s="1"/>
  <c r="V145" i="3"/>
  <c r="AE145" i="3"/>
  <c r="W145" i="3" l="1"/>
  <c r="L145" i="3"/>
  <c r="U145" i="3" l="1"/>
  <c r="D146" i="3" s="1"/>
  <c r="AH146" i="3"/>
  <c r="AG146" i="3"/>
  <c r="Y144" i="3"/>
  <c r="E146" i="3" l="1"/>
  <c r="H146" i="3" s="1"/>
  <c r="K146" i="3" s="1"/>
  <c r="G146" i="3"/>
  <c r="F146" i="3" l="1"/>
  <c r="I146" i="3"/>
  <c r="J146" i="3"/>
  <c r="M146" i="3"/>
  <c r="N146" i="3" s="1"/>
  <c r="V146" i="3"/>
  <c r="AE146" i="3"/>
  <c r="W146" i="3" l="1"/>
  <c r="L146" i="3"/>
  <c r="U146" i="3" l="1"/>
  <c r="D147" i="3" s="1"/>
  <c r="AG147" i="3"/>
  <c r="AH147" i="3"/>
  <c r="Y145" i="3"/>
  <c r="E147" i="3" l="1"/>
  <c r="H147" i="3" s="1"/>
  <c r="K147" i="3" s="1"/>
  <c r="G147" i="3"/>
  <c r="F147" i="3" l="1"/>
  <c r="V147" i="3"/>
  <c r="AE147" i="3"/>
  <c r="I147" i="3"/>
  <c r="J147" i="3"/>
  <c r="M147" i="3"/>
  <c r="N147" i="3" s="1"/>
  <c r="W147" i="3" l="1"/>
  <c r="L147" i="3"/>
  <c r="AG148" i="3" l="1"/>
  <c r="U147" i="3"/>
  <c r="E148" i="3" s="1"/>
  <c r="H148" i="3" s="1"/>
  <c r="AH148" i="3"/>
  <c r="Y146" i="3"/>
  <c r="K148" i="3" l="1"/>
  <c r="D148" i="3"/>
  <c r="V148" i="3" l="1"/>
  <c r="AE148" i="3"/>
  <c r="F148" i="3"/>
  <c r="G148" i="3"/>
  <c r="I148" i="3" l="1"/>
  <c r="W148" i="3" s="1"/>
  <c r="J148" i="3"/>
  <c r="M148" i="3"/>
  <c r="N148" i="3" s="1"/>
  <c r="L148" i="3" l="1"/>
  <c r="AG149" i="3" l="1"/>
  <c r="U148" i="3"/>
  <c r="D149" i="3" s="1"/>
  <c r="AH149" i="3"/>
  <c r="Y147" i="3"/>
  <c r="E149" i="3" l="1"/>
  <c r="H149" i="3" s="1"/>
  <c r="K149" i="3" s="1"/>
  <c r="G149" i="3"/>
  <c r="F149" i="3" l="1"/>
  <c r="I149" i="3"/>
  <c r="J149" i="3"/>
  <c r="M149" i="3"/>
  <c r="N149" i="3" s="1"/>
  <c r="V149" i="3"/>
  <c r="AE149" i="3"/>
  <c r="W149" i="3" l="1"/>
  <c r="L149" i="3"/>
  <c r="AH150" i="3" l="1"/>
  <c r="U149" i="3"/>
  <c r="D150" i="3" s="1"/>
  <c r="AG150" i="3"/>
  <c r="Y148" i="3"/>
  <c r="E150" i="3" l="1"/>
  <c r="H150" i="3" s="1"/>
  <c r="K150" i="3" s="1"/>
  <c r="G150" i="3"/>
  <c r="F150" i="3" l="1"/>
  <c r="I150" i="3"/>
  <c r="J150" i="3"/>
  <c r="M150" i="3"/>
  <c r="N150" i="3" s="1"/>
  <c r="V150" i="3"/>
  <c r="AE150" i="3"/>
  <c r="W150" i="3" l="1"/>
  <c r="L150" i="3"/>
  <c r="AH151" i="3" l="1"/>
  <c r="U150" i="3"/>
  <c r="E151" i="3" s="1"/>
  <c r="H151" i="3" s="1"/>
  <c r="AG151" i="3"/>
  <c r="Y149" i="3"/>
  <c r="D151" i="3" l="1"/>
  <c r="G151" i="3" s="1"/>
  <c r="K151" i="3"/>
  <c r="F151" i="3" l="1"/>
  <c r="I151" i="3"/>
  <c r="J151" i="3"/>
  <c r="M151" i="3"/>
  <c r="N151" i="3" s="1"/>
  <c r="V151" i="3"/>
  <c r="AE151" i="3"/>
  <c r="W151" i="3" l="1"/>
  <c r="L151" i="3"/>
  <c r="AH152" i="3" l="1"/>
  <c r="AG152" i="3"/>
  <c r="U151" i="3"/>
  <c r="E152" i="3" s="1"/>
  <c r="H152" i="3" s="1"/>
  <c r="Y150" i="3"/>
  <c r="D152" i="3" l="1"/>
  <c r="G152" i="3" s="1"/>
  <c r="K152" i="3"/>
  <c r="F152" i="3" l="1"/>
  <c r="V152" i="3"/>
  <c r="AE152" i="3"/>
  <c r="I152" i="3"/>
  <c r="J152" i="3"/>
  <c r="M152" i="3"/>
  <c r="N152" i="3" s="1"/>
  <c r="W152" i="3" l="1"/>
  <c r="L152" i="3"/>
  <c r="AH153" i="3" l="1"/>
  <c r="U152" i="3"/>
  <c r="D153" i="3" s="1"/>
  <c r="AG153" i="3"/>
  <c r="Y151" i="3"/>
  <c r="G153" i="3" l="1"/>
  <c r="E153" i="3"/>
  <c r="H153" i="3" s="1"/>
  <c r="K153" i="3" l="1"/>
  <c r="I153" i="3"/>
  <c r="J153" i="3"/>
  <c r="M153" i="3"/>
  <c r="N153" i="3" s="1"/>
  <c r="F153" i="3"/>
  <c r="V153" i="3" l="1"/>
  <c r="W153" i="3" s="1"/>
  <c r="AE153" i="3"/>
  <c r="L153" i="3"/>
  <c r="U153" i="3" l="1"/>
  <c r="D154" i="3" s="1"/>
  <c r="AG154" i="3"/>
  <c r="AH154" i="3"/>
  <c r="Y152" i="3"/>
  <c r="E154" i="3" l="1"/>
  <c r="H154" i="3" s="1"/>
  <c r="K154" i="3" s="1"/>
  <c r="G154" i="3"/>
  <c r="F154" i="3" l="1"/>
  <c r="I154" i="3"/>
  <c r="J154" i="3"/>
  <c r="M154" i="3"/>
  <c r="N154" i="3" s="1"/>
  <c r="V154" i="3"/>
  <c r="AE154" i="3"/>
  <c r="L154" i="3" l="1"/>
  <c r="W154" i="3"/>
  <c r="U154" i="3" l="1"/>
  <c r="E155" i="3" s="1"/>
  <c r="H155" i="3" s="1"/>
  <c r="AH155" i="3"/>
  <c r="AG155" i="3"/>
  <c r="Y153" i="3"/>
  <c r="D155" i="3" l="1"/>
  <c r="G155" i="3" s="1"/>
  <c r="K155" i="3"/>
  <c r="F155" i="3" l="1"/>
  <c r="V155" i="3"/>
  <c r="AE155" i="3"/>
  <c r="I155" i="3"/>
  <c r="J155" i="3"/>
  <c r="M155" i="3"/>
  <c r="N155" i="3" s="1"/>
  <c r="W155" i="3" l="1"/>
  <c r="L155" i="3"/>
  <c r="AG156" i="3" l="1"/>
  <c r="U155" i="3"/>
  <c r="D156" i="3" s="1"/>
  <c r="AH156" i="3"/>
  <c r="Y154" i="3"/>
  <c r="E156" i="3" l="1"/>
  <c r="H156" i="3" s="1"/>
  <c r="K156" i="3" s="1"/>
  <c r="G156" i="3"/>
  <c r="F156" i="3" l="1"/>
  <c r="V156" i="3"/>
  <c r="AE156" i="3"/>
  <c r="I156" i="3"/>
  <c r="J156" i="3"/>
  <c r="M156" i="3"/>
  <c r="N156" i="3" s="1"/>
  <c r="W156" i="3" l="1"/>
  <c r="L156" i="3"/>
  <c r="U156" i="3" l="1"/>
  <c r="E157" i="3" s="1"/>
  <c r="H157" i="3" s="1"/>
  <c r="AH157" i="3"/>
  <c r="AG157" i="3"/>
  <c r="Y155" i="3"/>
  <c r="D157" i="3" l="1"/>
  <c r="G157" i="3" s="1"/>
  <c r="K157" i="3"/>
  <c r="F157" i="3" l="1"/>
  <c r="I157" i="3"/>
  <c r="J157" i="3"/>
  <c r="M157" i="3"/>
  <c r="N157" i="3" s="1"/>
  <c r="V157" i="3"/>
  <c r="AE157" i="3"/>
  <c r="W157" i="3" l="1"/>
  <c r="L157" i="3"/>
  <c r="U157" i="3" l="1"/>
  <c r="E158" i="3" s="1"/>
  <c r="H158" i="3" s="1"/>
  <c r="AH158" i="3"/>
  <c r="AG158" i="3"/>
  <c r="Y156" i="3"/>
  <c r="D158" i="3" l="1"/>
  <c r="F158" i="3" s="1"/>
  <c r="K158" i="3"/>
  <c r="G158" i="3" l="1"/>
  <c r="I158" i="3" s="1"/>
  <c r="V158" i="3"/>
  <c r="AE158" i="3"/>
  <c r="M158" i="3" l="1"/>
  <c r="N158" i="3" s="1"/>
  <c r="J158" i="3"/>
  <c r="L158" i="3" s="1"/>
  <c r="W158" i="3"/>
  <c r="U158" i="3" l="1"/>
  <c r="E159" i="3" s="1"/>
  <c r="H159" i="3" s="1"/>
  <c r="AG159" i="3"/>
  <c r="AH159" i="3"/>
  <c r="Y157" i="3"/>
  <c r="D159" i="3" l="1"/>
  <c r="F159" i="3" s="1"/>
  <c r="K159" i="3"/>
  <c r="G159" i="3" l="1"/>
  <c r="M159" i="3" s="1"/>
  <c r="N159" i="3" s="1"/>
  <c r="V159" i="3"/>
  <c r="AE159" i="3"/>
  <c r="I159" i="3" l="1"/>
  <c r="W159" i="3" s="1"/>
  <c r="J159" i="3"/>
  <c r="L159" i="3" s="1"/>
  <c r="AH160" i="3" l="1"/>
  <c r="U159" i="3"/>
  <c r="E160" i="3" s="1"/>
  <c r="H160" i="3" s="1"/>
  <c r="AG160" i="3"/>
  <c r="Y158" i="3"/>
  <c r="D160" i="3" l="1"/>
  <c r="G160" i="3" s="1"/>
  <c r="K160" i="3"/>
  <c r="F160" i="3" l="1"/>
  <c r="I160" i="3"/>
  <c r="J160" i="3"/>
  <c r="M160" i="3"/>
  <c r="N160" i="3" s="1"/>
  <c r="V160" i="3"/>
  <c r="AE160" i="3"/>
  <c r="W160" i="3" l="1"/>
  <c r="L160" i="3"/>
  <c r="AG161" i="3" l="1"/>
  <c r="AH161" i="3"/>
  <c r="U160" i="3"/>
  <c r="E161" i="3" s="1"/>
  <c r="H161" i="3" s="1"/>
  <c r="Y159" i="3"/>
  <c r="D161" i="3" l="1"/>
  <c r="G161" i="3" s="1"/>
  <c r="K161" i="3"/>
  <c r="F161" i="3" l="1"/>
  <c r="I161" i="3"/>
  <c r="J161" i="3"/>
  <c r="M161" i="3"/>
  <c r="N161" i="3" s="1"/>
  <c r="V161" i="3"/>
  <c r="AE161" i="3"/>
  <c r="W161" i="3" l="1"/>
  <c r="L161" i="3"/>
  <c r="U161" i="3" l="1"/>
  <c r="D162" i="3" s="1"/>
  <c r="AG162" i="3"/>
  <c r="AH162" i="3"/>
  <c r="Y160" i="3"/>
  <c r="G162" i="3" l="1"/>
  <c r="E162" i="3"/>
  <c r="H162" i="3" s="1"/>
  <c r="F162" i="3" l="1"/>
  <c r="I162" i="3"/>
  <c r="J162" i="3"/>
  <c r="M162" i="3"/>
  <c r="N162" i="3" s="1"/>
  <c r="K162" i="3"/>
  <c r="V162" i="3" l="1"/>
  <c r="W162" i="3" s="1"/>
  <c r="AE162" i="3"/>
  <c r="L162" i="3"/>
  <c r="U162" i="3" l="1"/>
  <c r="D163" i="3" s="1"/>
  <c r="AH163" i="3"/>
  <c r="AG163" i="3"/>
  <c r="Y161" i="3"/>
  <c r="E163" i="3" l="1"/>
  <c r="H163" i="3" s="1"/>
  <c r="K163" i="3" s="1"/>
  <c r="G163" i="3"/>
  <c r="F163" i="3" l="1"/>
  <c r="V163" i="3"/>
  <c r="AE163" i="3"/>
  <c r="I163" i="3"/>
  <c r="J163" i="3"/>
  <c r="M163" i="3"/>
  <c r="N163" i="3" s="1"/>
  <c r="W163" i="3" l="1"/>
  <c r="L163" i="3"/>
  <c r="AH164" i="3" l="1"/>
  <c r="U163" i="3"/>
  <c r="D164" i="3" s="1"/>
  <c r="AG164" i="3"/>
  <c r="Y162" i="3"/>
  <c r="E164" i="3" l="1"/>
  <c r="H164" i="3" s="1"/>
  <c r="K164" i="3" s="1"/>
  <c r="G164" i="3"/>
  <c r="F164" i="3" l="1"/>
  <c r="I164" i="3"/>
  <c r="J164" i="3"/>
  <c r="M164" i="3"/>
  <c r="N164" i="3" s="1"/>
  <c r="V164" i="3"/>
  <c r="AE164" i="3"/>
  <c r="W164" i="3" l="1"/>
  <c r="L164" i="3"/>
  <c r="U164" i="3" l="1"/>
  <c r="D165" i="3" s="1"/>
  <c r="AG165" i="3"/>
  <c r="AH165" i="3"/>
  <c r="Y163" i="3"/>
  <c r="E165" i="3" l="1"/>
  <c r="H165" i="3" s="1"/>
  <c r="K165" i="3" s="1"/>
  <c r="G165" i="3"/>
  <c r="F165" i="3" l="1"/>
  <c r="V165" i="3"/>
  <c r="AE165" i="3"/>
  <c r="I165" i="3"/>
  <c r="J165" i="3"/>
  <c r="M165" i="3"/>
  <c r="N165" i="3" s="1"/>
  <c r="L165" i="3" l="1"/>
  <c r="W165" i="3"/>
  <c r="AH166" i="3" l="1"/>
  <c r="U165" i="3"/>
  <c r="E166" i="3" s="1"/>
  <c r="H166" i="3" s="1"/>
  <c r="AG166" i="3"/>
  <c r="Y164" i="3"/>
  <c r="D166" i="3" l="1"/>
  <c r="G166" i="3" s="1"/>
  <c r="K166" i="3"/>
  <c r="F166" i="3" l="1"/>
  <c r="I166" i="3"/>
  <c r="J166" i="3"/>
  <c r="M166" i="3"/>
  <c r="N166" i="3" s="1"/>
  <c r="V166" i="3"/>
  <c r="AE166" i="3"/>
  <c r="W166" i="3" l="1"/>
  <c r="L166" i="3"/>
  <c r="AH167" i="3" l="1"/>
  <c r="AG167" i="3"/>
  <c r="U166" i="3"/>
  <c r="E167" i="3" s="1"/>
  <c r="H167" i="3" s="1"/>
  <c r="Y165" i="3"/>
  <c r="K167" i="3" l="1"/>
  <c r="D167" i="3"/>
  <c r="V167" i="3" l="1"/>
  <c r="AE167" i="3"/>
  <c r="F167" i="3"/>
  <c r="G167" i="3"/>
  <c r="I167" i="3" l="1"/>
  <c r="W167" i="3" s="1"/>
  <c r="J167" i="3"/>
  <c r="M167" i="3"/>
  <c r="N167" i="3" s="1"/>
  <c r="L167" i="3" l="1"/>
  <c r="AH168" i="3" l="1"/>
  <c r="U167" i="3"/>
  <c r="E168" i="3" s="1"/>
  <c r="H168" i="3" s="1"/>
  <c r="AG168" i="3"/>
  <c r="Y166" i="3"/>
  <c r="D168" i="3" l="1"/>
  <c r="F168" i="3" s="1"/>
  <c r="K168" i="3"/>
  <c r="G168" i="3" l="1"/>
  <c r="I168" i="3" s="1"/>
  <c r="V168" i="3"/>
  <c r="AE168" i="3"/>
  <c r="M168" i="3" l="1"/>
  <c r="N168" i="3" s="1"/>
  <c r="J168" i="3"/>
  <c r="L168" i="3" s="1"/>
  <c r="W168" i="3"/>
  <c r="U168" i="3" l="1"/>
  <c r="E169" i="3" s="1"/>
  <c r="H169" i="3" s="1"/>
  <c r="AH169" i="3"/>
  <c r="AG169" i="3"/>
  <c r="Y167" i="3"/>
  <c r="D169" i="3" l="1"/>
  <c r="F169" i="3" s="1"/>
  <c r="K169" i="3"/>
  <c r="G169" i="3" l="1"/>
  <c r="I169" i="3" s="1"/>
  <c r="V169" i="3"/>
  <c r="AE169" i="3"/>
  <c r="M169" i="3" l="1"/>
  <c r="N169" i="3" s="1"/>
  <c r="J169" i="3"/>
  <c r="L169" i="3" s="1"/>
  <c r="W169" i="3"/>
  <c r="AH170" i="3" l="1"/>
  <c r="U169" i="3"/>
  <c r="E170" i="3" s="1"/>
  <c r="H170" i="3" s="1"/>
  <c r="AG170" i="3"/>
  <c r="Y168" i="3"/>
  <c r="D170" i="3" l="1"/>
  <c r="G170" i="3" s="1"/>
  <c r="K170" i="3"/>
  <c r="F170" i="3" l="1"/>
  <c r="I170" i="3"/>
  <c r="J170" i="3"/>
  <c r="M170" i="3"/>
  <c r="N170" i="3" s="1"/>
  <c r="V170" i="3"/>
  <c r="AE170" i="3"/>
  <c r="W170" i="3" l="1"/>
  <c r="L170" i="3"/>
  <c r="AG171" i="3" l="1"/>
  <c r="U170" i="3"/>
  <c r="E171" i="3" s="1"/>
  <c r="H171" i="3" s="1"/>
  <c r="AH171" i="3"/>
  <c r="Y169" i="3"/>
  <c r="K171" i="3" l="1"/>
  <c r="D171" i="3"/>
  <c r="F171" i="3" l="1"/>
  <c r="G171" i="3"/>
  <c r="V171" i="3"/>
  <c r="AE171" i="3"/>
  <c r="I171" i="3" l="1"/>
  <c r="W171" i="3" s="1"/>
  <c r="J171" i="3"/>
  <c r="M171" i="3"/>
  <c r="N171" i="3" s="1"/>
  <c r="L171" i="3" l="1"/>
  <c r="U171" i="3" l="1"/>
  <c r="E172" i="3" s="1"/>
  <c r="H172" i="3" s="1"/>
  <c r="AH172" i="3"/>
  <c r="AG172" i="3"/>
  <c r="Y170" i="3"/>
  <c r="K172" i="3" l="1"/>
  <c r="D172" i="3"/>
  <c r="V172" i="3" l="1"/>
  <c r="AE172" i="3"/>
  <c r="F172" i="3"/>
  <c r="G172" i="3"/>
  <c r="I172" i="3" l="1"/>
  <c r="W172" i="3" s="1"/>
  <c r="J172" i="3"/>
  <c r="M172" i="3"/>
  <c r="N172" i="3" s="1"/>
  <c r="L172" i="3" l="1"/>
  <c r="U172" i="3" l="1"/>
  <c r="E173" i="3" s="1"/>
  <c r="H173" i="3" s="1"/>
  <c r="AH173" i="3"/>
  <c r="AG173" i="3"/>
  <c r="Y171" i="3"/>
  <c r="D173" i="3" l="1"/>
  <c r="G173" i="3" s="1"/>
  <c r="K173" i="3"/>
  <c r="F173" i="3" l="1"/>
  <c r="I173" i="3"/>
  <c r="J173" i="3"/>
  <c r="M173" i="3"/>
  <c r="N173" i="3" s="1"/>
  <c r="V173" i="3"/>
  <c r="AE173" i="3"/>
  <c r="L173" i="3" l="1"/>
  <c r="W173" i="3"/>
  <c r="U173" i="3" l="1"/>
  <c r="E174" i="3" s="1"/>
  <c r="H174" i="3" s="1"/>
  <c r="AG174" i="3"/>
  <c r="AH174" i="3"/>
  <c r="Y172" i="3"/>
  <c r="D174" i="3" l="1"/>
  <c r="G174" i="3" s="1"/>
  <c r="K174" i="3"/>
  <c r="F174" i="3" l="1"/>
  <c r="V174" i="3"/>
  <c r="AE174" i="3"/>
  <c r="I174" i="3"/>
  <c r="J174" i="3"/>
  <c r="M174" i="3"/>
  <c r="N174" i="3" s="1"/>
  <c r="W174" i="3" l="1"/>
  <c r="L174" i="3"/>
  <c r="U174" i="3" l="1"/>
  <c r="D175" i="3" s="1"/>
  <c r="AG175" i="3"/>
  <c r="AH175" i="3"/>
  <c r="Y173" i="3"/>
  <c r="E175" i="3" l="1"/>
  <c r="H175" i="3" s="1"/>
  <c r="K175" i="3" s="1"/>
  <c r="G175" i="3"/>
  <c r="F175" i="3" l="1"/>
  <c r="I175" i="3"/>
  <c r="J175" i="3"/>
  <c r="M175" i="3"/>
  <c r="N175" i="3" s="1"/>
  <c r="V175" i="3"/>
  <c r="AE175" i="3"/>
  <c r="W175" i="3" l="1"/>
  <c r="L175" i="3"/>
  <c r="U175" i="3" l="1"/>
  <c r="E176" i="3" s="1"/>
  <c r="H176" i="3" s="1"/>
  <c r="AG176" i="3"/>
  <c r="AH176" i="3"/>
  <c r="Y174" i="3"/>
  <c r="D176" i="3" l="1"/>
  <c r="G176" i="3" s="1"/>
  <c r="K176" i="3"/>
  <c r="F176" i="3" l="1"/>
  <c r="I176" i="3"/>
  <c r="J176" i="3"/>
  <c r="M176" i="3"/>
  <c r="N176" i="3" s="1"/>
  <c r="V176" i="3"/>
  <c r="AE176" i="3"/>
  <c r="W176" i="3" l="1"/>
  <c r="L176" i="3"/>
  <c r="AH177" i="3" l="1"/>
  <c r="U176" i="3"/>
  <c r="D177" i="3" s="1"/>
  <c r="AG177" i="3"/>
  <c r="Y175" i="3"/>
  <c r="G177" i="3" l="1"/>
  <c r="E177" i="3"/>
  <c r="H177" i="3" s="1"/>
  <c r="F177" i="3" l="1"/>
  <c r="I177" i="3"/>
  <c r="J177" i="3"/>
  <c r="M177" i="3"/>
  <c r="N177" i="3" s="1"/>
  <c r="K177" i="3"/>
  <c r="V177" i="3" l="1"/>
  <c r="W177" i="3" s="1"/>
  <c r="AE177" i="3"/>
  <c r="L177" i="3"/>
  <c r="AH178" i="3" l="1"/>
  <c r="U177" i="3"/>
  <c r="E178" i="3" s="1"/>
  <c r="H178" i="3" s="1"/>
  <c r="AG178" i="3"/>
  <c r="Y176" i="3"/>
  <c r="D178" i="3" l="1"/>
  <c r="G178" i="3" s="1"/>
  <c r="K178" i="3"/>
  <c r="F178" i="3" l="1"/>
  <c r="I178" i="3"/>
  <c r="J178" i="3"/>
  <c r="M178" i="3"/>
  <c r="N178" i="3" s="1"/>
  <c r="V178" i="3"/>
  <c r="AE178" i="3"/>
  <c r="W178" i="3" l="1"/>
  <c r="L178" i="3"/>
  <c r="U178" i="3" l="1"/>
  <c r="E179" i="3" s="1"/>
  <c r="H179" i="3" s="1"/>
  <c r="AG179" i="3"/>
  <c r="AH179" i="3"/>
  <c r="Y177" i="3"/>
  <c r="D179" i="3" l="1"/>
  <c r="G179" i="3" s="1"/>
  <c r="K179" i="3"/>
  <c r="F179" i="3" l="1"/>
  <c r="V179" i="3"/>
  <c r="AE179" i="3"/>
  <c r="I179" i="3"/>
  <c r="J179" i="3"/>
  <c r="M179" i="3"/>
  <c r="N179" i="3" s="1"/>
  <c r="W179" i="3" l="1"/>
  <c r="L179" i="3"/>
  <c r="AG180" i="3" l="1"/>
  <c r="U179" i="3"/>
  <c r="D180" i="3" s="1"/>
  <c r="AH180" i="3"/>
  <c r="Y178" i="3"/>
  <c r="E180" i="3" l="1"/>
  <c r="H180" i="3" s="1"/>
  <c r="K180" i="3" s="1"/>
  <c r="G180" i="3"/>
  <c r="F180" i="3" l="1"/>
  <c r="I180" i="3"/>
  <c r="J180" i="3"/>
  <c r="M180" i="3"/>
  <c r="N180" i="3" s="1"/>
  <c r="V180" i="3"/>
  <c r="AE180" i="3"/>
  <c r="L180" i="3" l="1"/>
  <c r="W180" i="3"/>
  <c r="U180" i="3" l="1"/>
  <c r="E181" i="3" s="1"/>
  <c r="H181" i="3" s="1"/>
  <c r="AH181" i="3"/>
  <c r="AG181" i="3"/>
  <c r="Y179" i="3"/>
  <c r="D181" i="3" l="1"/>
  <c r="G181" i="3" s="1"/>
  <c r="K181" i="3"/>
  <c r="F181" i="3" l="1"/>
  <c r="I181" i="3"/>
  <c r="J181" i="3"/>
  <c r="M181" i="3"/>
  <c r="N181" i="3" s="1"/>
  <c r="V181" i="3"/>
  <c r="AE181" i="3"/>
  <c r="W181" i="3" l="1"/>
  <c r="L181" i="3"/>
  <c r="AH182" i="3" l="1"/>
  <c r="U181" i="3"/>
  <c r="E182" i="3" s="1"/>
  <c r="H182" i="3" s="1"/>
  <c r="AG182" i="3"/>
  <c r="Y180" i="3"/>
  <c r="K182" i="3" l="1"/>
  <c r="D182" i="3"/>
  <c r="V182" i="3" l="1"/>
  <c r="AE182" i="3"/>
  <c r="F182" i="3"/>
  <c r="G182" i="3"/>
  <c r="I182" i="3" l="1"/>
  <c r="W182" i="3" s="1"/>
  <c r="J182" i="3"/>
  <c r="M182" i="3"/>
  <c r="N182" i="3" s="1"/>
  <c r="L182" i="3" l="1"/>
  <c r="U182" i="3" l="1"/>
  <c r="E183" i="3" s="1"/>
  <c r="H183" i="3" s="1"/>
  <c r="AH183" i="3"/>
  <c r="AG183" i="3"/>
  <c r="Y181" i="3"/>
  <c r="D183" i="3" l="1"/>
  <c r="G183" i="3" s="1"/>
  <c r="K183" i="3"/>
  <c r="F183" i="3" l="1"/>
  <c r="I183" i="3"/>
  <c r="J183" i="3"/>
  <c r="M183" i="3"/>
  <c r="N183" i="3" s="1"/>
  <c r="V183" i="3"/>
  <c r="AE183" i="3"/>
  <c r="W183" i="3" l="1"/>
  <c r="L183" i="3"/>
  <c r="U183" i="3" l="1"/>
  <c r="D184" i="3" s="1"/>
  <c r="AG184" i="3"/>
  <c r="AH184" i="3"/>
  <c r="Y182" i="3"/>
  <c r="G184" i="3" l="1"/>
  <c r="E184" i="3"/>
  <c r="H184" i="3" s="1"/>
  <c r="K184" i="3" l="1"/>
  <c r="I184" i="3"/>
  <c r="J184" i="3"/>
  <c r="M184" i="3"/>
  <c r="N184" i="3" s="1"/>
  <c r="F184" i="3"/>
  <c r="V184" i="3" l="1"/>
  <c r="W184" i="3" s="1"/>
  <c r="AE184" i="3"/>
  <c r="L184" i="3"/>
  <c r="AH185" i="3" l="1"/>
  <c r="AG185" i="3"/>
  <c r="U184" i="3"/>
  <c r="D185" i="3" s="1"/>
  <c r="Y183" i="3"/>
  <c r="E185" i="3" l="1"/>
  <c r="H185" i="3" s="1"/>
  <c r="K185" i="3" s="1"/>
  <c r="G185" i="3"/>
  <c r="F185" i="3" l="1"/>
  <c r="I185" i="3"/>
  <c r="J185" i="3"/>
  <c r="M185" i="3"/>
  <c r="N185" i="3" s="1"/>
  <c r="V185" i="3"/>
  <c r="AE185" i="3"/>
  <c r="W185" i="3" l="1"/>
  <c r="L185" i="3"/>
  <c r="U185" i="3" l="1"/>
  <c r="E186" i="3" s="1"/>
  <c r="H186" i="3" s="1"/>
  <c r="AH186" i="3"/>
  <c r="AG186" i="3"/>
  <c r="Y184" i="3"/>
  <c r="D186" i="3" l="1"/>
  <c r="G186" i="3" s="1"/>
  <c r="K186" i="3"/>
  <c r="F186" i="3" l="1"/>
  <c r="V186" i="3"/>
  <c r="AE186" i="3"/>
  <c r="I186" i="3"/>
  <c r="J186" i="3"/>
  <c r="M186" i="3"/>
  <c r="N186" i="3" s="1"/>
  <c r="L186" i="3" l="1"/>
  <c r="W186" i="3"/>
  <c r="AG187" i="3" l="1"/>
  <c r="AH187" i="3"/>
  <c r="U186" i="3"/>
  <c r="D187" i="3" s="1"/>
  <c r="Y185" i="3"/>
  <c r="G187" i="3" l="1"/>
  <c r="E187" i="3"/>
  <c r="H187" i="3" s="1"/>
  <c r="I187" i="3" l="1"/>
  <c r="J187" i="3"/>
  <c r="M187" i="3"/>
  <c r="N187" i="3" s="1"/>
  <c r="F187" i="3"/>
  <c r="K187" i="3"/>
  <c r="L187" i="3" l="1"/>
  <c r="V187" i="3"/>
  <c r="W187" i="3" s="1"/>
  <c r="AE187" i="3"/>
  <c r="AG188" i="3" l="1"/>
  <c r="U187" i="3"/>
  <c r="E188" i="3" s="1"/>
  <c r="H188" i="3" s="1"/>
  <c r="AH188" i="3"/>
  <c r="Y186" i="3"/>
  <c r="D188" i="3" l="1"/>
  <c r="G188" i="3" s="1"/>
  <c r="K188" i="3"/>
  <c r="F188" i="3" l="1"/>
  <c r="I188" i="3"/>
  <c r="J188" i="3"/>
  <c r="M188" i="3"/>
  <c r="N188" i="3" s="1"/>
  <c r="V188" i="3"/>
  <c r="AE188" i="3"/>
  <c r="W188" i="3" l="1"/>
  <c r="L188" i="3"/>
  <c r="U188" i="3" l="1"/>
  <c r="E189" i="3" s="1"/>
  <c r="H189" i="3" s="1"/>
  <c r="AH189" i="3"/>
  <c r="AG189" i="3"/>
  <c r="Y187" i="3"/>
  <c r="D189" i="3" l="1"/>
  <c r="G189" i="3" s="1"/>
  <c r="K189" i="3"/>
  <c r="F189" i="3" l="1"/>
  <c r="I189" i="3"/>
  <c r="J189" i="3"/>
  <c r="M189" i="3"/>
  <c r="N189" i="3" s="1"/>
  <c r="V189" i="3"/>
  <c r="AE189" i="3"/>
  <c r="W189" i="3" l="1"/>
  <c r="L189" i="3"/>
  <c r="AH190" i="3" l="1"/>
  <c r="U189" i="3"/>
  <c r="D190" i="3" s="1"/>
  <c r="AG190" i="3"/>
  <c r="Y188" i="3"/>
  <c r="G190" i="3" l="1"/>
  <c r="E190" i="3"/>
  <c r="H190" i="3" s="1"/>
  <c r="K190" i="3" l="1"/>
  <c r="I190" i="3"/>
  <c r="J190" i="3"/>
  <c r="M190" i="3"/>
  <c r="N190" i="3" s="1"/>
  <c r="F190" i="3"/>
  <c r="L190" i="3" l="1"/>
  <c r="V190" i="3"/>
  <c r="W190" i="3" s="1"/>
  <c r="AE190" i="3"/>
  <c r="AG191" i="3" l="1"/>
  <c r="U190" i="3"/>
  <c r="E191" i="3" s="1"/>
  <c r="H191" i="3" s="1"/>
  <c r="AH191" i="3"/>
  <c r="Y189" i="3"/>
  <c r="K191" i="3" l="1"/>
  <c r="D191" i="3"/>
  <c r="V191" i="3" l="1"/>
  <c r="AE191" i="3"/>
  <c r="F191" i="3"/>
  <c r="G191" i="3"/>
  <c r="I191" i="3" l="1"/>
  <c r="W191" i="3" s="1"/>
  <c r="J191" i="3"/>
  <c r="M191" i="3"/>
  <c r="N191" i="3" s="1"/>
  <c r="L191" i="3" l="1"/>
  <c r="AG192" i="3" l="1"/>
  <c r="U191" i="3"/>
  <c r="E192" i="3" s="1"/>
  <c r="H192" i="3" s="1"/>
  <c r="AH192" i="3"/>
  <c r="Y190" i="3"/>
  <c r="D192" i="3" l="1"/>
  <c r="G192" i="3" s="1"/>
  <c r="K192" i="3"/>
  <c r="F192" i="3" l="1"/>
  <c r="I192" i="3"/>
  <c r="J192" i="3"/>
  <c r="M192" i="3"/>
  <c r="N192" i="3" s="1"/>
  <c r="V192" i="3"/>
  <c r="AE192" i="3"/>
  <c r="W192" i="3" l="1"/>
  <c r="L192" i="3"/>
  <c r="U192" i="3" l="1"/>
  <c r="D193" i="3" s="1"/>
  <c r="AG193" i="3"/>
  <c r="AH193" i="3"/>
  <c r="Y191" i="3"/>
  <c r="G193" i="3" l="1"/>
  <c r="E193" i="3"/>
  <c r="H193" i="3" s="1"/>
  <c r="K193" i="3" l="1"/>
  <c r="I193" i="3"/>
  <c r="J193" i="3"/>
  <c r="M193" i="3"/>
  <c r="N193" i="3" s="1"/>
  <c r="F193" i="3"/>
  <c r="L193" i="3" l="1"/>
  <c r="V193" i="3"/>
  <c r="W193" i="3" s="1"/>
  <c r="AE193" i="3"/>
  <c r="AH194" i="3" l="1"/>
  <c r="AG194" i="3"/>
  <c r="U193" i="3"/>
  <c r="D194" i="3" s="1"/>
  <c r="Y192" i="3"/>
  <c r="E194" i="3" l="1"/>
  <c r="H194" i="3" s="1"/>
  <c r="K194" i="3" s="1"/>
  <c r="G194" i="3"/>
  <c r="F194" i="3" l="1"/>
  <c r="V194" i="3"/>
  <c r="AE194" i="3"/>
  <c r="I194" i="3"/>
  <c r="J194" i="3"/>
  <c r="M194" i="3"/>
  <c r="N194" i="3" s="1"/>
  <c r="W194" i="3" l="1"/>
  <c r="L194" i="3"/>
  <c r="U194" i="3" l="1"/>
  <c r="D195" i="3" s="1"/>
  <c r="AH195" i="3"/>
  <c r="AG195" i="3"/>
  <c r="Y193" i="3"/>
  <c r="E195" i="3" l="1"/>
  <c r="H195" i="3" s="1"/>
  <c r="K195" i="3" s="1"/>
  <c r="G195" i="3"/>
  <c r="F195" i="3" l="1"/>
  <c r="V195" i="3"/>
  <c r="AE195" i="3"/>
  <c r="I195" i="3"/>
  <c r="J195" i="3"/>
  <c r="M195" i="3"/>
  <c r="N195" i="3" s="1"/>
  <c r="W195" i="3" l="1"/>
  <c r="L195" i="3"/>
  <c r="AH196" i="3" l="1"/>
  <c r="U195" i="3"/>
  <c r="D196" i="3" s="1"/>
  <c r="AG196" i="3"/>
  <c r="Y194" i="3"/>
  <c r="E196" i="3" l="1"/>
  <c r="H196" i="3" s="1"/>
  <c r="K196" i="3" s="1"/>
  <c r="G196" i="3"/>
  <c r="F196" i="3" l="1"/>
  <c r="I196" i="3"/>
  <c r="J196" i="3"/>
  <c r="M196" i="3"/>
  <c r="N196" i="3" s="1"/>
  <c r="V196" i="3"/>
  <c r="AE196" i="3"/>
  <c r="L196" i="3" l="1"/>
  <c r="W196" i="3"/>
  <c r="U196" i="3" l="1"/>
  <c r="E197" i="3" s="1"/>
  <c r="H197" i="3" s="1"/>
  <c r="AG197" i="3"/>
  <c r="AH197" i="3"/>
  <c r="Y195" i="3"/>
  <c r="D197" i="3" l="1"/>
  <c r="G197" i="3" s="1"/>
  <c r="K197" i="3"/>
  <c r="F197" i="3" l="1"/>
  <c r="I197" i="3"/>
  <c r="J197" i="3"/>
  <c r="M197" i="3"/>
  <c r="N197" i="3" s="1"/>
  <c r="V197" i="3"/>
  <c r="AE197" i="3"/>
  <c r="W197" i="3" l="1"/>
  <c r="L197" i="3"/>
  <c r="AG198" i="3" l="1"/>
  <c r="AH198" i="3"/>
  <c r="U197" i="3"/>
  <c r="E198" i="3" s="1"/>
  <c r="H198" i="3" s="1"/>
  <c r="Y196" i="3"/>
  <c r="K198" i="3" l="1"/>
  <c r="D198" i="3"/>
  <c r="V198" i="3" l="1"/>
  <c r="AE198" i="3"/>
  <c r="F198" i="3"/>
  <c r="G198" i="3"/>
  <c r="I198" i="3" l="1"/>
  <c r="W198" i="3" s="1"/>
  <c r="J198" i="3"/>
  <c r="M198" i="3"/>
  <c r="N198" i="3" s="1"/>
  <c r="L198" i="3" l="1"/>
  <c r="AG199" i="3" l="1"/>
  <c r="U198" i="3"/>
  <c r="E199" i="3" s="1"/>
  <c r="H199" i="3" s="1"/>
  <c r="AH199" i="3"/>
  <c r="Y197" i="3"/>
  <c r="K199" i="3" l="1"/>
  <c r="D199" i="3"/>
  <c r="V199" i="3" l="1"/>
  <c r="AE199" i="3"/>
  <c r="F199" i="3"/>
  <c r="G199" i="3"/>
  <c r="I199" i="3" l="1"/>
  <c r="W199" i="3" s="1"/>
  <c r="J199" i="3"/>
  <c r="M199" i="3"/>
  <c r="N199" i="3" s="1"/>
  <c r="L199" i="3" l="1"/>
  <c r="AH200" i="3" l="1"/>
  <c r="AG200" i="3"/>
  <c r="U199" i="3"/>
  <c r="E200" i="3" s="1"/>
  <c r="H200" i="3" s="1"/>
  <c r="Y198" i="3"/>
  <c r="K200" i="3" l="1"/>
  <c r="D200" i="3"/>
  <c r="V200" i="3" l="1"/>
  <c r="AE200" i="3"/>
  <c r="F200" i="3"/>
  <c r="G200" i="3"/>
  <c r="I200" i="3" l="1"/>
  <c r="W200" i="3" s="1"/>
  <c r="J200" i="3"/>
  <c r="M200" i="3"/>
  <c r="N200" i="3" s="1"/>
  <c r="L200" i="3" l="1"/>
  <c r="AG201" i="3" l="1"/>
  <c r="U200" i="3"/>
  <c r="E201" i="3" s="1"/>
  <c r="H201" i="3" s="1"/>
  <c r="AH201" i="3"/>
  <c r="Y199" i="3"/>
  <c r="D201" i="3" l="1"/>
  <c r="G201" i="3" s="1"/>
  <c r="K201" i="3"/>
  <c r="F201" i="3" l="1"/>
  <c r="I201" i="3"/>
  <c r="J201" i="3"/>
  <c r="M201" i="3"/>
  <c r="N201" i="3" s="1"/>
  <c r="V201" i="3"/>
  <c r="AE201" i="3"/>
  <c r="W201" i="3" l="1"/>
  <c r="L201" i="3"/>
  <c r="U201" i="3" l="1"/>
  <c r="E202" i="3" s="1"/>
  <c r="H202" i="3" s="1"/>
  <c r="AG202" i="3"/>
  <c r="AH202" i="3"/>
  <c r="Y200" i="3"/>
  <c r="D202" i="3" l="1"/>
  <c r="G202" i="3" s="1"/>
  <c r="K202" i="3"/>
  <c r="F202" i="3" l="1"/>
  <c r="V202" i="3"/>
  <c r="AE202" i="3"/>
  <c r="I202" i="3"/>
  <c r="J202" i="3"/>
  <c r="M202" i="3"/>
  <c r="N202" i="3" s="1"/>
  <c r="W202" i="3" l="1"/>
  <c r="L202" i="3"/>
  <c r="U202" i="3" l="1"/>
  <c r="E203" i="3" s="1"/>
  <c r="H203" i="3" s="1"/>
  <c r="AH203" i="3"/>
  <c r="AG203" i="3"/>
  <c r="Y201" i="3"/>
  <c r="D203" i="3" l="1"/>
  <c r="G203" i="3" s="1"/>
  <c r="K203" i="3"/>
  <c r="F203" i="3" l="1"/>
  <c r="I203" i="3"/>
  <c r="J203" i="3"/>
  <c r="M203" i="3"/>
  <c r="N203" i="3" s="1"/>
  <c r="V203" i="3"/>
  <c r="AE203" i="3"/>
  <c r="W203" i="3" l="1"/>
  <c r="L203" i="3"/>
  <c r="U203" i="3" l="1"/>
  <c r="E204" i="3" s="1"/>
  <c r="H204" i="3" s="1"/>
  <c r="AH204" i="3"/>
  <c r="AG204" i="3"/>
  <c r="Y202" i="3"/>
  <c r="D204" i="3" l="1"/>
  <c r="G204" i="3" s="1"/>
  <c r="K204" i="3"/>
  <c r="F204" i="3" l="1"/>
  <c r="I204" i="3"/>
  <c r="J204" i="3"/>
  <c r="M204" i="3"/>
  <c r="N204" i="3" s="1"/>
  <c r="V204" i="3"/>
  <c r="A205" i="3"/>
  <c r="B205" i="3" s="1"/>
  <c r="AE204" i="3"/>
  <c r="W204" i="3" l="1"/>
  <c r="L204" i="3"/>
  <c r="AD204" i="3"/>
  <c r="AC205" i="3"/>
  <c r="P205" i="3"/>
  <c r="Q205" i="3" s="1"/>
  <c r="R205" i="3" s="1"/>
  <c r="S205" i="3" s="1"/>
  <c r="Z205" i="3"/>
  <c r="AA205" i="3"/>
  <c r="AD205" i="3"/>
  <c r="U204" i="3" l="1"/>
  <c r="Y203" i="3"/>
  <c r="T205" i="3"/>
  <c r="AH205" i="3" s="1"/>
  <c r="E205" i="3" l="1"/>
  <c r="H205" i="3" s="1"/>
  <c r="D205" i="3"/>
  <c r="AG205" i="3"/>
  <c r="K205" i="3" l="1"/>
  <c r="F205" i="3"/>
  <c r="G205" i="3"/>
  <c r="V205" i="3" l="1"/>
  <c r="A206" i="3"/>
  <c r="B206" i="3" s="1"/>
  <c r="AE205" i="3"/>
  <c r="I205" i="3"/>
  <c r="J205" i="3"/>
  <c r="M205" i="3"/>
  <c r="N205" i="3" s="1"/>
  <c r="W205" i="3" l="1"/>
  <c r="L205" i="3"/>
  <c r="AC206" i="3"/>
  <c r="P206" i="3"/>
  <c r="Q206" i="3" s="1"/>
  <c r="R206" i="3" s="1"/>
  <c r="S206" i="3" s="1"/>
  <c r="Z206" i="3"/>
  <c r="AA206" i="3"/>
  <c r="AD206" i="3"/>
  <c r="T206" i="3" l="1"/>
  <c r="AH206" i="3" s="1"/>
  <c r="U205" i="3"/>
  <c r="Y204" i="3"/>
  <c r="AG206" i="3" l="1"/>
  <c r="D206" i="3"/>
  <c r="E206" i="3"/>
  <c r="H206" i="3" s="1"/>
  <c r="F206" i="3" l="1"/>
  <c r="G206" i="3"/>
  <c r="K206" i="3"/>
  <c r="I206" i="3" l="1"/>
  <c r="J206" i="3"/>
  <c r="M206" i="3"/>
  <c r="N206" i="3" s="1"/>
  <c r="V206" i="3"/>
  <c r="A207" i="3"/>
  <c r="B207" i="3" s="1"/>
  <c r="AE206" i="3"/>
  <c r="W206" i="3" l="1"/>
  <c r="L206" i="3"/>
  <c r="AD207" i="3"/>
  <c r="P207" i="3"/>
  <c r="Q207" i="3" s="1"/>
  <c r="R207" i="3" s="1"/>
  <c r="S207" i="3" s="1"/>
  <c r="AC207" i="3"/>
  <c r="Z207" i="3"/>
  <c r="AA207" i="3"/>
  <c r="T207" i="3" l="1"/>
  <c r="U206" i="3"/>
  <c r="Y205" i="3"/>
  <c r="D207" i="3" l="1"/>
  <c r="G207" i="3" s="1"/>
  <c r="AH207" i="3"/>
  <c r="E207" i="3"/>
  <c r="H207" i="3" s="1"/>
  <c r="AG207" i="3"/>
  <c r="F207" i="3" l="1"/>
  <c r="I207" i="3"/>
  <c r="J207" i="3"/>
  <c r="M207" i="3"/>
  <c r="N207" i="3" s="1"/>
  <c r="K207" i="3"/>
  <c r="V207" i="3" l="1"/>
  <c r="W207" i="3" s="1"/>
  <c r="AE207" i="3"/>
  <c r="A208" i="3"/>
  <c r="B208" i="3" s="1"/>
  <c r="L207" i="3"/>
  <c r="Z208" i="3" l="1"/>
  <c r="AC208" i="3"/>
  <c r="AA208" i="3"/>
  <c r="P208" i="3"/>
  <c r="Q208" i="3" s="1"/>
  <c r="R208" i="3" s="1"/>
  <c r="S208" i="3" s="1"/>
  <c r="AD208" i="3"/>
  <c r="U207" i="3"/>
  <c r="Y206" i="3"/>
  <c r="T208" i="3" l="1"/>
  <c r="AG208" i="3" s="1"/>
  <c r="AH208" i="3" l="1"/>
  <c r="D208" i="3"/>
  <c r="G208" i="3" s="1"/>
  <c r="E208" i="3"/>
  <c r="H208" i="3" s="1"/>
  <c r="K208" i="3" s="1"/>
  <c r="F208" i="3" l="1"/>
  <c r="I208" i="3"/>
  <c r="J208" i="3"/>
  <c r="M208" i="3"/>
  <c r="N208" i="3" s="1"/>
  <c r="V208" i="3"/>
  <c r="A209" i="3"/>
  <c r="B209" i="3" s="1"/>
  <c r="AE208" i="3"/>
  <c r="W208" i="3" l="1"/>
  <c r="L208" i="3"/>
  <c r="P209" i="3"/>
  <c r="Q209" i="3" s="1"/>
  <c r="R209" i="3" s="1"/>
  <c r="S209" i="3" s="1"/>
  <c r="AC209" i="3"/>
  <c r="AD209" i="3"/>
  <c r="AA209" i="3"/>
  <c r="Z209" i="3"/>
  <c r="U208" i="3" l="1"/>
  <c r="Y207" i="3"/>
  <c r="T209" i="3"/>
  <c r="AH209" i="3" s="1"/>
  <c r="AG209" i="3" l="1"/>
  <c r="D209" i="3"/>
  <c r="G209" i="3" s="1"/>
  <c r="E209" i="3"/>
  <c r="H209" i="3" s="1"/>
  <c r="F209" i="3" l="1"/>
  <c r="K209" i="3"/>
  <c r="I209" i="3"/>
  <c r="J209" i="3"/>
  <c r="M209" i="3"/>
  <c r="N209" i="3" s="1"/>
  <c r="L209" i="3" l="1"/>
  <c r="V209" i="3"/>
  <c r="W209" i="3" s="1"/>
  <c r="A210" i="3"/>
  <c r="B210" i="3" s="1"/>
  <c r="AE209" i="3"/>
  <c r="AC210" i="3" l="1"/>
  <c r="Z210" i="3"/>
  <c r="P210" i="3"/>
  <c r="Q210" i="3" s="1"/>
  <c r="R210" i="3" s="1"/>
  <c r="S210" i="3" s="1"/>
  <c r="AA210" i="3"/>
  <c r="AD210" i="3"/>
  <c r="U209" i="3"/>
  <c r="Y208" i="3"/>
  <c r="T210" i="3" l="1"/>
  <c r="AG210" i="3" s="1"/>
  <c r="AH210" i="3" l="1"/>
  <c r="D210" i="3"/>
  <c r="E210" i="3"/>
  <c r="H210" i="3" s="1"/>
  <c r="F210" i="3" l="1"/>
  <c r="G210" i="3"/>
  <c r="K210" i="3"/>
  <c r="V210" i="3" l="1"/>
  <c r="AE210" i="3"/>
  <c r="A211" i="3"/>
  <c r="B211" i="3" s="1"/>
  <c r="I210" i="3"/>
  <c r="J210" i="3"/>
  <c r="M210" i="3"/>
  <c r="N210" i="3" s="1"/>
  <c r="W210" i="3" l="1"/>
  <c r="AC211" i="3"/>
  <c r="Z211" i="3"/>
  <c r="P211" i="3"/>
  <c r="Q211" i="3" s="1"/>
  <c r="R211" i="3" s="1"/>
  <c r="S211" i="3" s="1"/>
  <c r="AA211" i="3"/>
  <c r="AD211" i="3"/>
  <c r="L210" i="3"/>
  <c r="T211" i="3" l="1"/>
  <c r="AG211" i="3" s="1"/>
  <c r="U210" i="3"/>
  <c r="Y209" i="3"/>
  <c r="E211" i="3" l="1"/>
  <c r="H211" i="3" s="1"/>
  <c r="D211" i="3"/>
  <c r="AH211" i="3"/>
  <c r="K211" i="3" l="1"/>
  <c r="F211" i="3"/>
  <c r="G211" i="3"/>
  <c r="I211" i="3" l="1"/>
  <c r="J211" i="3"/>
  <c r="M211" i="3"/>
  <c r="N211" i="3" s="1"/>
  <c r="V211" i="3"/>
  <c r="AE211" i="3"/>
  <c r="A212" i="3"/>
  <c r="B212" i="3" s="1"/>
  <c r="W211" i="3" l="1"/>
  <c r="AA212" i="3"/>
  <c r="Z212" i="3"/>
  <c r="P212" i="3"/>
  <c r="Q212" i="3" s="1"/>
  <c r="R212" i="3" s="1"/>
  <c r="S212" i="3" s="1"/>
  <c r="AC212" i="3"/>
  <c r="AD212" i="3"/>
  <c r="L211" i="3"/>
  <c r="U211" i="3" l="1"/>
  <c r="Y210" i="3"/>
  <c r="T212" i="3"/>
  <c r="E212" i="3" l="1"/>
  <c r="H212" i="3" s="1"/>
  <c r="K212" i="3" s="1"/>
  <c r="AH212" i="3"/>
  <c r="AG212" i="3"/>
  <c r="D212" i="3"/>
  <c r="F212" i="3" l="1"/>
  <c r="G212" i="3"/>
  <c r="V212" i="3"/>
  <c r="A213" i="3"/>
  <c r="B213" i="3" s="1"/>
  <c r="AE212" i="3"/>
  <c r="AD213" i="3" l="1"/>
  <c r="AC213" i="3"/>
  <c r="P213" i="3"/>
  <c r="Q213" i="3" s="1"/>
  <c r="R213" i="3" s="1"/>
  <c r="S213" i="3" s="1"/>
  <c r="AA213" i="3"/>
  <c r="Z213" i="3"/>
  <c r="I212" i="3"/>
  <c r="W212" i="3" s="1"/>
  <c r="J212" i="3"/>
  <c r="M212" i="3"/>
  <c r="N212" i="3" s="1"/>
  <c r="T213" i="3" l="1"/>
  <c r="L212" i="3"/>
  <c r="U212" i="3" l="1"/>
  <c r="E213" i="3" s="1"/>
  <c r="H213" i="3" s="1"/>
  <c r="AH213" i="3"/>
  <c r="AG213" i="3"/>
  <c r="Y211" i="3"/>
  <c r="D213" i="3" l="1"/>
  <c r="G213" i="3" s="1"/>
  <c r="K213" i="3"/>
  <c r="F213" i="3" l="1"/>
  <c r="I213" i="3"/>
  <c r="J213" i="3"/>
  <c r="M213" i="3"/>
  <c r="N213" i="3" s="1"/>
  <c r="V213" i="3"/>
  <c r="A214" i="3"/>
  <c r="B214" i="3" s="1"/>
  <c r="AE213" i="3"/>
  <c r="W213" i="3" l="1"/>
  <c r="L213" i="3"/>
  <c r="P214" i="3"/>
  <c r="Q214" i="3" s="1"/>
  <c r="R214" i="3" s="1"/>
  <c r="S214" i="3" s="1"/>
  <c r="AC214" i="3"/>
  <c r="AA214" i="3"/>
  <c r="Z214" i="3"/>
  <c r="U213" i="3" l="1"/>
  <c r="Y212" i="3"/>
  <c r="T214" i="3"/>
  <c r="D214" i="3" l="1"/>
  <c r="G214" i="3" s="1"/>
  <c r="E214" i="3"/>
  <c r="H214" i="3" s="1"/>
  <c r="AG214" i="3"/>
  <c r="AH214" i="3"/>
  <c r="F214" i="3" l="1"/>
  <c r="I214" i="3"/>
  <c r="J214" i="3"/>
  <c r="M214" i="3"/>
  <c r="N214" i="3" s="1"/>
  <c r="K214" i="3"/>
  <c r="AE214" i="3" s="1"/>
  <c r="V214" i="3" l="1"/>
  <c r="W214" i="3" s="1"/>
  <c r="A215" i="3"/>
  <c r="B215" i="3" s="1"/>
  <c r="L214" i="3"/>
  <c r="AD214" i="3"/>
  <c r="U214" i="3" l="1"/>
  <c r="Y213" i="3"/>
  <c r="AC215" i="3"/>
  <c r="AD215" i="3"/>
  <c r="Z215" i="3"/>
  <c r="P215" i="3"/>
  <c r="Q215" i="3" s="1"/>
  <c r="R215" i="3" s="1"/>
  <c r="S215" i="3" s="1"/>
  <c r="AA215" i="3"/>
  <c r="T215" i="3" l="1"/>
  <c r="AH215" i="3" s="1"/>
  <c r="D215" i="3" l="1"/>
  <c r="G215" i="3" s="1"/>
  <c r="E215" i="3"/>
  <c r="H215" i="3" s="1"/>
  <c r="K215" i="3" s="1"/>
  <c r="AE215" i="3" s="1"/>
  <c r="AG215" i="3"/>
  <c r="F215" i="3" l="1"/>
  <c r="V215" i="3"/>
  <c r="A216" i="3"/>
  <c r="B216" i="3" s="1"/>
  <c r="I215" i="3"/>
  <c r="J215" i="3"/>
  <c r="M215" i="3"/>
  <c r="N215" i="3" s="1"/>
  <c r="W215" i="3" l="1"/>
  <c r="L215" i="3"/>
  <c r="P216" i="3"/>
  <c r="Q216" i="3" s="1"/>
  <c r="R216" i="3" s="1"/>
  <c r="S216" i="3" s="1"/>
  <c r="Z216" i="3"/>
  <c r="AC216" i="3"/>
  <c r="AD216" i="3"/>
  <c r="AA216" i="3"/>
  <c r="U215" i="3" l="1"/>
  <c r="Y214" i="3"/>
  <c r="T216" i="3"/>
  <c r="AH216" i="3" s="1"/>
  <c r="D216" i="3" l="1"/>
  <c r="G216" i="3" s="1"/>
  <c r="AG216" i="3"/>
  <c r="E216" i="3"/>
  <c r="H216" i="3" s="1"/>
  <c r="K216" i="3" l="1"/>
  <c r="AE216" i="3" s="1"/>
  <c r="I216" i="3"/>
  <c r="J216" i="3"/>
  <c r="M216" i="3"/>
  <c r="N216" i="3" s="1"/>
  <c r="F216" i="3"/>
  <c r="V216" i="3" l="1"/>
  <c r="W216" i="3" s="1"/>
  <c r="A217" i="3"/>
  <c r="B217" i="3" s="1"/>
  <c r="L216" i="3"/>
  <c r="U216" i="3" l="1"/>
  <c r="Y215" i="3"/>
  <c r="P217" i="3"/>
  <c r="Q217" i="3" s="1"/>
  <c r="R217" i="3" s="1"/>
  <c r="S217" i="3" s="1"/>
  <c r="AC217" i="3"/>
  <c r="AA217" i="3"/>
  <c r="Z217" i="3"/>
  <c r="AD217" i="3"/>
  <c r="T217" i="3" l="1"/>
  <c r="D217" i="3" s="1"/>
  <c r="G217" i="3" l="1"/>
  <c r="AG217" i="3"/>
  <c r="AH217" i="3"/>
  <c r="E217" i="3"/>
  <c r="H217" i="3" s="1"/>
  <c r="I217" i="3" l="1"/>
  <c r="J217" i="3"/>
  <c r="M217" i="3"/>
  <c r="N217" i="3" s="1"/>
  <c r="K217" i="3"/>
  <c r="AE217" i="3" s="1"/>
  <c r="F217" i="3"/>
  <c r="V217" i="3" l="1"/>
  <c r="W217" i="3" s="1"/>
  <c r="A218" i="3"/>
  <c r="B218" i="3" s="1"/>
  <c r="L217" i="3"/>
  <c r="U217" i="3" l="1"/>
  <c r="Y216" i="3"/>
  <c r="AC218" i="3"/>
  <c r="AA218" i="3"/>
  <c r="Z218" i="3"/>
  <c r="P218" i="3"/>
  <c r="Q218" i="3" s="1"/>
  <c r="R218" i="3" s="1"/>
  <c r="S218" i="3" s="1"/>
  <c r="AD218" i="3"/>
  <c r="T218" i="3" l="1"/>
  <c r="AG218" i="3" s="1"/>
  <c r="AH218" i="3" l="1"/>
  <c r="E218" i="3"/>
  <c r="H218" i="3" s="1"/>
  <c r="K218" i="3" s="1"/>
  <c r="AE218" i="3" s="1"/>
  <c r="D218" i="3"/>
  <c r="G218" i="3" s="1"/>
  <c r="F218" i="3" l="1"/>
  <c r="I218" i="3"/>
  <c r="J218" i="3"/>
  <c r="M218" i="3"/>
  <c r="N218" i="3" s="1"/>
  <c r="V218" i="3"/>
  <c r="A219" i="3"/>
  <c r="B219" i="3" s="1"/>
  <c r="W218" i="3" l="1"/>
  <c r="L218" i="3"/>
  <c r="P219" i="3"/>
  <c r="Q219" i="3" s="1"/>
  <c r="R219" i="3" s="1"/>
  <c r="S219" i="3" s="1"/>
  <c r="AD219" i="3"/>
  <c r="AC219" i="3"/>
  <c r="AA219" i="3"/>
  <c r="Z219" i="3"/>
  <c r="U218" i="3" l="1"/>
  <c r="Y217" i="3"/>
  <c r="T219" i="3"/>
  <c r="AG219" i="3" s="1"/>
  <c r="D219" i="3" l="1"/>
  <c r="E219" i="3"/>
  <c r="H219" i="3" s="1"/>
  <c r="AH219" i="3"/>
  <c r="F219" i="3" l="1"/>
  <c r="G219" i="3"/>
  <c r="K219" i="3"/>
  <c r="AE219" i="3" s="1"/>
  <c r="I219" i="3" l="1"/>
  <c r="J219" i="3"/>
  <c r="M219" i="3"/>
  <c r="N219" i="3" s="1"/>
  <c r="V219" i="3"/>
  <c r="A220" i="3"/>
  <c r="B220" i="3" s="1"/>
  <c r="W219" i="3" l="1"/>
  <c r="L219" i="3"/>
  <c r="AC220" i="3"/>
  <c r="AD220" i="3"/>
  <c r="Z220" i="3"/>
  <c r="P220" i="3"/>
  <c r="Q220" i="3" s="1"/>
  <c r="R220" i="3" s="1"/>
  <c r="S220" i="3" s="1"/>
  <c r="AA220" i="3"/>
  <c r="U219" i="3" l="1"/>
  <c r="Y218" i="3"/>
  <c r="T220" i="3"/>
  <c r="E220" i="3" l="1"/>
  <c r="H220" i="3" s="1"/>
  <c r="K220" i="3" s="1"/>
  <c r="AE220" i="3" s="1"/>
  <c r="D220" i="3"/>
  <c r="G220" i="3" s="1"/>
  <c r="AG220" i="3"/>
  <c r="AH220" i="3"/>
  <c r="F220" i="3" l="1"/>
  <c r="I220" i="3"/>
  <c r="J220" i="3"/>
  <c r="M220" i="3"/>
  <c r="N220" i="3" s="1"/>
  <c r="V220" i="3"/>
  <c r="A221" i="3"/>
  <c r="B221" i="3" s="1"/>
  <c r="W220" i="3" l="1"/>
  <c r="L220" i="3"/>
  <c r="AA221" i="3"/>
  <c r="AC221" i="3"/>
  <c r="AD221" i="3"/>
  <c r="P221" i="3"/>
  <c r="Q221" i="3" s="1"/>
  <c r="R221" i="3" s="1"/>
  <c r="S221" i="3" s="1"/>
  <c r="Z221" i="3"/>
  <c r="T221" i="3" l="1"/>
  <c r="U220" i="3"/>
  <c r="Y219" i="3"/>
  <c r="D221" i="3" l="1"/>
  <c r="G221" i="3" s="1"/>
  <c r="AH221" i="3"/>
  <c r="AG221" i="3"/>
  <c r="E221" i="3"/>
  <c r="H221" i="3" s="1"/>
  <c r="K221" i="3" l="1"/>
  <c r="AE221" i="3" s="1"/>
  <c r="I221" i="3"/>
  <c r="J221" i="3"/>
  <c r="M221" i="3"/>
  <c r="N221" i="3" s="1"/>
  <c r="F221" i="3"/>
  <c r="L221" i="3" l="1"/>
  <c r="V221" i="3"/>
  <c r="W221" i="3" s="1"/>
  <c r="A222" i="3"/>
  <c r="B222" i="3" s="1"/>
  <c r="P222" i="3" l="1"/>
  <c r="Q222" i="3" s="1"/>
  <c r="R222" i="3" s="1"/>
  <c r="S222" i="3" s="1"/>
  <c r="AC222" i="3"/>
  <c r="Z222" i="3"/>
  <c r="AA222" i="3"/>
  <c r="AD222" i="3"/>
  <c r="U221" i="3"/>
  <c r="Y220" i="3"/>
  <c r="T222" i="3" l="1"/>
  <c r="AH222" i="3" s="1"/>
  <c r="E222" i="3" l="1"/>
  <c r="H222" i="3" s="1"/>
  <c r="AG222" i="3"/>
  <c r="D222" i="3"/>
  <c r="F222" i="3" l="1"/>
  <c r="G222" i="3"/>
  <c r="K222" i="3"/>
  <c r="AE222" i="3" s="1"/>
  <c r="I222" i="3" l="1"/>
  <c r="J222" i="3"/>
  <c r="M222" i="3"/>
  <c r="N222" i="3" s="1"/>
  <c r="V222" i="3"/>
  <c r="A223" i="3"/>
  <c r="B223" i="3" s="1"/>
  <c r="W222" i="3" l="1"/>
  <c r="L222" i="3"/>
  <c r="P223" i="3"/>
  <c r="Q223" i="3" s="1"/>
  <c r="R223" i="3" s="1"/>
  <c r="S223" i="3" s="1"/>
  <c r="Z223" i="3"/>
  <c r="AC223" i="3"/>
  <c r="AD223" i="3"/>
  <c r="AA223" i="3"/>
  <c r="U222" i="3" l="1"/>
  <c r="Y221" i="3"/>
  <c r="T223" i="3"/>
  <c r="D223" i="3" l="1"/>
  <c r="G223" i="3" s="1"/>
  <c r="AG223" i="3"/>
  <c r="AH223" i="3"/>
  <c r="E223" i="3"/>
  <c r="H223" i="3" s="1"/>
  <c r="K223" i="3" s="1"/>
  <c r="AE223" i="3" s="1"/>
  <c r="F223" i="3" l="1"/>
  <c r="I223" i="3"/>
  <c r="J223" i="3"/>
  <c r="M223" i="3"/>
  <c r="N223" i="3" s="1"/>
  <c r="V223" i="3"/>
  <c r="A224" i="3"/>
  <c r="B224" i="3" s="1"/>
  <c r="W223" i="3" l="1"/>
  <c r="L223" i="3"/>
  <c r="Z224" i="3"/>
  <c r="P224" i="3"/>
  <c r="Q224" i="3" s="1"/>
  <c r="R224" i="3" s="1"/>
  <c r="S224" i="3" s="1"/>
  <c r="AC224" i="3"/>
  <c r="AA224" i="3"/>
  <c r="U223" i="3" l="1"/>
  <c r="Y222" i="3"/>
  <c r="T224" i="3"/>
  <c r="D224" i="3" l="1"/>
  <c r="G224" i="3" s="1"/>
  <c r="AG224" i="3"/>
  <c r="AH224" i="3"/>
  <c r="E224" i="3"/>
  <c r="H224" i="3" s="1"/>
  <c r="K224" i="3" s="1"/>
  <c r="AE224" i="3" s="1"/>
  <c r="F224" i="3" l="1"/>
  <c r="I224" i="3"/>
  <c r="J224" i="3"/>
  <c r="M224" i="3"/>
  <c r="N224" i="3" s="1"/>
  <c r="V224" i="3"/>
  <c r="A225" i="3"/>
  <c r="B225" i="3" s="1"/>
  <c r="W224" i="3" l="1"/>
  <c r="L224" i="3"/>
  <c r="AD224" i="3"/>
  <c r="AC225" i="3"/>
  <c r="P225" i="3"/>
  <c r="Q225" i="3" s="1"/>
  <c r="R225" i="3" s="1"/>
  <c r="S225" i="3" s="1"/>
  <c r="AA225" i="3"/>
  <c r="AD225" i="3"/>
  <c r="Z225" i="3"/>
  <c r="U224" i="3" l="1"/>
  <c r="Y223" i="3"/>
  <c r="T225" i="3"/>
  <c r="AG225" i="3" s="1"/>
  <c r="AH225" i="3" l="1"/>
  <c r="E225" i="3"/>
  <c r="H225" i="3" s="1"/>
  <c r="D225" i="3"/>
  <c r="K225" i="3" l="1"/>
  <c r="AE225" i="3" s="1"/>
  <c r="F225" i="3"/>
  <c r="G225" i="3"/>
  <c r="I225" i="3" l="1"/>
  <c r="J225" i="3"/>
  <c r="M225" i="3"/>
  <c r="N225" i="3" s="1"/>
  <c r="V225" i="3"/>
  <c r="A226" i="3"/>
  <c r="B226" i="3" s="1"/>
  <c r="W225" i="3" l="1"/>
  <c r="L225" i="3"/>
  <c r="AD226" i="3"/>
  <c r="Z226" i="3"/>
  <c r="AA226" i="3"/>
  <c r="P226" i="3"/>
  <c r="Q226" i="3" s="1"/>
  <c r="R226" i="3" s="1"/>
  <c r="S226" i="3" s="1"/>
  <c r="AC226" i="3"/>
  <c r="U225" i="3" l="1"/>
  <c r="Y224" i="3"/>
  <c r="T226" i="3"/>
  <c r="D226" i="3" l="1"/>
  <c r="G226" i="3" s="1"/>
  <c r="AH226" i="3"/>
  <c r="AG226" i="3"/>
  <c r="E226" i="3"/>
  <c r="H226" i="3" s="1"/>
  <c r="F226" i="3" l="1"/>
  <c r="I226" i="3"/>
  <c r="J226" i="3"/>
  <c r="M226" i="3"/>
  <c r="N226" i="3" s="1"/>
  <c r="K226" i="3"/>
  <c r="AE226" i="3" s="1"/>
  <c r="V226" i="3" l="1"/>
  <c r="W226" i="3" s="1"/>
  <c r="A227" i="3"/>
  <c r="B227" i="3" s="1"/>
  <c r="L226" i="3"/>
  <c r="U226" i="3" l="1"/>
  <c r="Y225" i="3"/>
  <c r="P227" i="3"/>
  <c r="Q227" i="3" s="1"/>
  <c r="R227" i="3" s="1"/>
  <c r="S227" i="3" s="1"/>
  <c r="AA227" i="3"/>
  <c r="Z227" i="3"/>
  <c r="AD227" i="3"/>
  <c r="AC227" i="3"/>
  <c r="T227" i="3" l="1"/>
  <c r="D227" i="3" s="1"/>
  <c r="E227" i="3" l="1"/>
  <c r="H227" i="3" s="1"/>
  <c r="K227" i="3" s="1"/>
  <c r="AE227" i="3" s="1"/>
  <c r="AH227" i="3"/>
  <c r="AG227" i="3"/>
  <c r="G227" i="3"/>
  <c r="F227" i="3" l="1"/>
  <c r="V227" i="3"/>
  <c r="A228" i="3"/>
  <c r="B228" i="3" s="1"/>
  <c r="I227" i="3"/>
  <c r="J227" i="3"/>
  <c r="M227" i="3"/>
  <c r="N227" i="3" s="1"/>
  <c r="L227" i="3" l="1"/>
  <c r="W227" i="3"/>
  <c r="AD228" i="3"/>
  <c r="AA228" i="3"/>
  <c r="Z228" i="3"/>
  <c r="P228" i="3"/>
  <c r="Q228" i="3" s="1"/>
  <c r="R228" i="3" s="1"/>
  <c r="S228" i="3" s="1"/>
  <c r="AC228" i="3"/>
  <c r="T228" i="3" l="1"/>
  <c r="AG228" i="3" s="1"/>
  <c r="U227" i="3"/>
  <c r="Y226" i="3"/>
  <c r="AH228" i="3" l="1"/>
  <c r="E228" i="3"/>
  <c r="H228" i="3" s="1"/>
  <c r="D228" i="3"/>
  <c r="K228" i="3" l="1"/>
  <c r="AE228" i="3" s="1"/>
  <c r="F228" i="3"/>
  <c r="G228" i="3"/>
  <c r="V228" i="3" l="1"/>
  <c r="A229" i="3"/>
  <c r="B229" i="3" s="1"/>
  <c r="I228" i="3"/>
  <c r="J228" i="3"/>
  <c r="M228" i="3"/>
  <c r="N228" i="3" s="1"/>
  <c r="W228" i="3" l="1"/>
  <c r="L228" i="3"/>
  <c r="AA229" i="3"/>
  <c r="AD229" i="3"/>
  <c r="AC229" i="3"/>
  <c r="P229" i="3"/>
  <c r="Q229" i="3" s="1"/>
  <c r="R229" i="3" s="1"/>
  <c r="S229" i="3" s="1"/>
  <c r="Z229" i="3"/>
  <c r="U228" i="3" l="1"/>
  <c r="Y227" i="3"/>
  <c r="T229" i="3"/>
  <c r="AH229" i="3" s="1"/>
  <c r="D229" i="3" l="1"/>
  <c r="E229" i="3"/>
  <c r="H229" i="3" s="1"/>
  <c r="AG229" i="3"/>
  <c r="K229" i="3" l="1"/>
  <c r="AE229" i="3" s="1"/>
  <c r="F229" i="3"/>
  <c r="G229" i="3"/>
  <c r="V229" i="3" l="1"/>
  <c r="A230" i="3"/>
  <c r="B230" i="3" s="1"/>
  <c r="I229" i="3"/>
  <c r="J229" i="3"/>
  <c r="M229" i="3"/>
  <c r="N229" i="3" s="1"/>
  <c r="L229" i="3" l="1"/>
  <c r="W229" i="3"/>
  <c r="P230" i="3"/>
  <c r="Q230" i="3" s="1"/>
  <c r="R230" i="3" s="1"/>
  <c r="S230" i="3" s="1"/>
  <c r="AA230" i="3"/>
  <c r="AC230" i="3"/>
  <c r="AD230" i="3"/>
  <c r="Z230" i="3"/>
  <c r="U229" i="3" l="1"/>
  <c r="Y228" i="3"/>
  <c r="T230" i="3"/>
  <c r="AH230" i="3" s="1"/>
  <c r="AG230" i="3" l="1"/>
  <c r="D230" i="3"/>
  <c r="E230" i="3"/>
  <c r="H230" i="3" s="1"/>
  <c r="K230" i="3" l="1"/>
  <c r="AE230" i="3" s="1"/>
  <c r="F230" i="3"/>
  <c r="G230" i="3"/>
  <c r="I230" i="3" l="1"/>
  <c r="J230" i="3"/>
  <c r="M230" i="3"/>
  <c r="N230" i="3" s="1"/>
  <c r="V230" i="3"/>
  <c r="A231" i="3"/>
  <c r="B231" i="3" s="1"/>
  <c r="W230" i="3" l="1"/>
  <c r="L230" i="3"/>
  <c r="AD231" i="3"/>
  <c r="P231" i="3"/>
  <c r="Q231" i="3" s="1"/>
  <c r="R231" i="3" s="1"/>
  <c r="S231" i="3" s="1"/>
  <c r="AA231" i="3"/>
  <c r="Z231" i="3"/>
  <c r="AC231" i="3"/>
  <c r="T231" i="3" l="1"/>
  <c r="U230" i="3"/>
  <c r="Y229" i="3"/>
  <c r="D231" i="3" l="1"/>
  <c r="G231" i="3" s="1"/>
  <c r="E231" i="3"/>
  <c r="H231" i="3" s="1"/>
  <c r="K231" i="3" s="1"/>
  <c r="AE231" i="3" s="1"/>
  <c r="AG231" i="3"/>
  <c r="AH231" i="3"/>
  <c r="F231" i="3" l="1"/>
  <c r="V231" i="3"/>
  <c r="A232" i="3"/>
  <c r="B232" i="3" s="1"/>
  <c r="I231" i="3"/>
  <c r="J231" i="3"/>
  <c r="M231" i="3"/>
  <c r="N231" i="3" s="1"/>
  <c r="L231" i="3" l="1"/>
  <c r="W231" i="3"/>
  <c r="P232" i="3"/>
  <c r="Q232" i="3" s="1"/>
  <c r="R232" i="3" s="1"/>
  <c r="S232" i="3" s="1"/>
  <c r="AD232" i="3"/>
  <c r="Z232" i="3"/>
  <c r="AA232" i="3"/>
  <c r="AC232" i="3"/>
  <c r="U231" i="3" l="1"/>
  <c r="Y230" i="3"/>
  <c r="T232" i="3"/>
  <c r="D232" i="3" l="1"/>
  <c r="G232" i="3" s="1"/>
  <c r="AG232" i="3"/>
  <c r="E232" i="3"/>
  <c r="H232" i="3" s="1"/>
  <c r="AH232" i="3"/>
  <c r="F232" i="3" l="1"/>
  <c r="I232" i="3"/>
  <c r="J232" i="3"/>
  <c r="M232" i="3"/>
  <c r="N232" i="3" s="1"/>
  <c r="K232" i="3"/>
  <c r="AE232" i="3" s="1"/>
  <c r="V232" i="3" l="1"/>
  <c r="W232" i="3" s="1"/>
  <c r="A233" i="3"/>
  <c r="B233" i="3" s="1"/>
  <c r="L232" i="3"/>
  <c r="U232" i="3" l="1"/>
  <c r="Y231" i="3"/>
  <c r="AA233" i="3"/>
  <c r="AD233" i="3"/>
  <c r="AC233" i="3"/>
  <c r="P233" i="3"/>
  <c r="Q233" i="3" s="1"/>
  <c r="R233" i="3" s="1"/>
  <c r="S233" i="3" s="1"/>
  <c r="Z233" i="3"/>
  <c r="T233" i="3" l="1"/>
  <c r="D233" i="3" s="1"/>
  <c r="AG233" i="3" l="1"/>
  <c r="AH233" i="3"/>
  <c r="E233" i="3"/>
  <c r="H233" i="3" s="1"/>
  <c r="K233" i="3" s="1"/>
  <c r="AE233" i="3" s="1"/>
  <c r="G233" i="3"/>
  <c r="F233" i="3" l="1"/>
  <c r="I233" i="3"/>
  <c r="J233" i="3"/>
  <c r="M233" i="3"/>
  <c r="N233" i="3" s="1"/>
  <c r="V233" i="3"/>
  <c r="A234" i="3"/>
  <c r="B234" i="3" s="1"/>
  <c r="W233" i="3" l="1"/>
  <c r="L233" i="3"/>
  <c r="Z234" i="3"/>
  <c r="P234" i="3"/>
  <c r="Q234" i="3" s="1"/>
  <c r="R234" i="3" s="1"/>
  <c r="S234" i="3" s="1"/>
  <c r="AC234" i="3"/>
  <c r="AA234" i="3"/>
  <c r="U233" i="3" l="1"/>
  <c r="Y232" i="3"/>
  <c r="T234" i="3"/>
  <c r="E234" i="3" l="1"/>
  <c r="H234" i="3" s="1"/>
  <c r="K234" i="3" s="1"/>
  <c r="AE234" i="3" s="1"/>
  <c r="AG234" i="3"/>
  <c r="AH234" i="3"/>
  <c r="D234" i="3"/>
  <c r="G234" i="3" s="1"/>
  <c r="F234" i="3" l="1"/>
  <c r="I234" i="3"/>
  <c r="J234" i="3"/>
  <c r="M234" i="3"/>
  <c r="N234" i="3" s="1"/>
  <c r="V234" i="3"/>
  <c r="A235" i="3"/>
  <c r="B235" i="3" s="1"/>
  <c r="L234" i="3" l="1"/>
  <c r="AD234" i="3"/>
  <c r="W234" i="3"/>
  <c r="AC235" i="3"/>
  <c r="AA235" i="3"/>
  <c r="Z235" i="3"/>
  <c r="P235" i="3"/>
  <c r="Q235" i="3" s="1"/>
  <c r="R235" i="3" s="1"/>
  <c r="S235" i="3" s="1"/>
  <c r="AD235" i="3"/>
  <c r="U234" i="3" l="1"/>
  <c r="Y233" i="3"/>
  <c r="T235" i="3"/>
  <c r="E235" i="3" l="1"/>
  <c r="H235" i="3" s="1"/>
  <c r="K235" i="3" s="1"/>
  <c r="AE235" i="3" s="1"/>
  <c r="AG235" i="3"/>
  <c r="D235" i="3"/>
  <c r="AH235" i="3"/>
  <c r="F235" i="3" l="1"/>
  <c r="G235" i="3"/>
  <c r="V235" i="3"/>
  <c r="A236" i="3"/>
  <c r="B236" i="3" s="1"/>
  <c r="AD236" i="3" l="1"/>
  <c r="P236" i="3"/>
  <c r="Q236" i="3" s="1"/>
  <c r="R236" i="3" s="1"/>
  <c r="S236" i="3" s="1"/>
  <c r="AA236" i="3"/>
  <c r="Z236" i="3"/>
  <c r="AC236" i="3"/>
  <c r="I235" i="3"/>
  <c r="W235" i="3" s="1"/>
  <c r="J235" i="3"/>
  <c r="M235" i="3"/>
  <c r="N235" i="3" s="1"/>
  <c r="T236" i="3" l="1"/>
  <c r="L235" i="3"/>
  <c r="U235" i="3" l="1"/>
  <c r="D236" i="3" s="1"/>
  <c r="AH236" i="3"/>
  <c r="AG236" i="3"/>
  <c r="Y234" i="3"/>
  <c r="E236" i="3" l="1"/>
  <c r="H236" i="3" s="1"/>
  <c r="K236" i="3" s="1"/>
  <c r="AE236" i="3" s="1"/>
  <c r="G236" i="3"/>
  <c r="F236" i="3" l="1"/>
  <c r="I236" i="3"/>
  <c r="J236" i="3"/>
  <c r="M236" i="3"/>
  <c r="N236" i="3" s="1"/>
  <c r="V236" i="3"/>
  <c r="A237" i="3"/>
  <c r="B237" i="3" s="1"/>
  <c r="W236" i="3" l="1"/>
  <c r="L236" i="3"/>
  <c r="P237" i="3"/>
  <c r="Q237" i="3" s="1"/>
  <c r="R237" i="3" s="1"/>
  <c r="S237" i="3" s="1"/>
  <c r="AA237" i="3"/>
  <c r="Z237" i="3"/>
  <c r="AD237" i="3"/>
  <c r="AC237" i="3"/>
  <c r="U236" i="3" l="1"/>
  <c r="Y235" i="3"/>
  <c r="T237" i="3"/>
  <c r="AH237" i="3" s="1"/>
  <c r="E237" i="3" l="1"/>
  <c r="H237" i="3" s="1"/>
  <c r="K237" i="3" s="1"/>
  <c r="AE237" i="3" s="1"/>
  <c r="AG237" i="3"/>
  <c r="D237" i="3"/>
  <c r="F237" i="3" l="1"/>
  <c r="G237" i="3"/>
  <c r="M237" i="3" s="1"/>
  <c r="N237" i="3" s="1"/>
  <c r="V237" i="3"/>
  <c r="A238" i="3"/>
  <c r="B238" i="3" s="1"/>
  <c r="I237" i="3" l="1"/>
  <c r="W237" i="3" s="1"/>
  <c r="J237" i="3"/>
  <c r="L237" i="3" s="1"/>
  <c r="P238" i="3"/>
  <c r="Q238" i="3" s="1"/>
  <c r="R238" i="3" s="1"/>
  <c r="S238" i="3" s="1"/>
  <c r="Z238" i="3"/>
  <c r="AC238" i="3"/>
  <c r="AA238" i="3"/>
  <c r="AD238" i="3"/>
  <c r="T238" i="3" l="1"/>
  <c r="AG238" i="3" s="1"/>
  <c r="U237" i="3"/>
  <c r="Y236" i="3"/>
  <c r="AH238" i="3" l="1"/>
  <c r="E238" i="3"/>
  <c r="H238" i="3" s="1"/>
  <c r="K238" i="3" s="1"/>
  <c r="AE238" i="3" s="1"/>
  <c r="D238" i="3"/>
  <c r="F238" i="3" l="1"/>
  <c r="G238" i="3"/>
  <c r="M238" i="3" s="1"/>
  <c r="N238" i="3" s="1"/>
  <c r="V238" i="3"/>
  <c r="A239" i="3"/>
  <c r="B239" i="3" s="1"/>
  <c r="I238" i="3" l="1"/>
  <c r="W238" i="3" s="1"/>
  <c r="J238" i="3"/>
  <c r="L238" i="3" s="1"/>
  <c r="AD239" i="3"/>
  <c r="P239" i="3"/>
  <c r="Q239" i="3" s="1"/>
  <c r="R239" i="3" s="1"/>
  <c r="S239" i="3" s="1"/>
  <c r="AC239" i="3"/>
  <c r="Z239" i="3"/>
  <c r="AA239" i="3"/>
  <c r="T239" i="3" l="1"/>
  <c r="U238" i="3"/>
  <c r="Y237" i="3"/>
  <c r="D239" i="3" l="1"/>
  <c r="G239" i="3" s="1"/>
  <c r="E239" i="3"/>
  <c r="H239" i="3" s="1"/>
  <c r="K239" i="3" s="1"/>
  <c r="AE239" i="3" s="1"/>
  <c r="AG239" i="3"/>
  <c r="AH239" i="3"/>
  <c r="F239" i="3" l="1"/>
  <c r="I239" i="3"/>
  <c r="J239" i="3"/>
  <c r="M239" i="3"/>
  <c r="N239" i="3" s="1"/>
  <c r="V239" i="3"/>
  <c r="A240" i="3"/>
  <c r="B240" i="3" s="1"/>
  <c r="W239" i="3" l="1"/>
  <c r="L239" i="3"/>
  <c r="Z240" i="3"/>
  <c r="P240" i="3"/>
  <c r="Q240" i="3" s="1"/>
  <c r="R240" i="3" s="1"/>
  <c r="S240" i="3" s="1"/>
  <c r="AD240" i="3"/>
  <c r="AA240" i="3"/>
  <c r="AC240" i="3"/>
  <c r="U239" i="3" l="1"/>
  <c r="Y238" i="3"/>
  <c r="T240" i="3"/>
  <c r="E240" i="3" l="1"/>
  <c r="H240" i="3" s="1"/>
  <c r="K240" i="3" s="1"/>
  <c r="AE240" i="3" s="1"/>
  <c r="D240" i="3"/>
  <c r="AG240" i="3"/>
  <c r="AH240" i="3"/>
  <c r="V240" i="3" l="1"/>
  <c r="A241" i="3"/>
  <c r="B241" i="3" s="1"/>
  <c r="F240" i="3"/>
  <c r="G240" i="3"/>
  <c r="I240" i="3" l="1"/>
  <c r="W240" i="3" s="1"/>
  <c r="J240" i="3"/>
  <c r="M240" i="3"/>
  <c r="N240" i="3" s="1"/>
  <c r="Z241" i="3"/>
  <c r="AD241" i="3"/>
  <c r="AC241" i="3"/>
  <c r="P241" i="3"/>
  <c r="Q241" i="3" s="1"/>
  <c r="R241" i="3" s="1"/>
  <c r="S241" i="3" s="1"/>
  <c r="AA241" i="3"/>
  <c r="T241" i="3" l="1"/>
  <c r="L240" i="3"/>
  <c r="AG241" i="3" l="1"/>
  <c r="AH241" i="3"/>
  <c r="U240" i="3"/>
  <c r="D241" i="3" s="1"/>
  <c r="Y239" i="3"/>
  <c r="G241" i="3" l="1"/>
  <c r="E241" i="3"/>
  <c r="H241" i="3" s="1"/>
  <c r="F241" i="3" l="1"/>
  <c r="I241" i="3"/>
  <c r="J241" i="3"/>
  <c r="M241" i="3"/>
  <c r="N241" i="3" s="1"/>
  <c r="K241" i="3"/>
  <c r="AE241" i="3" s="1"/>
  <c r="V241" i="3" l="1"/>
  <c r="W241" i="3" s="1"/>
  <c r="A242" i="3"/>
  <c r="B242" i="3" s="1"/>
  <c r="L241" i="3"/>
  <c r="U241" i="3" l="1"/>
  <c r="Y240" i="3"/>
  <c r="Z242" i="3"/>
  <c r="AA242" i="3"/>
  <c r="P242" i="3"/>
  <c r="Q242" i="3" s="1"/>
  <c r="R242" i="3" s="1"/>
  <c r="S242" i="3" s="1"/>
  <c r="AD242" i="3"/>
  <c r="AC242" i="3"/>
  <c r="T242" i="3" l="1"/>
  <c r="D242" i="3" s="1"/>
  <c r="E242" i="3" l="1"/>
  <c r="H242" i="3" s="1"/>
  <c r="K242" i="3" s="1"/>
  <c r="AE242" i="3" s="1"/>
  <c r="G242" i="3"/>
  <c r="AH242" i="3"/>
  <c r="AG242" i="3"/>
  <c r="F242" i="3" l="1"/>
  <c r="I242" i="3"/>
  <c r="J242" i="3"/>
  <c r="M242" i="3"/>
  <c r="N242" i="3" s="1"/>
  <c r="V242" i="3"/>
  <c r="A243" i="3"/>
  <c r="B243" i="3" s="1"/>
  <c r="W242" i="3" l="1"/>
  <c r="L242" i="3"/>
  <c r="AA243" i="3"/>
  <c r="AC243" i="3"/>
  <c r="Z243" i="3"/>
  <c r="P243" i="3"/>
  <c r="Q243" i="3" s="1"/>
  <c r="R243" i="3" s="1"/>
  <c r="S243" i="3" s="1"/>
  <c r="AD243" i="3"/>
  <c r="U242" i="3" l="1"/>
  <c r="Y241" i="3"/>
  <c r="T243" i="3"/>
  <c r="AH243" i="3" s="1"/>
  <c r="D243" i="3" l="1"/>
  <c r="G243" i="3" s="1"/>
  <c r="E243" i="3"/>
  <c r="H243" i="3" s="1"/>
  <c r="K243" i="3" s="1"/>
  <c r="AE243" i="3" s="1"/>
  <c r="AG243" i="3"/>
  <c r="F243" i="3" l="1"/>
  <c r="I243" i="3"/>
  <c r="J243" i="3"/>
  <c r="M243" i="3"/>
  <c r="N243" i="3" s="1"/>
  <c r="V243" i="3"/>
  <c r="A244" i="3"/>
  <c r="B244" i="3" s="1"/>
  <c r="W243" i="3" l="1"/>
  <c r="L243" i="3"/>
  <c r="AA244" i="3"/>
  <c r="P244" i="3"/>
  <c r="Q244" i="3" s="1"/>
  <c r="R244" i="3" s="1"/>
  <c r="S244" i="3" s="1"/>
  <c r="Z244" i="3"/>
  <c r="AC244" i="3"/>
  <c r="U243" i="3" l="1"/>
  <c r="Y242" i="3"/>
  <c r="T244" i="3"/>
  <c r="D244" i="3" l="1"/>
  <c r="G244" i="3" s="1"/>
  <c r="E244" i="3"/>
  <c r="H244" i="3" s="1"/>
  <c r="AG244" i="3"/>
  <c r="AH244" i="3"/>
  <c r="I244" i="3" l="1"/>
  <c r="J244" i="3"/>
  <c r="M244" i="3"/>
  <c r="N244" i="3" s="1"/>
  <c r="F244" i="3"/>
  <c r="K244" i="3"/>
  <c r="AE244" i="3" s="1"/>
  <c r="L244" i="3" l="1"/>
  <c r="AD244" i="3"/>
  <c r="V244" i="3"/>
  <c r="W244" i="3" s="1"/>
  <c r="A245" i="3"/>
  <c r="B245" i="3" s="1"/>
  <c r="U244" i="3" l="1"/>
  <c r="Y243" i="3"/>
  <c r="Z245" i="3"/>
  <c r="AD245" i="3"/>
  <c r="AA245" i="3"/>
  <c r="P245" i="3"/>
  <c r="Q245" i="3" s="1"/>
  <c r="R245" i="3" s="1"/>
  <c r="S245" i="3" s="1"/>
  <c r="AC245" i="3"/>
  <c r="T245" i="3" l="1"/>
  <c r="AG245" i="3" s="1"/>
  <c r="D245" i="3" l="1"/>
  <c r="G245" i="3" s="1"/>
  <c r="AH245" i="3"/>
  <c r="E245" i="3"/>
  <c r="H245" i="3" s="1"/>
  <c r="F245" i="3" l="1"/>
  <c r="I245" i="3"/>
  <c r="J245" i="3"/>
  <c r="M245" i="3"/>
  <c r="N245" i="3" s="1"/>
  <c r="K245" i="3"/>
  <c r="AE245" i="3" s="1"/>
  <c r="V245" i="3" l="1"/>
  <c r="W245" i="3" s="1"/>
  <c r="A246" i="3"/>
  <c r="B246" i="3" s="1"/>
  <c r="L245" i="3"/>
  <c r="U245" i="3" l="1"/>
  <c r="Y244" i="3"/>
  <c r="P246" i="3"/>
  <c r="Q246" i="3" s="1"/>
  <c r="R246" i="3" s="1"/>
  <c r="S246" i="3" s="1"/>
  <c r="AC246" i="3"/>
  <c r="Z246" i="3"/>
  <c r="AD246" i="3"/>
  <c r="AA246" i="3"/>
  <c r="T246" i="3" l="1"/>
  <c r="D246" i="3" s="1"/>
  <c r="E246" i="3" l="1"/>
  <c r="H246" i="3" s="1"/>
  <c r="K246" i="3" s="1"/>
  <c r="AE246" i="3" s="1"/>
  <c r="AG246" i="3"/>
  <c r="AH246" i="3"/>
  <c r="G246" i="3"/>
  <c r="F246" i="3" l="1"/>
  <c r="I246" i="3"/>
  <c r="J246" i="3"/>
  <c r="M246" i="3"/>
  <c r="N246" i="3" s="1"/>
  <c r="V246" i="3"/>
  <c r="A247" i="3"/>
  <c r="B247" i="3" s="1"/>
  <c r="W246" i="3" l="1"/>
  <c r="L246" i="3"/>
  <c r="P247" i="3"/>
  <c r="Q247" i="3" s="1"/>
  <c r="R247" i="3" s="1"/>
  <c r="S247" i="3" s="1"/>
  <c r="AA247" i="3"/>
  <c r="AC247" i="3"/>
  <c r="Z247" i="3"/>
  <c r="AD247" i="3"/>
  <c r="U246" i="3" l="1"/>
  <c r="Y245" i="3"/>
  <c r="T247" i="3"/>
  <c r="AG247" i="3" s="1"/>
  <c r="AH247" i="3" l="1"/>
  <c r="D247" i="3"/>
  <c r="E247" i="3"/>
  <c r="H247" i="3" s="1"/>
  <c r="K247" i="3" s="1"/>
  <c r="AE247" i="3" s="1"/>
  <c r="F247" i="3" l="1"/>
  <c r="G247" i="3"/>
  <c r="M247" i="3" s="1"/>
  <c r="N247" i="3" s="1"/>
  <c r="V247" i="3"/>
  <c r="A248" i="3"/>
  <c r="B248" i="3" s="1"/>
  <c r="I247" i="3" l="1"/>
  <c r="W247" i="3" s="1"/>
  <c r="J247" i="3"/>
  <c r="L247" i="3" s="1"/>
  <c r="Z248" i="3"/>
  <c r="P248" i="3"/>
  <c r="Q248" i="3" s="1"/>
  <c r="R248" i="3" s="1"/>
  <c r="S248" i="3" s="1"/>
  <c r="AA248" i="3"/>
  <c r="AC248" i="3"/>
  <c r="AD248" i="3"/>
  <c r="U247" i="3" l="1"/>
  <c r="Y246" i="3"/>
  <c r="T248" i="3"/>
  <c r="AG248" i="3" s="1"/>
  <c r="E248" i="3" l="1"/>
  <c r="H248" i="3" s="1"/>
  <c r="K248" i="3" s="1"/>
  <c r="AE248" i="3" s="1"/>
  <c r="AH248" i="3"/>
  <c r="D248" i="3"/>
  <c r="G248" i="3" s="1"/>
  <c r="F248" i="3" l="1"/>
  <c r="I248" i="3"/>
  <c r="J248" i="3"/>
  <c r="M248" i="3"/>
  <c r="N248" i="3" s="1"/>
  <c r="V248" i="3"/>
  <c r="A249" i="3"/>
  <c r="B249" i="3" s="1"/>
  <c r="W248" i="3" l="1"/>
  <c r="L248" i="3"/>
  <c r="AC249" i="3"/>
  <c r="P249" i="3"/>
  <c r="Q249" i="3" s="1"/>
  <c r="R249" i="3" s="1"/>
  <c r="S249" i="3" s="1"/>
  <c r="Z249" i="3"/>
  <c r="AD249" i="3"/>
  <c r="AA249" i="3"/>
  <c r="U248" i="3" l="1"/>
  <c r="Y247" i="3"/>
  <c r="T249" i="3"/>
  <c r="AG249" i="3" s="1"/>
  <c r="D249" i="3" l="1"/>
  <c r="G249" i="3" s="1"/>
  <c r="AH249" i="3"/>
  <c r="E249" i="3"/>
  <c r="H249" i="3" s="1"/>
  <c r="K249" i="3" s="1"/>
  <c r="AE249" i="3" s="1"/>
  <c r="F249" i="3" l="1"/>
  <c r="I249" i="3"/>
  <c r="J249" i="3"/>
  <c r="M249" i="3"/>
  <c r="N249" i="3" s="1"/>
  <c r="V249" i="3"/>
  <c r="A250" i="3"/>
  <c r="B250" i="3" s="1"/>
  <c r="W249" i="3" l="1"/>
  <c r="L249" i="3"/>
  <c r="AC250" i="3"/>
  <c r="AA250" i="3"/>
  <c r="P250" i="3"/>
  <c r="Q250" i="3" s="1"/>
  <c r="R250" i="3" s="1"/>
  <c r="S250" i="3" s="1"/>
  <c r="AD250" i="3"/>
  <c r="Z250" i="3"/>
  <c r="T250" i="3" l="1"/>
  <c r="AG250" i="3" s="1"/>
  <c r="U249" i="3"/>
  <c r="Y248" i="3"/>
  <c r="D250" i="3" l="1"/>
  <c r="E250" i="3"/>
  <c r="H250" i="3" s="1"/>
  <c r="AH250" i="3"/>
  <c r="F250" i="3" l="1"/>
  <c r="G250" i="3"/>
  <c r="K250" i="3"/>
  <c r="AE250" i="3" s="1"/>
  <c r="V250" i="3" l="1"/>
  <c r="A251" i="3"/>
  <c r="B251" i="3" s="1"/>
  <c r="I250" i="3"/>
  <c r="J250" i="3"/>
  <c r="M250" i="3"/>
  <c r="N250" i="3" s="1"/>
  <c r="W250" i="3" l="1"/>
  <c r="L250" i="3"/>
  <c r="P251" i="3"/>
  <c r="Q251" i="3" s="1"/>
  <c r="R251" i="3" s="1"/>
  <c r="S251" i="3" s="1"/>
  <c r="AC251" i="3"/>
  <c r="AA251" i="3"/>
  <c r="Z251" i="3"/>
  <c r="AD251" i="3"/>
  <c r="U250" i="3" l="1"/>
  <c r="Y249" i="3"/>
  <c r="T251" i="3"/>
  <c r="D251" i="3" l="1"/>
  <c r="G251" i="3" s="1"/>
  <c r="AG251" i="3"/>
  <c r="AH251" i="3"/>
  <c r="E251" i="3"/>
  <c r="H251" i="3" s="1"/>
  <c r="I251" i="3" l="1"/>
  <c r="J251" i="3"/>
  <c r="M251" i="3"/>
  <c r="N251" i="3" s="1"/>
  <c r="K251" i="3"/>
  <c r="AE251" i="3" s="1"/>
  <c r="F251" i="3"/>
  <c r="V251" i="3" l="1"/>
  <c r="W251" i="3" s="1"/>
  <c r="A252" i="3"/>
  <c r="B252" i="3" s="1"/>
  <c r="L251" i="3"/>
  <c r="U251" i="3" l="1"/>
  <c r="Y250" i="3"/>
  <c r="AD252" i="3"/>
  <c r="Z252" i="3"/>
  <c r="AA252" i="3"/>
  <c r="P252" i="3"/>
  <c r="Q252" i="3" s="1"/>
  <c r="R252" i="3" s="1"/>
  <c r="S252" i="3" s="1"/>
  <c r="AC252" i="3"/>
  <c r="T252" i="3" l="1"/>
  <c r="AH252" i="3" s="1"/>
  <c r="E252" i="3" l="1"/>
  <c r="H252" i="3" s="1"/>
  <c r="K252" i="3" s="1"/>
  <c r="AE252" i="3" s="1"/>
  <c r="AG252" i="3"/>
  <c r="D252" i="3"/>
  <c r="F252" i="3" l="1"/>
  <c r="G252" i="3"/>
  <c r="V252" i="3"/>
  <c r="A253" i="3"/>
  <c r="B253" i="3" s="1"/>
  <c r="AC253" i="3" l="1"/>
  <c r="AA253" i="3"/>
  <c r="AD253" i="3"/>
  <c r="P253" i="3"/>
  <c r="Q253" i="3" s="1"/>
  <c r="R253" i="3" s="1"/>
  <c r="S253" i="3" s="1"/>
  <c r="Z253" i="3"/>
  <c r="I252" i="3"/>
  <c r="W252" i="3" s="1"/>
  <c r="J252" i="3"/>
  <c r="M252" i="3"/>
  <c r="N252" i="3" s="1"/>
  <c r="L252" i="3" l="1"/>
  <c r="T253" i="3"/>
  <c r="AH253" i="3" l="1"/>
  <c r="U252" i="3"/>
  <c r="E253" i="3" s="1"/>
  <c r="H253" i="3" s="1"/>
  <c r="AG253" i="3"/>
  <c r="Y251" i="3"/>
  <c r="D253" i="3" l="1"/>
  <c r="F253" i="3" s="1"/>
  <c r="K253" i="3"/>
  <c r="AE253" i="3" s="1"/>
  <c r="G253" i="3" l="1"/>
  <c r="J253" i="3" s="1"/>
  <c r="V253" i="3"/>
  <c r="A254" i="3"/>
  <c r="B254" i="3" s="1"/>
  <c r="M253" i="3" l="1"/>
  <c r="N253" i="3" s="1"/>
  <c r="I253" i="3"/>
  <c r="W253" i="3" s="1"/>
  <c r="L253" i="3"/>
  <c r="AA254" i="3"/>
  <c r="AC254" i="3"/>
  <c r="P254" i="3"/>
  <c r="Q254" i="3" s="1"/>
  <c r="R254" i="3" s="1"/>
  <c r="S254" i="3" s="1"/>
  <c r="Z254" i="3"/>
  <c r="U253" i="3" l="1"/>
  <c r="Y252" i="3"/>
  <c r="T254" i="3"/>
  <c r="AH254" i="3" s="1"/>
  <c r="D254" i="3" l="1"/>
  <c r="G254" i="3" s="1"/>
  <c r="E254" i="3"/>
  <c r="H254" i="3" s="1"/>
  <c r="K254" i="3" s="1"/>
  <c r="AE254" i="3" s="1"/>
  <c r="AG254" i="3"/>
  <c r="F254" i="3" l="1"/>
  <c r="I254" i="3"/>
  <c r="J254" i="3"/>
  <c r="M254" i="3"/>
  <c r="N254" i="3" s="1"/>
  <c r="V254" i="3"/>
  <c r="A255" i="3"/>
  <c r="B255" i="3" s="1"/>
  <c r="W254" i="3" l="1"/>
  <c r="L254" i="3"/>
  <c r="AD254" i="3"/>
  <c r="AA255" i="3"/>
  <c r="AC255" i="3"/>
  <c r="AD255" i="3"/>
  <c r="Z255" i="3"/>
  <c r="P255" i="3"/>
  <c r="Q255" i="3" s="1"/>
  <c r="R255" i="3" s="1"/>
  <c r="S255" i="3" s="1"/>
  <c r="U254" i="3" l="1"/>
  <c r="Y253" i="3"/>
  <c r="T255" i="3"/>
  <c r="D255" i="3" l="1"/>
  <c r="G255" i="3" s="1"/>
  <c r="AG255" i="3"/>
  <c r="AH255" i="3"/>
  <c r="E255" i="3"/>
  <c r="H255" i="3" s="1"/>
  <c r="K255" i="3" s="1"/>
  <c r="AE255" i="3" s="1"/>
  <c r="F255" i="3" l="1"/>
  <c r="I255" i="3"/>
  <c r="J255" i="3"/>
  <c r="M255" i="3"/>
  <c r="N255" i="3" s="1"/>
  <c r="V255" i="3"/>
  <c r="A256" i="3"/>
  <c r="B256" i="3" s="1"/>
  <c r="W255" i="3" l="1"/>
  <c r="L255" i="3"/>
  <c r="AA256" i="3"/>
  <c r="AD256" i="3"/>
  <c r="P256" i="3"/>
  <c r="Q256" i="3" s="1"/>
  <c r="R256" i="3" s="1"/>
  <c r="S256" i="3" s="1"/>
  <c r="Z256" i="3"/>
  <c r="AC256" i="3"/>
  <c r="U255" i="3" l="1"/>
  <c r="Y254" i="3"/>
  <c r="T256" i="3"/>
  <c r="D256" i="3" l="1"/>
  <c r="G256" i="3" s="1"/>
  <c r="E256" i="3"/>
  <c r="H256" i="3" s="1"/>
  <c r="AH256" i="3"/>
  <c r="AG256" i="3"/>
  <c r="F256" i="3" l="1"/>
  <c r="I256" i="3"/>
  <c r="J256" i="3"/>
  <c r="M256" i="3"/>
  <c r="N256" i="3" s="1"/>
  <c r="K256" i="3"/>
  <c r="AE256" i="3" s="1"/>
  <c r="L256" i="3" l="1"/>
  <c r="V256" i="3"/>
  <c r="W256" i="3" s="1"/>
  <c r="A257" i="3"/>
  <c r="B257" i="3" s="1"/>
  <c r="U256" i="3" l="1"/>
  <c r="Y255" i="3"/>
  <c r="AD257" i="3"/>
  <c r="AC257" i="3"/>
  <c r="Z257" i="3"/>
  <c r="P257" i="3"/>
  <c r="Q257" i="3" s="1"/>
  <c r="R257" i="3" s="1"/>
  <c r="S257" i="3" s="1"/>
  <c r="AA257" i="3"/>
  <c r="T257" i="3" l="1"/>
  <c r="D257" i="3" s="1"/>
  <c r="E257" i="3" l="1"/>
  <c r="H257" i="3" s="1"/>
  <c r="K257" i="3" s="1"/>
  <c r="AE257" i="3" s="1"/>
  <c r="AG257" i="3"/>
  <c r="AH257" i="3"/>
  <c r="G257" i="3"/>
  <c r="F257" i="3" l="1"/>
  <c r="V257" i="3"/>
  <c r="A258" i="3"/>
  <c r="B258" i="3" s="1"/>
  <c r="I257" i="3"/>
  <c r="J257" i="3"/>
  <c r="M257" i="3"/>
  <c r="N257" i="3" s="1"/>
  <c r="W257" i="3" l="1"/>
  <c r="L257" i="3"/>
  <c r="AC258" i="3"/>
  <c r="AD258" i="3"/>
  <c r="Z258" i="3"/>
  <c r="P258" i="3"/>
  <c r="Q258" i="3" s="1"/>
  <c r="R258" i="3" s="1"/>
  <c r="S258" i="3" s="1"/>
  <c r="AA258" i="3"/>
  <c r="U257" i="3" l="1"/>
  <c r="Y256" i="3"/>
  <c r="T258" i="3"/>
  <c r="AG258" i="3" s="1"/>
  <c r="E258" i="3" l="1"/>
  <c r="H258" i="3" s="1"/>
  <c r="D258" i="3"/>
  <c r="AH258" i="3"/>
  <c r="F258" i="3" l="1"/>
  <c r="G258" i="3"/>
  <c r="K258" i="3"/>
  <c r="AE258" i="3" s="1"/>
  <c r="V258" i="3" l="1"/>
  <c r="A259" i="3"/>
  <c r="B259" i="3" s="1"/>
  <c r="I258" i="3"/>
  <c r="J258" i="3"/>
  <c r="M258" i="3"/>
  <c r="N258" i="3" s="1"/>
  <c r="L258" i="3" l="1"/>
  <c r="AC259" i="3"/>
  <c r="P259" i="3"/>
  <c r="Q259" i="3" s="1"/>
  <c r="R259" i="3" s="1"/>
  <c r="S259" i="3" s="1"/>
  <c r="Z259" i="3"/>
  <c r="AD259" i="3"/>
  <c r="AA259" i="3"/>
  <c r="W258" i="3"/>
  <c r="U258" i="3" l="1"/>
  <c r="Y257" i="3"/>
  <c r="T259" i="3"/>
  <c r="AH259" i="3" s="1"/>
  <c r="D259" i="3" l="1"/>
  <c r="G259" i="3" s="1"/>
  <c r="AG259" i="3"/>
  <c r="E259" i="3"/>
  <c r="H259" i="3" s="1"/>
  <c r="K259" i="3" s="1"/>
  <c r="AE259" i="3" s="1"/>
  <c r="F259" i="3" l="1"/>
  <c r="I259" i="3"/>
  <c r="J259" i="3"/>
  <c r="M259" i="3"/>
  <c r="N259" i="3" s="1"/>
  <c r="V259" i="3"/>
  <c r="A260" i="3"/>
  <c r="B260" i="3" s="1"/>
  <c r="W259" i="3" l="1"/>
  <c r="L259" i="3"/>
  <c r="AA260" i="3"/>
  <c r="P260" i="3"/>
  <c r="Q260" i="3" s="1"/>
  <c r="R260" i="3" s="1"/>
  <c r="S260" i="3" s="1"/>
  <c r="AD260" i="3"/>
  <c r="Z260" i="3"/>
  <c r="AC260" i="3"/>
  <c r="U259" i="3" l="1"/>
  <c r="Y258" i="3"/>
  <c r="T260" i="3"/>
  <c r="AH260" i="3" s="1"/>
  <c r="AG260" i="3" l="1"/>
  <c r="D260" i="3"/>
  <c r="E260" i="3"/>
  <c r="H260" i="3" s="1"/>
  <c r="K260" i="3" l="1"/>
  <c r="AE260" i="3" s="1"/>
  <c r="F260" i="3"/>
  <c r="G260" i="3"/>
  <c r="I260" i="3" l="1"/>
  <c r="J260" i="3"/>
  <c r="M260" i="3"/>
  <c r="N260" i="3" s="1"/>
  <c r="V260" i="3"/>
  <c r="A261" i="3"/>
  <c r="B261" i="3" s="1"/>
  <c r="W260" i="3" l="1"/>
  <c r="L260" i="3"/>
  <c r="Z261" i="3"/>
  <c r="AA261" i="3"/>
  <c r="AD261" i="3"/>
  <c r="P261" i="3"/>
  <c r="Q261" i="3" s="1"/>
  <c r="R261" i="3" s="1"/>
  <c r="S261" i="3" s="1"/>
  <c r="AC261" i="3"/>
  <c r="U260" i="3" l="1"/>
  <c r="Y259" i="3"/>
  <c r="T261" i="3"/>
  <c r="AH261" i="3" s="1"/>
  <c r="E261" i="3" l="1"/>
  <c r="H261" i="3" s="1"/>
  <c r="D261" i="3"/>
  <c r="AG261" i="3"/>
  <c r="K261" i="3" l="1"/>
  <c r="AE261" i="3" s="1"/>
  <c r="F261" i="3"/>
  <c r="G261" i="3"/>
  <c r="I261" i="3" l="1"/>
  <c r="J261" i="3"/>
  <c r="M261" i="3"/>
  <c r="N261" i="3" s="1"/>
  <c r="V261" i="3"/>
  <c r="A262" i="3"/>
  <c r="B262" i="3" s="1"/>
  <c r="W261" i="3" l="1"/>
  <c r="L261" i="3"/>
  <c r="AA262" i="3"/>
  <c r="Z262" i="3"/>
  <c r="P262" i="3"/>
  <c r="Q262" i="3" s="1"/>
  <c r="R262" i="3" s="1"/>
  <c r="S262" i="3" s="1"/>
  <c r="AC262" i="3"/>
  <c r="AD262" i="3"/>
  <c r="T262" i="3" l="1"/>
  <c r="AG262" i="3" s="1"/>
  <c r="U261" i="3"/>
  <c r="Y260" i="3"/>
  <c r="E262" i="3" l="1"/>
  <c r="H262" i="3" s="1"/>
  <c r="K262" i="3" s="1"/>
  <c r="AE262" i="3" s="1"/>
  <c r="AH262" i="3"/>
  <c r="D262" i="3"/>
  <c r="F262" i="3" l="1"/>
  <c r="G262" i="3"/>
  <c r="V262" i="3"/>
  <c r="A263" i="3"/>
  <c r="B263" i="3" s="1"/>
  <c r="P263" i="3" l="1"/>
  <c r="Q263" i="3" s="1"/>
  <c r="R263" i="3" s="1"/>
  <c r="S263" i="3" s="1"/>
  <c r="AA263" i="3"/>
  <c r="Z263" i="3"/>
  <c r="AD263" i="3"/>
  <c r="AC263" i="3"/>
  <c r="I262" i="3"/>
  <c r="W262" i="3" s="1"/>
  <c r="J262" i="3"/>
  <c r="M262" i="3"/>
  <c r="N262" i="3" s="1"/>
  <c r="L262" i="3" l="1"/>
  <c r="T263" i="3"/>
  <c r="U262" i="3" l="1"/>
  <c r="E263" i="3" s="1"/>
  <c r="H263" i="3" s="1"/>
  <c r="AH263" i="3"/>
  <c r="AG263" i="3"/>
  <c r="Y261" i="3"/>
  <c r="D263" i="3" l="1"/>
  <c r="G263" i="3" s="1"/>
  <c r="K263" i="3"/>
  <c r="AE263" i="3" s="1"/>
  <c r="F263" i="3" l="1"/>
  <c r="V263" i="3"/>
  <c r="A264" i="3"/>
  <c r="B264" i="3" s="1"/>
  <c r="I263" i="3"/>
  <c r="J263" i="3"/>
  <c r="M263" i="3"/>
  <c r="N263" i="3" s="1"/>
  <c r="W263" i="3" l="1"/>
  <c r="L263" i="3"/>
  <c r="P264" i="3"/>
  <c r="Q264" i="3" s="1"/>
  <c r="R264" i="3" s="1"/>
  <c r="S264" i="3" s="1"/>
  <c r="AA264" i="3"/>
  <c r="AC264" i="3"/>
  <c r="Z264" i="3"/>
  <c r="U263" i="3" l="1"/>
  <c r="Y262" i="3"/>
  <c r="T264" i="3"/>
  <c r="AH264" i="3" s="1"/>
  <c r="AG264" i="3" l="1"/>
  <c r="D264" i="3"/>
  <c r="G264" i="3" s="1"/>
  <c r="E264" i="3"/>
  <c r="H264" i="3" s="1"/>
  <c r="K264" i="3" l="1"/>
  <c r="AE264" i="3" s="1"/>
  <c r="I264" i="3"/>
  <c r="J264" i="3"/>
  <c r="AD264" i="3" s="1"/>
  <c r="M264" i="3"/>
  <c r="N264" i="3" s="1"/>
  <c r="F264" i="3"/>
  <c r="L264" i="3" l="1"/>
  <c r="V264" i="3"/>
  <c r="W264" i="3" s="1"/>
  <c r="A265" i="3"/>
  <c r="B265" i="3" s="1"/>
  <c r="U264" i="3" l="1"/>
  <c r="Y263" i="3"/>
  <c r="P265" i="3"/>
  <c r="Q265" i="3" s="1"/>
  <c r="R265" i="3" s="1"/>
  <c r="S265" i="3" s="1"/>
  <c r="AA265" i="3"/>
  <c r="AD265" i="3"/>
  <c r="Z265" i="3"/>
  <c r="AC265" i="3"/>
  <c r="T265" i="3" l="1"/>
  <c r="AG265" i="3" l="1"/>
  <c r="AH265" i="3"/>
  <c r="D265" i="3"/>
  <c r="E265" i="3"/>
  <c r="H265" i="3" s="1"/>
  <c r="F265" i="3" l="1"/>
  <c r="G265" i="3"/>
  <c r="K265" i="3"/>
  <c r="AE265" i="3" s="1"/>
  <c r="I265" i="3" l="1"/>
  <c r="J265" i="3"/>
  <c r="M265" i="3"/>
  <c r="N265" i="3" s="1"/>
  <c r="V265" i="3"/>
  <c r="A266" i="3"/>
  <c r="B266" i="3" s="1"/>
  <c r="L265" i="3" l="1"/>
  <c r="W265" i="3"/>
  <c r="P266" i="3"/>
  <c r="Q266" i="3" s="1"/>
  <c r="R266" i="3" s="1"/>
  <c r="S266" i="3" s="1"/>
  <c r="AC266" i="3"/>
  <c r="Z266" i="3"/>
  <c r="AA266" i="3"/>
  <c r="AD266" i="3"/>
  <c r="T266" i="3" l="1"/>
  <c r="U265" i="3"/>
  <c r="Y264" i="3"/>
  <c r="E266" i="3" l="1"/>
  <c r="H266" i="3" s="1"/>
  <c r="K266" i="3" s="1"/>
  <c r="AE266" i="3" s="1"/>
  <c r="AH266" i="3"/>
  <c r="AG266" i="3"/>
  <c r="D266" i="3"/>
  <c r="V266" i="3" l="1"/>
  <c r="A267" i="3"/>
  <c r="B267" i="3" s="1"/>
  <c r="F266" i="3"/>
  <c r="G266" i="3"/>
  <c r="I266" i="3" l="1"/>
  <c r="W266" i="3" s="1"/>
  <c r="J266" i="3"/>
  <c r="M266" i="3"/>
  <c r="N266" i="3" s="1"/>
  <c r="AC267" i="3"/>
  <c r="P267" i="3"/>
  <c r="Q267" i="3" s="1"/>
  <c r="R267" i="3" s="1"/>
  <c r="S267" i="3" s="1"/>
  <c r="AA267" i="3"/>
  <c r="Z267" i="3"/>
  <c r="AD267" i="3"/>
  <c r="T267" i="3" l="1"/>
  <c r="L266" i="3"/>
  <c r="AH267" i="3" l="1"/>
  <c r="AG267" i="3"/>
  <c r="U266" i="3"/>
  <c r="E267" i="3" s="1"/>
  <c r="H267" i="3" s="1"/>
  <c r="Y265" i="3"/>
  <c r="K267" i="3" l="1"/>
  <c r="AE267" i="3" s="1"/>
  <c r="D267" i="3"/>
  <c r="V267" i="3" l="1"/>
  <c r="A268" i="3"/>
  <c r="B268" i="3" s="1"/>
  <c r="F267" i="3"/>
  <c r="G267" i="3"/>
  <c r="I267" i="3" l="1"/>
  <c r="W267" i="3" s="1"/>
  <c r="J267" i="3"/>
  <c r="M267" i="3"/>
  <c r="N267" i="3" s="1"/>
  <c r="AC268" i="3"/>
  <c r="P268" i="3"/>
  <c r="Q268" i="3" s="1"/>
  <c r="R268" i="3" s="1"/>
  <c r="S268" i="3" s="1"/>
  <c r="Z268" i="3"/>
  <c r="AA268" i="3"/>
  <c r="AD268" i="3"/>
  <c r="T268" i="3" l="1"/>
  <c r="L267" i="3"/>
  <c r="U267" i="3" l="1"/>
  <c r="E268" i="3" s="1"/>
  <c r="H268" i="3" s="1"/>
  <c r="AH268" i="3"/>
  <c r="AG268" i="3"/>
  <c r="Y266" i="3"/>
  <c r="K268" i="3" l="1"/>
  <c r="AE268" i="3" s="1"/>
  <c r="D268" i="3"/>
  <c r="V268" i="3" l="1"/>
  <c r="A269" i="3"/>
  <c r="B269" i="3" s="1"/>
  <c r="F268" i="3"/>
  <c r="G268" i="3"/>
  <c r="I268" i="3" l="1"/>
  <c r="W268" i="3" s="1"/>
  <c r="J268" i="3"/>
  <c r="M268" i="3"/>
  <c r="N268" i="3" s="1"/>
  <c r="AD269" i="3"/>
  <c r="P269" i="3"/>
  <c r="Q269" i="3" s="1"/>
  <c r="R269" i="3" s="1"/>
  <c r="S269" i="3" s="1"/>
  <c r="AA269" i="3"/>
  <c r="Z269" i="3"/>
  <c r="AC269" i="3"/>
  <c r="T269" i="3" l="1"/>
  <c r="L268" i="3"/>
  <c r="U268" i="3" l="1"/>
  <c r="D269" i="3" s="1"/>
  <c r="AH269" i="3"/>
  <c r="AG269" i="3"/>
  <c r="Y267" i="3"/>
  <c r="G269" i="3" l="1"/>
  <c r="E269" i="3"/>
  <c r="H269" i="3" s="1"/>
  <c r="F269" i="3" l="1"/>
  <c r="I269" i="3"/>
  <c r="J269" i="3"/>
  <c r="M269" i="3"/>
  <c r="N269" i="3" s="1"/>
  <c r="K269" i="3"/>
  <c r="AE269" i="3" s="1"/>
  <c r="V269" i="3" l="1"/>
  <c r="W269" i="3" s="1"/>
  <c r="A270" i="3"/>
  <c r="B270" i="3" s="1"/>
  <c r="L269" i="3"/>
  <c r="U269" i="3" l="1"/>
  <c r="Y268" i="3"/>
  <c r="AA270" i="3"/>
  <c r="Z270" i="3"/>
  <c r="P270" i="3"/>
  <c r="Q270" i="3" s="1"/>
  <c r="R270" i="3" s="1"/>
  <c r="S270" i="3" s="1"/>
  <c r="AC270" i="3"/>
  <c r="AD270" i="3"/>
  <c r="T270" i="3" l="1"/>
  <c r="AG270" i="3" s="1"/>
  <c r="AH270" i="3" l="1"/>
  <c r="E270" i="3"/>
  <c r="H270" i="3" s="1"/>
  <c r="K270" i="3" s="1"/>
  <c r="AE270" i="3" s="1"/>
  <c r="D270" i="3"/>
  <c r="G270" i="3" s="1"/>
  <c r="F270" i="3" l="1"/>
  <c r="V270" i="3"/>
  <c r="A271" i="3"/>
  <c r="B271" i="3" s="1"/>
  <c r="I270" i="3"/>
  <c r="J270" i="3"/>
  <c r="M270" i="3"/>
  <c r="N270" i="3" s="1"/>
  <c r="L270" i="3" l="1"/>
  <c r="Z271" i="3"/>
  <c r="AA271" i="3"/>
  <c r="P271" i="3"/>
  <c r="Q271" i="3" s="1"/>
  <c r="R271" i="3" s="1"/>
  <c r="S271" i="3" s="1"/>
  <c r="AC271" i="3"/>
  <c r="AD271" i="3"/>
  <c r="W270" i="3"/>
  <c r="U270" i="3" l="1"/>
  <c r="Y269" i="3"/>
  <c r="T271" i="3"/>
  <c r="AH271" i="3" s="1"/>
  <c r="AG271" i="3" l="1"/>
  <c r="D271" i="3"/>
  <c r="E271" i="3"/>
  <c r="H271" i="3" s="1"/>
  <c r="K271" i="3" l="1"/>
  <c r="AE271" i="3" s="1"/>
  <c r="F271" i="3"/>
  <c r="G271" i="3"/>
  <c r="I271" i="3" l="1"/>
  <c r="J271" i="3"/>
  <c r="M271" i="3"/>
  <c r="N271" i="3" s="1"/>
  <c r="V271" i="3"/>
  <c r="A272" i="3"/>
  <c r="B272" i="3" s="1"/>
  <c r="W271" i="3" l="1"/>
  <c r="L271" i="3"/>
  <c r="AD272" i="3"/>
  <c r="Z272" i="3"/>
  <c r="AA272" i="3"/>
  <c r="P272" i="3"/>
  <c r="Q272" i="3" s="1"/>
  <c r="R272" i="3" s="1"/>
  <c r="S272" i="3" s="1"/>
  <c r="AC272" i="3"/>
  <c r="T272" i="3" l="1"/>
  <c r="U271" i="3"/>
  <c r="Y270" i="3"/>
  <c r="D272" i="3" l="1"/>
  <c r="G272" i="3" s="1"/>
  <c r="E272" i="3"/>
  <c r="H272" i="3" s="1"/>
  <c r="K272" i="3" s="1"/>
  <c r="AE272" i="3" s="1"/>
  <c r="AG272" i="3"/>
  <c r="AH272" i="3"/>
  <c r="F272" i="3" l="1"/>
  <c r="I272" i="3"/>
  <c r="J272" i="3"/>
  <c r="M272" i="3"/>
  <c r="N272" i="3" s="1"/>
  <c r="V272" i="3"/>
  <c r="A273" i="3"/>
  <c r="B273" i="3" s="1"/>
  <c r="W272" i="3" l="1"/>
  <c r="L272" i="3"/>
  <c r="AA273" i="3"/>
  <c r="P273" i="3"/>
  <c r="Q273" i="3" s="1"/>
  <c r="R273" i="3" s="1"/>
  <c r="S273" i="3" s="1"/>
  <c r="Z273" i="3"/>
  <c r="AC273" i="3"/>
  <c r="AD273" i="3"/>
  <c r="T273" i="3" l="1"/>
  <c r="AG273" i="3" s="1"/>
  <c r="U272" i="3"/>
  <c r="Y271" i="3"/>
  <c r="D273" i="3" l="1"/>
  <c r="G273" i="3" s="1"/>
  <c r="AH273" i="3"/>
  <c r="E273" i="3"/>
  <c r="H273" i="3" s="1"/>
  <c r="F273" i="3" l="1"/>
  <c r="I273" i="3"/>
  <c r="J273" i="3"/>
  <c r="M273" i="3"/>
  <c r="N273" i="3" s="1"/>
  <c r="K273" i="3"/>
  <c r="AE273" i="3" s="1"/>
  <c r="L273" i="3" l="1"/>
  <c r="V273" i="3"/>
  <c r="W273" i="3" s="1"/>
  <c r="A274" i="3"/>
  <c r="B274" i="3" s="1"/>
  <c r="P274" i="3" l="1"/>
  <c r="Q274" i="3" s="1"/>
  <c r="R274" i="3" s="1"/>
  <c r="S274" i="3" s="1"/>
  <c r="AC274" i="3"/>
  <c r="Z274" i="3"/>
  <c r="AA274" i="3"/>
  <c r="U273" i="3"/>
  <c r="Y272" i="3"/>
  <c r="T274" i="3" l="1"/>
  <c r="AG274" i="3" s="1"/>
  <c r="D274" i="3" l="1"/>
  <c r="G274" i="3" s="1"/>
  <c r="AH274" i="3"/>
  <c r="E274" i="3"/>
  <c r="H274" i="3" s="1"/>
  <c r="I274" i="3" l="1"/>
  <c r="J274" i="3"/>
  <c r="AD274" i="3" s="1"/>
  <c r="M274" i="3"/>
  <c r="N274" i="3" s="1"/>
  <c r="K274" i="3"/>
  <c r="AE274" i="3" s="1"/>
  <c r="F274" i="3"/>
  <c r="L274" i="3" l="1"/>
  <c r="V274" i="3"/>
  <c r="W274" i="3" s="1"/>
  <c r="A275" i="3"/>
  <c r="B275" i="3" s="1"/>
  <c r="U274" i="3" l="1"/>
  <c r="Y273" i="3"/>
  <c r="AA275" i="3"/>
  <c r="P275" i="3"/>
  <c r="Q275" i="3" s="1"/>
  <c r="R275" i="3" s="1"/>
  <c r="S275" i="3" s="1"/>
  <c r="AD275" i="3"/>
  <c r="Z275" i="3"/>
  <c r="AC275" i="3"/>
  <c r="T275" i="3" l="1"/>
  <c r="AH275" i="3" s="1"/>
  <c r="E275" i="3" l="1"/>
  <c r="H275" i="3" s="1"/>
  <c r="AG275" i="3"/>
  <c r="D275" i="3"/>
  <c r="F275" i="3" l="1"/>
  <c r="G275" i="3"/>
  <c r="K275" i="3"/>
  <c r="AE275" i="3" s="1"/>
  <c r="I275" i="3" l="1"/>
  <c r="J275" i="3"/>
  <c r="M275" i="3"/>
  <c r="N275" i="3" s="1"/>
  <c r="V275" i="3"/>
  <c r="A276" i="3"/>
  <c r="B276" i="3" s="1"/>
  <c r="W275" i="3" l="1"/>
  <c r="L275" i="3"/>
  <c r="AA276" i="3"/>
  <c r="Z276" i="3"/>
  <c r="P276" i="3"/>
  <c r="Q276" i="3" s="1"/>
  <c r="R276" i="3" s="1"/>
  <c r="S276" i="3" s="1"/>
  <c r="AC276" i="3"/>
  <c r="AD276" i="3"/>
  <c r="U275" i="3" l="1"/>
  <c r="Y274" i="3"/>
  <c r="T276" i="3"/>
  <c r="AH276" i="3" s="1"/>
  <c r="D276" i="3" l="1"/>
  <c r="AG276" i="3"/>
  <c r="E276" i="3"/>
  <c r="H276" i="3" s="1"/>
  <c r="F276" i="3" l="1"/>
  <c r="G276" i="3"/>
  <c r="K276" i="3"/>
  <c r="AE276" i="3" s="1"/>
  <c r="I276" i="3" l="1"/>
  <c r="J276" i="3"/>
  <c r="M276" i="3"/>
  <c r="N276" i="3" s="1"/>
  <c r="V276" i="3"/>
  <c r="A277" i="3"/>
  <c r="B277" i="3" s="1"/>
  <c r="W276" i="3" l="1"/>
  <c r="L276" i="3"/>
  <c r="P277" i="3"/>
  <c r="Q277" i="3" s="1"/>
  <c r="R277" i="3" s="1"/>
  <c r="S277" i="3" s="1"/>
  <c r="AC277" i="3"/>
  <c r="Z277" i="3"/>
  <c r="AD277" i="3"/>
  <c r="AA277" i="3"/>
  <c r="U276" i="3" l="1"/>
  <c r="Y275" i="3"/>
  <c r="T277" i="3"/>
  <c r="AG277" i="3" s="1"/>
  <c r="D277" i="3" l="1"/>
  <c r="G277" i="3" s="1"/>
  <c r="E277" i="3"/>
  <c r="H277" i="3" s="1"/>
  <c r="K277" i="3" s="1"/>
  <c r="AE277" i="3" s="1"/>
  <c r="AH277" i="3"/>
  <c r="F277" i="3" l="1"/>
  <c r="V277" i="3"/>
  <c r="A278" i="3"/>
  <c r="B278" i="3" s="1"/>
  <c r="I277" i="3"/>
  <c r="J277" i="3"/>
  <c r="M277" i="3"/>
  <c r="N277" i="3" s="1"/>
  <c r="W277" i="3" l="1"/>
  <c r="L277" i="3"/>
  <c r="AD278" i="3"/>
  <c r="AC278" i="3"/>
  <c r="Z278" i="3"/>
  <c r="P278" i="3"/>
  <c r="Q278" i="3" s="1"/>
  <c r="R278" i="3" s="1"/>
  <c r="S278" i="3" s="1"/>
  <c r="AA278" i="3"/>
  <c r="T278" i="3" l="1"/>
  <c r="U277" i="3"/>
  <c r="Y276" i="3"/>
  <c r="E278" i="3" l="1"/>
  <c r="H278" i="3" s="1"/>
  <c r="K278" i="3" s="1"/>
  <c r="AE278" i="3" s="1"/>
  <c r="D278" i="3"/>
  <c r="AH278" i="3"/>
  <c r="AG278" i="3"/>
  <c r="V278" i="3" l="1"/>
  <c r="A279" i="3"/>
  <c r="B279" i="3" s="1"/>
  <c r="F278" i="3"/>
  <c r="G278" i="3"/>
  <c r="I278" i="3" l="1"/>
  <c r="W278" i="3" s="1"/>
  <c r="J278" i="3"/>
  <c r="M278" i="3"/>
  <c r="N278" i="3" s="1"/>
  <c r="P279" i="3"/>
  <c r="Q279" i="3" s="1"/>
  <c r="R279" i="3" s="1"/>
  <c r="S279" i="3" s="1"/>
  <c r="AA279" i="3"/>
  <c r="AD279" i="3"/>
  <c r="Z279" i="3"/>
  <c r="AC279" i="3"/>
  <c r="T279" i="3" l="1"/>
  <c r="L278" i="3"/>
  <c r="U278" i="3" l="1"/>
  <c r="D279" i="3" s="1"/>
  <c r="AG279" i="3"/>
  <c r="AH279" i="3"/>
  <c r="Y277" i="3"/>
  <c r="G279" i="3" l="1"/>
  <c r="E279" i="3"/>
  <c r="H279" i="3" s="1"/>
  <c r="I279" i="3" l="1"/>
  <c r="J279" i="3"/>
  <c r="M279" i="3"/>
  <c r="N279" i="3" s="1"/>
  <c r="F279" i="3"/>
  <c r="K279" i="3"/>
  <c r="AE279" i="3" s="1"/>
  <c r="V279" i="3" l="1"/>
  <c r="W279" i="3" s="1"/>
  <c r="A280" i="3"/>
  <c r="B280" i="3" s="1"/>
  <c r="L279" i="3"/>
  <c r="U279" i="3" l="1"/>
  <c r="Y278" i="3"/>
  <c r="AA280" i="3"/>
  <c r="P280" i="3"/>
  <c r="Q280" i="3" s="1"/>
  <c r="R280" i="3" s="1"/>
  <c r="S280" i="3" s="1"/>
  <c r="AD280" i="3"/>
  <c r="AC280" i="3"/>
  <c r="Z280" i="3"/>
  <c r="T280" i="3" l="1"/>
  <c r="AH280" i="3" s="1"/>
  <c r="D280" i="3" l="1"/>
  <c r="G280" i="3" s="1"/>
  <c r="E280" i="3"/>
  <c r="H280" i="3" s="1"/>
  <c r="K280" i="3" s="1"/>
  <c r="AE280" i="3" s="1"/>
  <c r="AG280" i="3"/>
  <c r="F280" i="3" l="1"/>
  <c r="I280" i="3"/>
  <c r="J280" i="3"/>
  <c r="M280" i="3"/>
  <c r="N280" i="3" s="1"/>
  <c r="V280" i="3"/>
  <c r="A281" i="3"/>
  <c r="B281" i="3" s="1"/>
  <c r="L280" i="3" l="1"/>
  <c r="W280" i="3"/>
  <c r="AC281" i="3"/>
  <c r="AA281" i="3"/>
  <c r="P281" i="3"/>
  <c r="Q281" i="3" s="1"/>
  <c r="R281" i="3" s="1"/>
  <c r="S281" i="3" s="1"/>
  <c r="AD281" i="3"/>
  <c r="Z281" i="3"/>
  <c r="T281" i="3" l="1"/>
  <c r="AG281" i="3" s="1"/>
  <c r="U280" i="3"/>
  <c r="Y279" i="3"/>
  <c r="D281" i="3" l="1"/>
  <c r="E281" i="3"/>
  <c r="H281" i="3" s="1"/>
  <c r="AH281" i="3"/>
  <c r="F281" i="3" l="1"/>
  <c r="G281" i="3"/>
  <c r="K281" i="3"/>
  <c r="AE281" i="3" s="1"/>
  <c r="I281" i="3" l="1"/>
  <c r="J281" i="3"/>
  <c r="M281" i="3"/>
  <c r="N281" i="3" s="1"/>
  <c r="V281" i="3"/>
  <c r="A282" i="3"/>
  <c r="B282" i="3" s="1"/>
  <c r="W281" i="3" l="1"/>
  <c r="L281" i="3"/>
  <c r="AC282" i="3"/>
  <c r="Z282" i="3"/>
  <c r="AD282" i="3"/>
  <c r="P282" i="3"/>
  <c r="Q282" i="3" s="1"/>
  <c r="R282" i="3" s="1"/>
  <c r="S282" i="3" s="1"/>
  <c r="AA282" i="3"/>
  <c r="U281" i="3" l="1"/>
  <c r="Y280" i="3"/>
  <c r="T282" i="3"/>
  <c r="D282" i="3" l="1"/>
  <c r="G282" i="3" s="1"/>
  <c r="E282" i="3"/>
  <c r="H282" i="3" s="1"/>
  <c r="AH282" i="3"/>
  <c r="AG282" i="3"/>
  <c r="F282" i="3" l="1"/>
  <c r="I282" i="3"/>
  <c r="J282" i="3"/>
  <c r="M282" i="3"/>
  <c r="N282" i="3" s="1"/>
  <c r="K282" i="3"/>
  <c r="AE282" i="3" s="1"/>
  <c r="V282" i="3" l="1"/>
  <c r="W282" i="3" s="1"/>
  <c r="A283" i="3"/>
  <c r="B283" i="3" s="1"/>
  <c r="L282" i="3"/>
  <c r="U282" i="3" l="1"/>
  <c r="Y281" i="3"/>
  <c r="Z283" i="3"/>
  <c r="AC283" i="3"/>
  <c r="AD283" i="3"/>
  <c r="P283" i="3"/>
  <c r="Q283" i="3" s="1"/>
  <c r="R283" i="3" s="1"/>
  <c r="S283" i="3" s="1"/>
  <c r="AA283" i="3"/>
  <c r="T283" i="3" l="1"/>
  <c r="AH283" i="3" s="1"/>
  <c r="AG283" i="3" l="1"/>
  <c r="E283" i="3"/>
  <c r="H283" i="3" s="1"/>
  <c r="K283" i="3" s="1"/>
  <c r="AE283" i="3" s="1"/>
  <c r="D283" i="3"/>
  <c r="F283" i="3" l="1"/>
  <c r="G283" i="3"/>
  <c r="J283" i="3" s="1"/>
  <c r="V283" i="3"/>
  <c r="A284" i="3"/>
  <c r="B284" i="3" s="1"/>
  <c r="M283" i="3" l="1"/>
  <c r="N283" i="3" s="1"/>
  <c r="I283" i="3"/>
  <c r="W283" i="3" s="1"/>
  <c r="L283" i="3"/>
  <c r="AC284" i="3"/>
  <c r="AA284" i="3"/>
  <c r="P284" i="3"/>
  <c r="Q284" i="3" s="1"/>
  <c r="R284" i="3" s="1"/>
  <c r="S284" i="3" s="1"/>
  <c r="Z284" i="3"/>
  <c r="T284" i="3" l="1"/>
  <c r="AH284" i="3" s="1"/>
  <c r="U283" i="3"/>
  <c r="Y282" i="3"/>
  <c r="AG284" i="3" l="1"/>
  <c r="D284" i="3"/>
  <c r="E284" i="3"/>
  <c r="H284" i="3" s="1"/>
  <c r="F284" i="3" l="1"/>
  <c r="G284" i="3"/>
  <c r="K284" i="3"/>
  <c r="AE284" i="3" s="1"/>
  <c r="V284" i="3" l="1"/>
  <c r="A285" i="3"/>
  <c r="B285" i="3" s="1"/>
  <c r="I284" i="3"/>
  <c r="J284" i="3"/>
  <c r="AD284" i="3" s="1"/>
  <c r="M284" i="3"/>
  <c r="N284" i="3" s="1"/>
  <c r="W284" i="3" l="1"/>
  <c r="L284" i="3"/>
  <c r="AD285" i="3"/>
  <c r="AA285" i="3"/>
  <c r="P285" i="3"/>
  <c r="Q285" i="3" s="1"/>
  <c r="R285" i="3" s="1"/>
  <c r="S285" i="3" s="1"/>
  <c r="Z285" i="3"/>
  <c r="AC285" i="3"/>
  <c r="U284" i="3" l="1"/>
  <c r="Y283" i="3"/>
  <c r="T285" i="3"/>
  <c r="E285" i="3" l="1"/>
  <c r="H285" i="3" s="1"/>
  <c r="K285" i="3" s="1"/>
  <c r="AE285" i="3" s="1"/>
  <c r="AH285" i="3"/>
  <c r="D285" i="3"/>
  <c r="G285" i="3" s="1"/>
  <c r="AG285" i="3"/>
  <c r="F285" i="3" l="1"/>
  <c r="V285" i="3"/>
  <c r="A286" i="3"/>
  <c r="B286" i="3" s="1"/>
  <c r="I285" i="3"/>
  <c r="J285" i="3"/>
  <c r="M285" i="3"/>
  <c r="N285" i="3" s="1"/>
  <c r="W285" i="3" l="1"/>
  <c r="L285" i="3"/>
  <c r="AA286" i="3"/>
  <c r="P286" i="3"/>
  <c r="Q286" i="3" s="1"/>
  <c r="R286" i="3" s="1"/>
  <c r="S286" i="3" s="1"/>
  <c r="AD286" i="3"/>
  <c r="AC286" i="3"/>
  <c r="Z286" i="3"/>
  <c r="T286" i="3" l="1"/>
  <c r="AH286" i="3" s="1"/>
  <c r="U285" i="3"/>
  <c r="Y284" i="3"/>
  <c r="D286" i="3" l="1"/>
  <c r="G286" i="3" s="1"/>
  <c r="AG286" i="3"/>
  <c r="E286" i="3"/>
  <c r="H286" i="3" s="1"/>
  <c r="F286" i="3" l="1"/>
  <c r="I286" i="3"/>
  <c r="J286" i="3"/>
  <c r="M286" i="3"/>
  <c r="N286" i="3" s="1"/>
  <c r="K286" i="3"/>
  <c r="AE286" i="3" s="1"/>
  <c r="V286" i="3" l="1"/>
  <c r="W286" i="3" s="1"/>
  <c r="A287" i="3"/>
  <c r="B287" i="3" s="1"/>
  <c r="L286" i="3"/>
  <c r="U286" i="3" l="1"/>
  <c r="Y285" i="3"/>
  <c r="P287" i="3"/>
  <c r="Q287" i="3" s="1"/>
  <c r="R287" i="3" s="1"/>
  <c r="S287" i="3" s="1"/>
  <c r="AA287" i="3"/>
  <c r="Z287" i="3"/>
  <c r="AD287" i="3"/>
  <c r="AC287" i="3"/>
  <c r="T287" i="3" l="1"/>
  <c r="D287" i="3" s="1"/>
  <c r="G287" i="3" l="1"/>
  <c r="AH287" i="3"/>
  <c r="AG287" i="3"/>
  <c r="E287" i="3"/>
  <c r="H287" i="3" s="1"/>
  <c r="F287" i="3" l="1"/>
  <c r="K287" i="3"/>
  <c r="AE287" i="3" s="1"/>
  <c r="I287" i="3"/>
  <c r="J287" i="3"/>
  <c r="M287" i="3"/>
  <c r="N287" i="3" s="1"/>
  <c r="L287" i="3" l="1"/>
  <c r="V287" i="3"/>
  <c r="W287" i="3" s="1"/>
  <c r="A288" i="3"/>
  <c r="B288" i="3" s="1"/>
  <c r="U287" i="3" l="1"/>
  <c r="Y286" i="3"/>
  <c r="P288" i="3"/>
  <c r="Q288" i="3" s="1"/>
  <c r="R288" i="3" s="1"/>
  <c r="S288" i="3" s="1"/>
  <c r="AA288" i="3"/>
  <c r="AC288" i="3"/>
  <c r="AD288" i="3"/>
  <c r="Z288" i="3"/>
  <c r="T288" i="3" l="1"/>
  <c r="D288" i="3" s="1"/>
  <c r="AG288" i="3" l="1"/>
  <c r="AH288" i="3"/>
  <c r="E288" i="3"/>
  <c r="H288" i="3" s="1"/>
  <c r="K288" i="3" s="1"/>
  <c r="AE288" i="3" s="1"/>
  <c r="G288" i="3"/>
  <c r="F288" i="3" l="1"/>
  <c r="I288" i="3"/>
  <c r="J288" i="3"/>
  <c r="M288" i="3"/>
  <c r="N288" i="3" s="1"/>
  <c r="V288" i="3"/>
  <c r="A289" i="3"/>
  <c r="B289" i="3" s="1"/>
  <c r="W288" i="3" l="1"/>
  <c r="L288" i="3"/>
  <c r="AD289" i="3"/>
  <c r="P289" i="3"/>
  <c r="Q289" i="3" s="1"/>
  <c r="R289" i="3" s="1"/>
  <c r="S289" i="3" s="1"/>
  <c r="AA289" i="3"/>
  <c r="AC289" i="3"/>
  <c r="Z289" i="3"/>
  <c r="T289" i="3" l="1"/>
  <c r="U288" i="3"/>
  <c r="Y287" i="3"/>
  <c r="E289" i="3" l="1"/>
  <c r="H289" i="3" s="1"/>
  <c r="K289" i="3" s="1"/>
  <c r="AE289" i="3" s="1"/>
  <c r="AH289" i="3"/>
  <c r="AG289" i="3"/>
  <c r="D289" i="3"/>
  <c r="V289" i="3" l="1"/>
  <c r="A290" i="3"/>
  <c r="B290" i="3" s="1"/>
  <c r="F289" i="3"/>
  <c r="G289" i="3"/>
  <c r="I289" i="3" l="1"/>
  <c r="W289" i="3" s="1"/>
  <c r="J289" i="3"/>
  <c r="M289" i="3"/>
  <c r="N289" i="3" s="1"/>
  <c r="AA290" i="3"/>
  <c r="AC290" i="3"/>
  <c r="Z290" i="3"/>
  <c r="P290" i="3"/>
  <c r="Q290" i="3" s="1"/>
  <c r="R290" i="3" s="1"/>
  <c r="S290" i="3" s="1"/>
  <c r="AD290" i="3"/>
  <c r="T290" i="3" l="1"/>
  <c r="L289" i="3"/>
  <c r="U289" i="3" l="1"/>
  <c r="E290" i="3" s="1"/>
  <c r="H290" i="3" s="1"/>
  <c r="AH290" i="3"/>
  <c r="AG290" i="3"/>
  <c r="Y288" i="3"/>
  <c r="D290" i="3" l="1"/>
  <c r="G290" i="3" s="1"/>
  <c r="K290" i="3"/>
  <c r="AE290" i="3" s="1"/>
  <c r="F290" i="3" l="1"/>
  <c r="I290" i="3"/>
  <c r="J290" i="3"/>
  <c r="M290" i="3"/>
  <c r="N290" i="3" s="1"/>
  <c r="V290" i="3"/>
  <c r="A291" i="3"/>
  <c r="B291" i="3" s="1"/>
  <c r="L290" i="3" l="1"/>
  <c r="W290" i="3"/>
  <c r="P291" i="3"/>
  <c r="Q291" i="3" s="1"/>
  <c r="R291" i="3" s="1"/>
  <c r="S291" i="3" s="1"/>
  <c r="AD291" i="3"/>
  <c r="Z291" i="3"/>
  <c r="AA291" i="3"/>
  <c r="AC291" i="3"/>
  <c r="U290" i="3" l="1"/>
  <c r="Y289" i="3"/>
  <c r="T291" i="3"/>
  <c r="AG291" i="3" s="1"/>
  <c r="D291" i="3" l="1"/>
  <c r="E291" i="3"/>
  <c r="H291" i="3" s="1"/>
  <c r="AH291" i="3"/>
  <c r="K291" i="3" l="1"/>
  <c r="AE291" i="3" s="1"/>
  <c r="F291" i="3"/>
  <c r="G291" i="3"/>
  <c r="I291" i="3" l="1"/>
  <c r="J291" i="3"/>
  <c r="M291" i="3"/>
  <c r="N291" i="3" s="1"/>
  <c r="V291" i="3"/>
  <c r="A292" i="3"/>
  <c r="B292" i="3" s="1"/>
  <c r="W291" i="3" l="1"/>
  <c r="L291" i="3"/>
  <c r="Z292" i="3"/>
  <c r="AC292" i="3"/>
  <c r="AD292" i="3"/>
  <c r="AA292" i="3"/>
  <c r="P292" i="3"/>
  <c r="Q292" i="3" s="1"/>
  <c r="R292" i="3" s="1"/>
  <c r="S292" i="3" s="1"/>
  <c r="U291" i="3" l="1"/>
  <c r="Y290" i="3"/>
  <c r="T292" i="3"/>
  <c r="E292" i="3" l="1"/>
  <c r="H292" i="3" s="1"/>
  <c r="K292" i="3" s="1"/>
  <c r="AE292" i="3" s="1"/>
  <c r="D292" i="3"/>
  <c r="AG292" i="3"/>
  <c r="AH292" i="3"/>
  <c r="V292" i="3" l="1"/>
  <c r="A293" i="3"/>
  <c r="B293" i="3" s="1"/>
  <c r="F292" i="3"/>
  <c r="G292" i="3"/>
  <c r="I292" i="3" l="1"/>
  <c r="W292" i="3" s="1"/>
  <c r="J292" i="3"/>
  <c r="M292" i="3"/>
  <c r="N292" i="3" s="1"/>
  <c r="Z293" i="3"/>
  <c r="AC293" i="3"/>
  <c r="AD293" i="3"/>
  <c r="P293" i="3"/>
  <c r="Q293" i="3" s="1"/>
  <c r="R293" i="3" s="1"/>
  <c r="S293" i="3" s="1"/>
  <c r="AA293" i="3"/>
  <c r="L292" i="3" l="1"/>
  <c r="T293" i="3"/>
  <c r="U292" i="3" l="1"/>
  <c r="E293" i="3" s="1"/>
  <c r="H293" i="3" s="1"/>
  <c r="AH293" i="3"/>
  <c r="AG293" i="3"/>
  <c r="Y291" i="3"/>
  <c r="K293" i="3" l="1"/>
  <c r="AE293" i="3" s="1"/>
  <c r="D293" i="3"/>
  <c r="V293" i="3" l="1"/>
  <c r="A294" i="3"/>
  <c r="B294" i="3" s="1"/>
  <c r="F293" i="3"/>
  <c r="G293" i="3"/>
  <c r="I293" i="3" l="1"/>
  <c r="W293" i="3" s="1"/>
  <c r="J293" i="3"/>
  <c r="M293" i="3"/>
  <c r="N293" i="3" s="1"/>
  <c r="AA294" i="3"/>
  <c r="P294" i="3"/>
  <c r="Q294" i="3" s="1"/>
  <c r="R294" i="3" s="1"/>
  <c r="S294" i="3" s="1"/>
  <c r="Z294" i="3"/>
  <c r="AC294" i="3"/>
  <c r="L293" i="3" l="1"/>
  <c r="T294" i="3"/>
  <c r="AG294" i="3" l="1"/>
  <c r="U293" i="3"/>
  <c r="E294" i="3" s="1"/>
  <c r="H294" i="3" s="1"/>
  <c r="AH294" i="3"/>
  <c r="Y292" i="3"/>
  <c r="D294" i="3" l="1"/>
  <c r="G294" i="3" s="1"/>
  <c r="K294" i="3"/>
  <c r="AE294" i="3" s="1"/>
  <c r="F294" i="3" l="1"/>
  <c r="I294" i="3"/>
  <c r="J294" i="3"/>
  <c r="AD294" i="3" s="1"/>
  <c r="M294" i="3"/>
  <c r="N294" i="3" s="1"/>
  <c r="V294" i="3"/>
  <c r="A295" i="3"/>
  <c r="B295" i="3" s="1"/>
  <c r="L294" i="3" l="1"/>
  <c r="W294" i="3"/>
  <c r="AA295" i="3"/>
  <c r="AD295" i="3"/>
  <c r="P295" i="3"/>
  <c r="Q295" i="3" s="1"/>
  <c r="R295" i="3" s="1"/>
  <c r="S295" i="3" s="1"/>
  <c r="AC295" i="3"/>
  <c r="Z295" i="3"/>
  <c r="U294" i="3" l="1"/>
  <c r="Y293" i="3"/>
  <c r="T295" i="3"/>
  <c r="AG295" i="3" s="1"/>
  <c r="D295" i="3" l="1"/>
  <c r="AH295" i="3"/>
  <c r="E295" i="3"/>
  <c r="H295" i="3" s="1"/>
  <c r="F295" i="3" l="1"/>
  <c r="G295" i="3"/>
  <c r="K295" i="3"/>
  <c r="AE295" i="3" s="1"/>
  <c r="V295" i="3" l="1"/>
  <c r="A296" i="3"/>
  <c r="B296" i="3" s="1"/>
  <c r="I295" i="3"/>
  <c r="J295" i="3"/>
  <c r="M295" i="3"/>
  <c r="N295" i="3" s="1"/>
  <c r="L295" i="3" l="1"/>
  <c r="AC296" i="3"/>
  <c r="Z296" i="3"/>
  <c r="AD296" i="3"/>
  <c r="P296" i="3"/>
  <c r="Q296" i="3" s="1"/>
  <c r="R296" i="3" s="1"/>
  <c r="S296" i="3" s="1"/>
  <c r="AA296" i="3"/>
  <c r="W295" i="3"/>
  <c r="T296" i="3" l="1"/>
  <c r="U295" i="3"/>
  <c r="Y294" i="3"/>
  <c r="D296" i="3" l="1"/>
  <c r="G296" i="3" s="1"/>
  <c r="AG296" i="3"/>
  <c r="AH296" i="3"/>
  <c r="E296" i="3"/>
  <c r="H296" i="3" s="1"/>
  <c r="F296" i="3" l="1"/>
  <c r="I296" i="3"/>
  <c r="J296" i="3"/>
  <c r="M296" i="3"/>
  <c r="N296" i="3" s="1"/>
  <c r="K296" i="3"/>
  <c r="AE296" i="3" s="1"/>
  <c r="V296" i="3" l="1"/>
  <c r="W296" i="3" s="1"/>
  <c r="A297" i="3"/>
  <c r="B297" i="3" s="1"/>
  <c r="L296" i="3"/>
  <c r="U296" i="3" l="1"/>
  <c r="Y295" i="3"/>
  <c r="AA297" i="3"/>
  <c r="P297" i="3"/>
  <c r="Q297" i="3" s="1"/>
  <c r="R297" i="3" s="1"/>
  <c r="S297" i="3" s="1"/>
  <c r="Z297" i="3"/>
  <c r="AC297" i="3"/>
  <c r="AD297" i="3"/>
  <c r="T297" i="3" l="1"/>
  <c r="E297" i="3" s="1"/>
  <c r="H297" i="3" s="1"/>
  <c r="D297" i="3" l="1"/>
  <c r="F297" i="3" s="1"/>
  <c r="AG297" i="3"/>
  <c r="K297" i="3"/>
  <c r="AE297" i="3" s="1"/>
  <c r="AH297" i="3"/>
  <c r="G297" i="3" l="1"/>
  <c r="M297" i="3" s="1"/>
  <c r="N297" i="3" s="1"/>
  <c r="V297" i="3"/>
  <c r="A298" i="3"/>
  <c r="B298" i="3" s="1"/>
  <c r="J297" i="3" l="1"/>
  <c r="L297" i="3" s="1"/>
  <c r="I297" i="3"/>
  <c r="W297" i="3" s="1"/>
  <c r="Z298" i="3"/>
  <c r="AD298" i="3"/>
  <c r="P298" i="3"/>
  <c r="Q298" i="3" s="1"/>
  <c r="R298" i="3" s="1"/>
  <c r="S298" i="3" s="1"/>
  <c r="AA298" i="3"/>
  <c r="AC298" i="3"/>
  <c r="T298" i="3" l="1"/>
  <c r="U297" i="3"/>
  <c r="Y296" i="3"/>
  <c r="E298" i="3" l="1"/>
  <c r="H298" i="3" s="1"/>
  <c r="K298" i="3" s="1"/>
  <c r="AE298" i="3" s="1"/>
  <c r="AH298" i="3"/>
  <c r="D298" i="3"/>
  <c r="AG298" i="3"/>
  <c r="F298" i="3" l="1"/>
  <c r="G298" i="3"/>
  <c r="V298" i="3"/>
  <c r="A299" i="3"/>
  <c r="B299" i="3" s="1"/>
  <c r="I298" i="3" l="1"/>
  <c r="W298" i="3" s="1"/>
  <c r="J298" i="3"/>
  <c r="M298" i="3"/>
  <c r="N298" i="3" s="1"/>
  <c r="Z299" i="3"/>
  <c r="AD299" i="3"/>
  <c r="P299" i="3"/>
  <c r="Q299" i="3" s="1"/>
  <c r="R299" i="3" s="1"/>
  <c r="S299" i="3" s="1"/>
  <c r="AA299" i="3"/>
  <c r="AC299" i="3"/>
  <c r="L298" i="3" l="1"/>
  <c r="T299" i="3"/>
  <c r="AG299" i="3" l="1"/>
  <c r="U298" i="3"/>
  <c r="E299" i="3" s="1"/>
  <c r="H299" i="3" s="1"/>
  <c r="AH299" i="3"/>
  <c r="Y297" i="3"/>
  <c r="D299" i="3" l="1"/>
  <c r="G299" i="3" s="1"/>
  <c r="K299" i="3"/>
  <c r="AE299" i="3" s="1"/>
  <c r="F299" i="3" l="1"/>
  <c r="I299" i="3"/>
  <c r="J299" i="3"/>
  <c r="M299" i="3"/>
  <c r="N299" i="3" s="1"/>
  <c r="V299" i="3"/>
  <c r="A300" i="3"/>
  <c r="B300" i="3" s="1"/>
  <c r="W299" i="3" l="1"/>
  <c r="L299" i="3"/>
  <c r="Z300" i="3"/>
  <c r="P300" i="3"/>
  <c r="Q300" i="3" s="1"/>
  <c r="R300" i="3" s="1"/>
  <c r="S300" i="3" s="1"/>
  <c r="AD300" i="3"/>
  <c r="AA300" i="3"/>
  <c r="AC300" i="3"/>
  <c r="U299" i="3" l="1"/>
  <c r="Y298" i="3"/>
  <c r="T300" i="3"/>
  <c r="E300" i="3" l="1"/>
  <c r="H300" i="3" s="1"/>
  <c r="K300" i="3" s="1"/>
  <c r="AE300" i="3" s="1"/>
  <c r="AH300" i="3"/>
  <c r="AG300" i="3"/>
  <c r="D300" i="3"/>
  <c r="F300" i="3" l="1"/>
  <c r="G300" i="3"/>
  <c r="V300" i="3"/>
  <c r="A301" i="3"/>
  <c r="B301" i="3" s="1"/>
  <c r="I300" i="3" l="1"/>
  <c r="W300" i="3" s="1"/>
  <c r="J300" i="3"/>
  <c r="M300" i="3"/>
  <c r="N300" i="3" s="1"/>
  <c r="AC301" i="3"/>
  <c r="Z301" i="3"/>
  <c r="AD301" i="3"/>
  <c r="AA301" i="3"/>
  <c r="P301" i="3"/>
  <c r="Q301" i="3" s="1"/>
  <c r="R301" i="3" s="1"/>
  <c r="S301" i="3" s="1"/>
  <c r="L300" i="3" l="1"/>
  <c r="T301" i="3"/>
  <c r="AH301" i="3" l="1"/>
  <c r="U300" i="3"/>
  <c r="D301" i="3" s="1"/>
  <c r="AG301" i="3"/>
  <c r="Y299" i="3"/>
  <c r="E301" i="3" l="1"/>
  <c r="H301" i="3" s="1"/>
  <c r="K301" i="3" s="1"/>
  <c r="AE301" i="3" s="1"/>
  <c r="G301" i="3"/>
  <c r="F301" i="3" l="1"/>
  <c r="I301" i="3"/>
  <c r="J301" i="3"/>
  <c r="M301" i="3"/>
  <c r="N301" i="3" s="1"/>
  <c r="V301" i="3"/>
  <c r="A302" i="3"/>
  <c r="B302" i="3" s="1"/>
  <c r="W301" i="3" l="1"/>
  <c r="L301" i="3"/>
  <c r="P302" i="3"/>
  <c r="Q302" i="3" s="1"/>
  <c r="R302" i="3" s="1"/>
  <c r="S302" i="3" s="1"/>
  <c r="AA302" i="3"/>
  <c r="AC302" i="3"/>
  <c r="AD302" i="3"/>
  <c r="Z302" i="3"/>
  <c r="U301" i="3" l="1"/>
  <c r="Y300" i="3"/>
  <c r="T302" i="3"/>
  <c r="AG302" i="3" s="1"/>
  <c r="AH302" i="3" l="1"/>
  <c r="D302" i="3"/>
  <c r="E302" i="3"/>
  <c r="H302" i="3" s="1"/>
  <c r="K302" i="3" s="1"/>
  <c r="AE302" i="3" s="1"/>
  <c r="F302" i="3" l="1"/>
  <c r="G302" i="3"/>
  <c r="M302" i="3" s="1"/>
  <c r="N302" i="3" s="1"/>
  <c r="V302" i="3"/>
  <c r="A303" i="3"/>
  <c r="B303" i="3" s="1"/>
  <c r="I302" i="3" l="1"/>
  <c r="W302" i="3" s="1"/>
  <c r="J302" i="3"/>
  <c r="L302" i="3" s="1"/>
  <c r="AD303" i="3"/>
  <c r="Z303" i="3"/>
  <c r="P303" i="3"/>
  <c r="Q303" i="3" s="1"/>
  <c r="R303" i="3" s="1"/>
  <c r="S303" i="3" s="1"/>
  <c r="AA303" i="3"/>
  <c r="AC303" i="3"/>
  <c r="T303" i="3" l="1"/>
  <c r="U302" i="3"/>
  <c r="Y301" i="3"/>
  <c r="E303" i="3" l="1"/>
  <c r="H303" i="3" s="1"/>
  <c r="K303" i="3" s="1"/>
  <c r="AE303" i="3" s="1"/>
  <c r="D303" i="3"/>
  <c r="G303" i="3" s="1"/>
  <c r="AH303" i="3"/>
  <c r="AG303" i="3"/>
  <c r="F303" i="3" l="1"/>
  <c r="I303" i="3"/>
  <c r="J303" i="3"/>
  <c r="M303" i="3"/>
  <c r="N303" i="3" s="1"/>
  <c r="V303" i="3"/>
  <c r="A304" i="3"/>
  <c r="B304" i="3" s="1"/>
  <c r="W303" i="3" l="1"/>
  <c r="L303" i="3"/>
  <c r="Z304" i="3"/>
  <c r="P304" i="3"/>
  <c r="Q304" i="3" s="1"/>
  <c r="R304" i="3" s="1"/>
  <c r="S304" i="3" s="1"/>
  <c r="AC304" i="3"/>
  <c r="AA304" i="3"/>
  <c r="U303" i="3" l="1"/>
  <c r="Y302" i="3"/>
  <c r="T304" i="3"/>
  <c r="AH304" i="3" s="1"/>
  <c r="AG304" i="3" l="1"/>
  <c r="D304" i="3"/>
  <c r="G304" i="3" s="1"/>
  <c r="E304" i="3"/>
  <c r="H304" i="3" s="1"/>
  <c r="K304" i="3" s="1"/>
  <c r="AE304" i="3" s="1"/>
  <c r="F304" i="3" l="1"/>
  <c r="I304" i="3"/>
  <c r="J304" i="3"/>
  <c r="AD304" i="3" s="1"/>
  <c r="M304" i="3"/>
  <c r="N304" i="3" s="1"/>
  <c r="V304" i="3"/>
  <c r="A305" i="3"/>
  <c r="B305" i="3" s="1"/>
  <c r="W304" i="3" l="1"/>
  <c r="L304" i="3"/>
  <c r="Z305" i="3"/>
  <c r="AA305" i="3"/>
  <c r="P305" i="3"/>
  <c r="Q305" i="3" s="1"/>
  <c r="R305" i="3" s="1"/>
  <c r="S305" i="3" s="1"/>
  <c r="AC305" i="3"/>
  <c r="AD305" i="3"/>
  <c r="U304" i="3" l="1"/>
  <c r="Y303" i="3"/>
  <c r="T305" i="3"/>
  <c r="AG305" i="3" s="1"/>
  <c r="AH305" i="3" l="1"/>
  <c r="E305" i="3"/>
  <c r="H305" i="3" s="1"/>
  <c r="K305" i="3" s="1"/>
  <c r="AE305" i="3" s="1"/>
  <c r="D305" i="3"/>
  <c r="V305" i="3" l="1"/>
  <c r="A306" i="3"/>
  <c r="B306" i="3" s="1"/>
  <c r="F305" i="3"/>
  <c r="G305" i="3"/>
  <c r="I305" i="3" l="1"/>
  <c r="W305" i="3" s="1"/>
  <c r="J305" i="3"/>
  <c r="M305" i="3"/>
  <c r="N305" i="3" s="1"/>
  <c r="AA306" i="3"/>
  <c r="Z306" i="3"/>
  <c r="P306" i="3"/>
  <c r="Q306" i="3" s="1"/>
  <c r="R306" i="3" s="1"/>
  <c r="S306" i="3" s="1"/>
  <c r="AC306" i="3"/>
  <c r="AD306" i="3"/>
  <c r="T306" i="3" l="1"/>
  <c r="L305" i="3"/>
  <c r="U305" i="3" l="1"/>
  <c r="E306" i="3" s="1"/>
  <c r="H306" i="3" s="1"/>
  <c r="AH306" i="3"/>
  <c r="AG306" i="3"/>
  <c r="Y304" i="3"/>
  <c r="D306" i="3" l="1"/>
  <c r="G306" i="3" s="1"/>
  <c r="K306" i="3"/>
  <c r="AE306" i="3" s="1"/>
  <c r="F306" i="3" l="1"/>
  <c r="I306" i="3"/>
  <c r="J306" i="3"/>
  <c r="M306" i="3"/>
  <c r="N306" i="3" s="1"/>
  <c r="V306" i="3"/>
  <c r="A307" i="3"/>
  <c r="B307" i="3" s="1"/>
  <c r="W306" i="3" l="1"/>
  <c r="L306" i="3"/>
  <c r="AC307" i="3"/>
  <c r="P307" i="3"/>
  <c r="Q307" i="3" s="1"/>
  <c r="R307" i="3" s="1"/>
  <c r="S307" i="3" s="1"/>
  <c r="AA307" i="3"/>
  <c r="Z307" i="3"/>
  <c r="AD307" i="3"/>
  <c r="T307" i="3" l="1"/>
  <c r="AH307" i="3" s="1"/>
  <c r="U306" i="3"/>
  <c r="Y305" i="3"/>
  <c r="D307" i="3" l="1"/>
  <c r="E307" i="3"/>
  <c r="H307" i="3" s="1"/>
  <c r="AG307" i="3"/>
  <c r="F307" i="3" l="1"/>
  <c r="G307" i="3"/>
  <c r="K307" i="3"/>
  <c r="AE307" i="3" s="1"/>
  <c r="I307" i="3" l="1"/>
  <c r="J307" i="3"/>
  <c r="M307" i="3"/>
  <c r="N307" i="3" s="1"/>
  <c r="V307" i="3"/>
  <c r="A308" i="3"/>
  <c r="B308" i="3" s="1"/>
  <c r="L307" i="3" l="1"/>
  <c r="Z308" i="3"/>
  <c r="AD308" i="3"/>
  <c r="AA308" i="3"/>
  <c r="P308" i="3"/>
  <c r="Q308" i="3" s="1"/>
  <c r="R308" i="3" s="1"/>
  <c r="S308" i="3" s="1"/>
  <c r="AC308" i="3"/>
  <c r="W307" i="3"/>
  <c r="T308" i="3" l="1"/>
  <c r="U307" i="3"/>
  <c r="Y306" i="3"/>
  <c r="E308" i="3" l="1"/>
  <c r="H308" i="3" s="1"/>
  <c r="K308" i="3" s="1"/>
  <c r="AE308" i="3" s="1"/>
  <c r="AH308" i="3"/>
  <c r="AG308" i="3"/>
  <c r="D308" i="3"/>
  <c r="F308" i="3" l="1"/>
  <c r="G308" i="3"/>
  <c r="V308" i="3"/>
  <c r="A309" i="3"/>
  <c r="B309" i="3" s="1"/>
  <c r="I308" i="3" l="1"/>
  <c r="W308" i="3" s="1"/>
  <c r="J308" i="3"/>
  <c r="M308" i="3"/>
  <c r="N308" i="3" s="1"/>
  <c r="AC309" i="3"/>
  <c r="AD309" i="3"/>
  <c r="P309" i="3"/>
  <c r="Q309" i="3" s="1"/>
  <c r="R309" i="3" s="1"/>
  <c r="S309" i="3" s="1"/>
  <c r="AA309" i="3"/>
  <c r="Z309" i="3"/>
  <c r="T309" i="3" l="1"/>
  <c r="L308" i="3"/>
  <c r="AG309" i="3" l="1"/>
  <c r="AH309" i="3"/>
  <c r="U308" i="3"/>
  <c r="E309" i="3" s="1"/>
  <c r="H309" i="3" s="1"/>
  <c r="Y307" i="3"/>
  <c r="D309" i="3" l="1"/>
  <c r="G309" i="3" s="1"/>
  <c r="K309" i="3"/>
  <c r="AE309" i="3" s="1"/>
  <c r="F309" i="3" l="1"/>
  <c r="V309" i="3"/>
  <c r="A310" i="3"/>
  <c r="B310" i="3" s="1"/>
  <c r="I309" i="3"/>
  <c r="J309" i="3"/>
  <c r="M309" i="3"/>
  <c r="N309" i="3" s="1"/>
  <c r="W309" i="3" l="1"/>
  <c r="L309" i="3"/>
  <c r="AC310" i="3"/>
  <c r="AD310" i="3"/>
  <c r="Z310" i="3"/>
  <c r="AA310" i="3"/>
  <c r="P310" i="3"/>
  <c r="Q310" i="3" s="1"/>
  <c r="R310" i="3" s="1"/>
  <c r="S310" i="3" s="1"/>
  <c r="T310" i="3" l="1"/>
  <c r="AH310" i="3" s="1"/>
  <c r="U309" i="3"/>
  <c r="Y308" i="3"/>
  <c r="AG310" i="3" l="1"/>
  <c r="E310" i="3"/>
  <c r="H310" i="3" s="1"/>
  <c r="D310" i="3"/>
  <c r="K310" i="3" l="1"/>
  <c r="AE310" i="3" s="1"/>
  <c r="F310" i="3"/>
  <c r="G310" i="3"/>
  <c r="I310" i="3" l="1"/>
  <c r="J310" i="3"/>
  <c r="M310" i="3"/>
  <c r="N310" i="3" s="1"/>
  <c r="V310" i="3"/>
  <c r="A311" i="3"/>
  <c r="B311" i="3" s="1"/>
  <c r="W310" i="3" l="1"/>
  <c r="L310" i="3"/>
  <c r="AA311" i="3"/>
  <c r="Z311" i="3"/>
  <c r="P311" i="3"/>
  <c r="Q311" i="3" s="1"/>
  <c r="R311" i="3" s="1"/>
  <c r="S311" i="3" s="1"/>
  <c r="AC311" i="3"/>
  <c r="AD311" i="3"/>
  <c r="T311" i="3" l="1"/>
  <c r="AH311" i="3" s="1"/>
  <c r="U310" i="3"/>
  <c r="Y309" i="3"/>
  <c r="D311" i="3" l="1"/>
  <c r="G311" i="3" s="1"/>
  <c r="E311" i="3"/>
  <c r="H311" i="3" s="1"/>
  <c r="AG311" i="3"/>
  <c r="I311" i="3" l="1"/>
  <c r="J311" i="3"/>
  <c r="M311" i="3"/>
  <c r="N311" i="3" s="1"/>
  <c r="K311" i="3"/>
  <c r="AE311" i="3" s="1"/>
  <c r="F311" i="3"/>
  <c r="V311" i="3" l="1"/>
  <c r="W311" i="3" s="1"/>
  <c r="A312" i="3"/>
  <c r="B312" i="3" s="1"/>
  <c r="L311" i="3"/>
  <c r="U311" i="3" l="1"/>
  <c r="Y310" i="3"/>
  <c r="AA312" i="3"/>
  <c r="Z312" i="3"/>
  <c r="AD312" i="3"/>
  <c r="P312" i="3"/>
  <c r="Q312" i="3" s="1"/>
  <c r="R312" i="3" s="1"/>
  <c r="S312" i="3" s="1"/>
  <c r="AC312" i="3"/>
  <c r="T312" i="3" l="1"/>
  <c r="AG312" i="3" s="1"/>
  <c r="E312" i="3" l="1"/>
  <c r="H312" i="3" s="1"/>
  <c r="K312" i="3" s="1"/>
  <c r="AE312" i="3" s="1"/>
  <c r="D312" i="3"/>
  <c r="AH312" i="3"/>
  <c r="V312" i="3" l="1"/>
  <c r="A313" i="3"/>
  <c r="B313" i="3" s="1"/>
  <c r="F312" i="3"/>
  <c r="G312" i="3"/>
  <c r="I312" i="3" l="1"/>
  <c r="W312" i="3" s="1"/>
  <c r="J312" i="3"/>
  <c r="M312" i="3"/>
  <c r="N312" i="3" s="1"/>
  <c r="Z313" i="3"/>
  <c r="AC313" i="3"/>
  <c r="P313" i="3"/>
  <c r="Q313" i="3" s="1"/>
  <c r="R313" i="3" s="1"/>
  <c r="S313" i="3" s="1"/>
  <c r="AD313" i="3"/>
  <c r="AA313" i="3"/>
  <c r="T313" i="3" l="1"/>
  <c r="L312" i="3"/>
  <c r="AG313" i="3" l="1"/>
  <c r="AH313" i="3"/>
  <c r="U312" i="3"/>
  <c r="D313" i="3" s="1"/>
  <c r="Y311" i="3"/>
  <c r="E313" i="3" l="1"/>
  <c r="H313" i="3" s="1"/>
  <c r="K313" i="3" s="1"/>
  <c r="AE313" i="3" s="1"/>
  <c r="G313" i="3"/>
  <c r="F313" i="3" l="1"/>
  <c r="I313" i="3"/>
  <c r="J313" i="3"/>
  <c r="M313" i="3"/>
  <c r="N313" i="3" s="1"/>
  <c r="V313" i="3"/>
  <c r="A314" i="3"/>
  <c r="B314" i="3" s="1"/>
  <c r="Z314" i="3" l="1"/>
  <c r="AC314" i="3"/>
  <c r="AA314" i="3"/>
  <c r="P314" i="3"/>
  <c r="Q314" i="3" s="1"/>
  <c r="R314" i="3" s="1"/>
  <c r="S314" i="3" s="1"/>
  <c r="L313" i="3"/>
  <c r="W313" i="3"/>
  <c r="U313" i="3" l="1"/>
  <c r="Y312" i="3"/>
  <c r="T314" i="3"/>
  <c r="D314" i="3" l="1"/>
  <c r="G314" i="3" s="1"/>
  <c r="AG314" i="3"/>
  <c r="AH314" i="3"/>
  <c r="E314" i="3"/>
  <c r="H314" i="3" s="1"/>
  <c r="F314" i="3" l="1"/>
  <c r="I314" i="3"/>
  <c r="J314" i="3"/>
  <c r="AD314" i="3" s="1"/>
  <c r="M314" i="3"/>
  <c r="N314" i="3" s="1"/>
  <c r="K314" i="3"/>
  <c r="AE314" i="3" s="1"/>
  <c r="V314" i="3" l="1"/>
  <c r="W314" i="3" s="1"/>
  <c r="A315" i="3"/>
  <c r="B315" i="3" s="1"/>
  <c r="L314" i="3"/>
  <c r="U314" i="3" l="1"/>
  <c r="Y313" i="3"/>
  <c r="Z315" i="3"/>
  <c r="P315" i="3"/>
  <c r="Q315" i="3" s="1"/>
  <c r="R315" i="3" s="1"/>
  <c r="S315" i="3" s="1"/>
  <c r="AD315" i="3"/>
  <c r="AA315" i="3"/>
  <c r="AC315" i="3"/>
  <c r="T315" i="3" l="1"/>
  <c r="D315" i="3" s="1"/>
  <c r="AH315" i="3" l="1"/>
  <c r="AG315" i="3"/>
  <c r="E315" i="3"/>
  <c r="H315" i="3" s="1"/>
  <c r="K315" i="3" s="1"/>
  <c r="AE315" i="3" s="1"/>
  <c r="G315" i="3"/>
  <c r="F315" i="3" l="1"/>
  <c r="I315" i="3"/>
  <c r="J315" i="3"/>
  <c r="M315" i="3"/>
  <c r="N315" i="3" s="1"/>
  <c r="V315" i="3"/>
  <c r="A316" i="3"/>
  <c r="B316" i="3" s="1"/>
  <c r="W315" i="3" l="1"/>
  <c r="L315" i="3"/>
  <c r="Z316" i="3"/>
  <c r="AC316" i="3"/>
  <c r="P316" i="3"/>
  <c r="Q316" i="3" s="1"/>
  <c r="R316" i="3" s="1"/>
  <c r="S316" i="3" s="1"/>
  <c r="AD316" i="3"/>
  <c r="AA316" i="3"/>
  <c r="U315" i="3" l="1"/>
  <c r="Y314" i="3"/>
  <c r="T316" i="3"/>
  <c r="AG316" i="3" s="1"/>
  <c r="D316" i="3" l="1"/>
  <c r="AH316" i="3"/>
  <c r="E316" i="3"/>
  <c r="H316" i="3" s="1"/>
  <c r="F316" i="3" l="1"/>
  <c r="G316" i="3"/>
  <c r="K316" i="3"/>
  <c r="AE316" i="3" s="1"/>
  <c r="V316" i="3" l="1"/>
  <c r="A317" i="3"/>
  <c r="B317" i="3" s="1"/>
  <c r="I316" i="3"/>
  <c r="J316" i="3"/>
  <c r="M316" i="3"/>
  <c r="N316" i="3" s="1"/>
  <c r="W316" i="3" l="1"/>
  <c r="L316" i="3"/>
  <c r="Z317" i="3"/>
  <c r="AA317" i="3"/>
  <c r="P317" i="3"/>
  <c r="Q317" i="3" s="1"/>
  <c r="R317" i="3" s="1"/>
  <c r="S317" i="3" s="1"/>
  <c r="AD317" i="3"/>
  <c r="AC317" i="3"/>
  <c r="T317" i="3" l="1"/>
  <c r="AG317" i="3" s="1"/>
  <c r="U316" i="3"/>
  <c r="Y315" i="3"/>
  <c r="E317" i="3" l="1"/>
  <c r="H317" i="3" s="1"/>
  <c r="K317" i="3" s="1"/>
  <c r="AE317" i="3" s="1"/>
  <c r="D317" i="3"/>
  <c r="AH317" i="3"/>
  <c r="V317" i="3" l="1"/>
  <c r="A318" i="3"/>
  <c r="B318" i="3" s="1"/>
  <c r="F317" i="3"/>
  <c r="G317" i="3"/>
  <c r="I317" i="3" l="1"/>
  <c r="W317" i="3" s="1"/>
  <c r="J317" i="3"/>
  <c r="M317" i="3"/>
  <c r="N317" i="3" s="1"/>
  <c r="AA318" i="3"/>
  <c r="P318" i="3"/>
  <c r="Q318" i="3" s="1"/>
  <c r="R318" i="3" s="1"/>
  <c r="S318" i="3" s="1"/>
  <c r="Z318" i="3"/>
  <c r="AC318" i="3"/>
  <c r="AD318" i="3"/>
  <c r="T318" i="3" l="1"/>
  <c r="L317" i="3"/>
  <c r="AH318" i="3" l="1"/>
  <c r="AG318" i="3"/>
  <c r="U317" i="3"/>
  <c r="E318" i="3" s="1"/>
  <c r="H318" i="3" s="1"/>
  <c r="Y316" i="3"/>
  <c r="K318" i="3" l="1"/>
  <c r="AE318" i="3" s="1"/>
  <c r="D318" i="3"/>
  <c r="V318" i="3" l="1"/>
  <c r="A319" i="3"/>
  <c r="B319" i="3" s="1"/>
  <c r="F318" i="3"/>
  <c r="G318" i="3"/>
  <c r="I318" i="3" l="1"/>
  <c r="W318" i="3" s="1"/>
  <c r="J318" i="3"/>
  <c r="M318" i="3"/>
  <c r="N318" i="3" s="1"/>
  <c r="Z319" i="3"/>
  <c r="AC319" i="3"/>
  <c r="P319" i="3"/>
  <c r="Q319" i="3" s="1"/>
  <c r="R319" i="3" s="1"/>
  <c r="S319" i="3" s="1"/>
  <c r="AD319" i="3"/>
  <c r="AA319" i="3"/>
  <c r="T319" i="3" l="1"/>
  <c r="L318" i="3"/>
  <c r="U318" i="3" l="1"/>
  <c r="E319" i="3" s="1"/>
  <c r="H319" i="3" s="1"/>
  <c r="AH319" i="3"/>
  <c r="AG319" i="3"/>
  <c r="Y317" i="3"/>
  <c r="D319" i="3" l="1"/>
  <c r="G319" i="3" s="1"/>
  <c r="K319" i="3"/>
  <c r="AE319" i="3" s="1"/>
  <c r="F319" i="3" l="1"/>
  <c r="V319" i="3"/>
  <c r="A320" i="3"/>
  <c r="B320" i="3" s="1"/>
  <c r="I319" i="3"/>
  <c r="J319" i="3"/>
  <c r="M319" i="3"/>
  <c r="N319" i="3" s="1"/>
  <c r="L319" i="3" l="1"/>
  <c r="W319" i="3"/>
  <c r="AA320" i="3"/>
  <c r="AC320" i="3"/>
  <c r="P320" i="3"/>
  <c r="Q320" i="3" s="1"/>
  <c r="R320" i="3" s="1"/>
  <c r="S320" i="3" s="1"/>
  <c r="Z320" i="3"/>
  <c r="AD320" i="3"/>
  <c r="U319" i="3" l="1"/>
  <c r="Y318" i="3"/>
  <c r="T320" i="3"/>
  <c r="AH320" i="3" s="1"/>
  <c r="D320" i="3" l="1"/>
  <c r="AG320" i="3"/>
  <c r="E320" i="3"/>
  <c r="H320" i="3" s="1"/>
  <c r="F320" i="3" l="1"/>
  <c r="G320" i="3"/>
  <c r="K320" i="3"/>
  <c r="AE320" i="3" s="1"/>
  <c r="I320" i="3" l="1"/>
  <c r="J320" i="3"/>
  <c r="M320" i="3"/>
  <c r="N320" i="3" s="1"/>
  <c r="V320" i="3"/>
  <c r="A321" i="3"/>
  <c r="B321" i="3" s="1"/>
  <c r="W320" i="3" l="1"/>
  <c r="L320" i="3"/>
  <c r="AC321" i="3"/>
  <c r="AA321" i="3"/>
  <c r="Z321" i="3"/>
  <c r="P321" i="3"/>
  <c r="Q321" i="3" s="1"/>
  <c r="R321" i="3" s="1"/>
  <c r="S321" i="3" s="1"/>
  <c r="AD321" i="3"/>
  <c r="U320" i="3" l="1"/>
  <c r="Y319" i="3"/>
  <c r="T321" i="3"/>
  <c r="D321" i="3" l="1"/>
  <c r="G321" i="3" s="1"/>
  <c r="AH321" i="3"/>
  <c r="E321" i="3"/>
  <c r="H321" i="3" s="1"/>
  <c r="AG321" i="3"/>
  <c r="F321" i="3" l="1"/>
  <c r="I321" i="3"/>
  <c r="J321" i="3"/>
  <c r="M321" i="3"/>
  <c r="N321" i="3" s="1"/>
  <c r="K321" i="3"/>
  <c r="AE321" i="3" s="1"/>
  <c r="V321" i="3" l="1"/>
  <c r="W321" i="3" s="1"/>
  <c r="A322" i="3"/>
  <c r="B322" i="3" s="1"/>
  <c r="L321" i="3"/>
  <c r="U321" i="3" l="1"/>
  <c r="Y320" i="3"/>
  <c r="P322" i="3"/>
  <c r="Q322" i="3" s="1"/>
  <c r="R322" i="3" s="1"/>
  <c r="S322" i="3" s="1"/>
  <c r="Z322" i="3"/>
  <c r="AC322" i="3"/>
  <c r="AD322" i="3"/>
  <c r="AA322" i="3"/>
  <c r="T322" i="3" l="1"/>
  <c r="AH322" i="3" s="1"/>
  <c r="E322" i="3" l="1"/>
  <c r="H322" i="3" s="1"/>
  <c r="K322" i="3" s="1"/>
  <c r="AE322" i="3" s="1"/>
  <c r="AG322" i="3"/>
  <c r="D322" i="3"/>
  <c r="V322" i="3" l="1"/>
  <c r="A323" i="3"/>
  <c r="B323" i="3" s="1"/>
  <c r="F322" i="3"/>
  <c r="G322" i="3"/>
  <c r="I322" i="3" l="1"/>
  <c r="W322" i="3" s="1"/>
  <c r="J322" i="3"/>
  <c r="M322" i="3"/>
  <c r="N322" i="3" s="1"/>
  <c r="P323" i="3"/>
  <c r="Q323" i="3" s="1"/>
  <c r="R323" i="3" s="1"/>
  <c r="S323" i="3" s="1"/>
  <c r="AA323" i="3"/>
  <c r="Z323" i="3"/>
  <c r="AD323" i="3"/>
  <c r="AC323" i="3"/>
  <c r="T323" i="3" l="1"/>
  <c r="L322" i="3"/>
  <c r="AH323" i="3" l="1"/>
  <c r="U322" i="3"/>
  <c r="D323" i="3" s="1"/>
  <c r="AG323" i="3"/>
  <c r="Y321" i="3"/>
  <c r="G323" i="3" l="1"/>
  <c r="E323" i="3"/>
  <c r="H323" i="3" s="1"/>
  <c r="F323" i="3" l="1"/>
  <c r="K323" i="3"/>
  <c r="AE323" i="3" s="1"/>
  <c r="I323" i="3"/>
  <c r="J323" i="3"/>
  <c r="M323" i="3"/>
  <c r="N323" i="3" s="1"/>
  <c r="L323" i="3" l="1"/>
  <c r="V323" i="3"/>
  <c r="W323" i="3" s="1"/>
  <c r="A324" i="3"/>
  <c r="B324" i="3" s="1"/>
  <c r="U323" i="3" l="1"/>
  <c r="Y322" i="3"/>
  <c r="Z324" i="3"/>
  <c r="P324" i="3"/>
  <c r="Q324" i="3" s="1"/>
  <c r="R324" i="3" s="1"/>
  <c r="S324" i="3" s="1"/>
  <c r="AA324" i="3"/>
  <c r="AC324" i="3"/>
  <c r="T324" i="3" l="1"/>
  <c r="AG324" i="3" s="1"/>
  <c r="E324" i="3" l="1"/>
  <c r="H324" i="3" s="1"/>
  <c r="K324" i="3" s="1"/>
  <c r="AE324" i="3" s="1"/>
  <c r="AH324" i="3"/>
  <c r="D324" i="3"/>
  <c r="V324" i="3" l="1"/>
  <c r="A325" i="3"/>
  <c r="B325" i="3" s="1"/>
  <c r="F324" i="3"/>
  <c r="G324" i="3"/>
  <c r="I324" i="3" l="1"/>
  <c r="W324" i="3" s="1"/>
  <c r="J324" i="3"/>
  <c r="AD324" i="3" s="1"/>
  <c r="M324" i="3"/>
  <c r="N324" i="3" s="1"/>
  <c r="P325" i="3"/>
  <c r="Q325" i="3" s="1"/>
  <c r="R325" i="3" s="1"/>
  <c r="S325" i="3" s="1"/>
  <c r="AC325" i="3"/>
  <c r="Z325" i="3"/>
  <c r="AA325" i="3"/>
  <c r="T325" i="3" l="1"/>
  <c r="L324" i="3"/>
  <c r="AG325" i="3" l="1"/>
  <c r="U324" i="3"/>
  <c r="D325" i="3" s="1"/>
  <c r="AH325" i="3"/>
  <c r="Y323" i="3"/>
  <c r="E325" i="3" l="1"/>
  <c r="H325" i="3" s="1"/>
  <c r="K325" i="3" s="1"/>
  <c r="AE325" i="3" s="1"/>
  <c r="G325" i="3"/>
  <c r="F325" i="3" l="1"/>
  <c r="V325" i="3"/>
  <c r="A326" i="3"/>
  <c r="B326" i="3" s="1"/>
  <c r="I325" i="3"/>
  <c r="J325" i="3"/>
  <c r="AD325" i="3" s="1"/>
  <c r="M325" i="3"/>
  <c r="N325" i="3" s="1"/>
  <c r="L325" i="3" l="1"/>
  <c r="W325" i="3"/>
  <c r="P326" i="3"/>
  <c r="Q326" i="3" s="1"/>
  <c r="R326" i="3" s="1"/>
  <c r="S326" i="3" s="1"/>
  <c r="AA326" i="3"/>
  <c r="AC326" i="3"/>
  <c r="Z326" i="3"/>
  <c r="U325" i="3" l="1"/>
  <c r="Y324" i="3"/>
  <c r="T326" i="3"/>
  <c r="AH326" i="3" s="1"/>
  <c r="E326" i="3" l="1"/>
  <c r="H326" i="3" s="1"/>
  <c r="K326" i="3" s="1"/>
  <c r="AE326" i="3" s="1"/>
  <c r="AG326" i="3"/>
  <c r="D326" i="3"/>
  <c r="G326" i="3" s="1"/>
  <c r="F326" i="3" l="1"/>
  <c r="I326" i="3"/>
  <c r="J326" i="3"/>
  <c r="AD326" i="3" s="1"/>
  <c r="M326" i="3"/>
  <c r="N326" i="3" s="1"/>
  <c r="V326" i="3"/>
  <c r="A327" i="3"/>
  <c r="B327" i="3" s="1"/>
  <c r="W326" i="3" l="1"/>
  <c r="L326" i="3"/>
  <c r="Z327" i="3"/>
  <c r="AA327" i="3"/>
  <c r="P327" i="3"/>
  <c r="Q327" i="3" s="1"/>
  <c r="R327" i="3" s="1"/>
  <c r="S327" i="3" s="1"/>
  <c r="AC327" i="3"/>
  <c r="U326" i="3" l="1"/>
  <c r="Y325" i="3"/>
  <c r="T327" i="3"/>
  <c r="AH327" i="3" s="1"/>
  <c r="E327" i="3" l="1"/>
  <c r="H327" i="3" s="1"/>
  <c r="K327" i="3" s="1"/>
  <c r="AE327" i="3" s="1"/>
  <c r="D327" i="3"/>
  <c r="AG327" i="3"/>
  <c r="F327" i="3" l="1"/>
  <c r="G327" i="3"/>
  <c r="M327" i="3" s="1"/>
  <c r="N327" i="3" s="1"/>
  <c r="V327" i="3"/>
  <c r="A328" i="3"/>
  <c r="B328" i="3" s="1"/>
  <c r="I327" i="3" l="1"/>
  <c r="W327" i="3" s="1"/>
  <c r="J327" i="3"/>
  <c r="Z328" i="3"/>
  <c r="P328" i="3"/>
  <c r="Q328" i="3" s="1"/>
  <c r="R328" i="3" s="1"/>
  <c r="S328" i="3" s="1"/>
  <c r="AA328" i="3"/>
  <c r="AC328" i="3"/>
  <c r="L327" i="3" l="1"/>
  <c r="U327" i="3" s="1"/>
  <c r="AD327" i="3"/>
  <c r="T328" i="3"/>
  <c r="AG328" i="3" l="1"/>
  <c r="Y326" i="3"/>
  <c r="AH328" i="3"/>
  <c r="E328" i="3"/>
  <c r="H328" i="3" s="1"/>
  <c r="K328" i="3" s="1"/>
  <c r="AE328" i="3" s="1"/>
  <c r="D328" i="3"/>
  <c r="V328" i="3" l="1"/>
  <c r="A329" i="3"/>
  <c r="B329" i="3" s="1"/>
  <c r="F328" i="3"/>
  <c r="G328" i="3"/>
  <c r="I328" i="3" l="1"/>
  <c r="W328" i="3" s="1"/>
  <c r="J328" i="3"/>
  <c r="AD328" i="3" s="1"/>
  <c r="M328" i="3"/>
  <c r="N328" i="3" s="1"/>
  <c r="P329" i="3"/>
  <c r="Q329" i="3" s="1"/>
  <c r="R329" i="3" s="1"/>
  <c r="S329" i="3" s="1"/>
  <c r="Z329" i="3"/>
  <c r="AC329" i="3"/>
  <c r="AA329" i="3"/>
  <c r="T329" i="3" l="1"/>
  <c r="L328" i="3"/>
  <c r="AH329" i="3" l="1"/>
  <c r="U328" i="3"/>
  <c r="D329" i="3" s="1"/>
  <c r="AG329" i="3"/>
  <c r="Y327" i="3"/>
  <c r="E329" i="3" l="1"/>
  <c r="H329" i="3" s="1"/>
  <c r="K329" i="3" s="1"/>
  <c r="AE329" i="3" s="1"/>
  <c r="G329" i="3"/>
  <c r="F329" i="3" l="1"/>
  <c r="I329" i="3"/>
  <c r="J329" i="3"/>
  <c r="AD329" i="3" s="1"/>
  <c r="M329" i="3"/>
  <c r="N329" i="3" s="1"/>
  <c r="V329" i="3"/>
  <c r="A330" i="3"/>
  <c r="B330" i="3" s="1"/>
  <c r="W329" i="3" l="1"/>
  <c r="L329" i="3"/>
  <c r="AA330" i="3"/>
  <c r="AC330" i="3"/>
  <c r="P330" i="3"/>
  <c r="Q330" i="3" s="1"/>
  <c r="R330" i="3" s="1"/>
  <c r="S330" i="3" s="1"/>
  <c r="Z330" i="3"/>
  <c r="U329" i="3" l="1"/>
  <c r="Y328" i="3"/>
  <c r="T330" i="3"/>
  <c r="AH330" i="3" s="1"/>
  <c r="AG330" i="3" l="1"/>
  <c r="E330" i="3"/>
  <c r="H330" i="3" s="1"/>
  <c r="D330" i="3"/>
  <c r="K330" i="3" l="1"/>
  <c r="AE330" i="3" s="1"/>
  <c r="F330" i="3"/>
  <c r="G330" i="3"/>
  <c r="I330" i="3" l="1"/>
  <c r="J330" i="3"/>
  <c r="AD330" i="3" s="1"/>
  <c r="M330" i="3"/>
  <c r="N330" i="3" s="1"/>
  <c r="V330" i="3"/>
  <c r="A331" i="3"/>
  <c r="B331" i="3" s="1"/>
  <c r="W330" i="3" l="1"/>
  <c r="L330" i="3"/>
  <c r="P331" i="3"/>
  <c r="Q331" i="3" s="1"/>
  <c r="R331" i="3" s="1"/>
  <c r="S331" i="3" s="1"/>
  <c r="AA331" i="3"/>
  <c r="AC331" i="3"/>
  <c r="Z331" i="3"/>
  <c r="U330" i="3" l="1"/>
  <c r="Y329" i="3"/>
  <c r="T331" i="3"/>
  <c r="D331" i="3" l="1"/>
  <c r="G331" i="3" s="1"/>
  <c r="AH331" i="3"/>
  <c r="AG331" i="3"/>
  <c r="E331" i="3"/>
  <c r="H331" i="3" s="1"/>
  <c r="F331" i="3" l="1"/>
  <c r="I331" i="3"/>
  <c r="J331" i="3"/>
  <c r="AD331" i="3" s="1"/>
  <c r="M331" i="3"/>
  <c r="N331" i="3" s="1"/>
  <c r="K331" i="3"/>
  <c r="AE331" i="3" s="1"/>
  <c r="V331" i="3" l="1"/>
  <c r="W331" i="3" s="1"/>
  <c r="A332" i="3"/>
  <c r="B332" i="3" s="1"/>
  <c r="L331" i="3"/>
  <c r="U331" i="3" l="1"/>
  <c r="Y330" i="3"/>
  <c r="AA332" i="3"/>
  <c r="Z332" i="3"/>
  <c r="AC332" i="3"/>
  <c r="P332" i="3"/>
  <c r="Q332" i="3" s="1"/>
  <c r="R332" i="3" s="1"/>
  <c r="S332" i="3" s="1"/>
  <c r="T332" i="3" l="1"/>
  <c r="AG332" i="3" s="1"/>
  <c r="E332" i="3" l="1"/>
  <c r="H332" i="3" s="1"/>
  <c r="K332" i="3" s="1"/>
  <c r="AE332" i="3" s="1"/>
  <c r="D332" i="3"/>
  <c r="AH332" i="3"/>
  <c r="V332" i="3" l="1"/>
  <c r="A333" i="3"/>
  <c r="B333" i="3" s="1"/>
  <c r="F332" i="3"/>
  <c r="G332" i="3"/>
  <c r="I332" i="3" l="1"/>
  <c r="W332" i="3" s="1"/>
  <c r="J332" i="3"/>
  <c r="AD332" i="3" s="1"/>
  <c r="M332" i="3"/>
  <c r="N332" i="3" s="1"/>
  <c r="AA333" i="3"/>
  <c r="P333" i="3"/>
  <c r="Q333" i="3" s="1"/>
  <c r="R333" i="3" s="1"/>
  <c r="S333" i="3" s="1"/>
  <c r="Z333" i="3"/>
  <c r="AC333" i="3"/>
  <c r="T333" i="3" l="1"/>
  <c r="L332" i="3"/>
  <c r="AH333" i="3" l="1"/>
  <c r="AG333" i="3"/>
  <c r="U332" i="3"/>
  <c r="D333" i="3" s="1"/>
  <c r="Y331" i="3"/>
  <c r="E333" i="3" l="1"/>
  <c r="H333" i="3" s="1"/>
  <c r="K333" i="3" s="1"/>
  <c r="AE333" i="3" s="1"/>
  <c r="G333" i="3"/>
  <c r="F333" i="3" l="1"/>
  <c r="I333" i="3"/>
  <c r="J333" i="3"/>
  <c r="AD333" i="3" s="1"/>
  <c r="M333" i="3"/>
  <c r="N333" i="3" s="1"/>
  <c r="V333" i="3"/>
  <c r="A334" i="3"/>
  <c r="B334" i="3" s="1"/>
  <c r="W333" i="3" l="1"/>
  <c r="L333" i="3"/>
  <c r="AA334" i="3"/>
  <c r="P334" i="3"/>
  <c r="Q334" i="3" s="1"/>
  <c r="R334" i="3" s="1"/>
  <c r="S334" i="3" s="1"/>
  <c r="Z334" i="3"/>
  <c r="AC334" i="3"/>
  <c r="T334" i="3" l="1"/>
  <c r="AH334" i="3" s="1"/>
  <c r="U333" i="3"/>
  <c r="Y332" i="3"/>
  <c r="D334" i="3" l="1"/>
  <c r="G334" i="3" s="1"/>
  <c r="E334" i="3"/>
  <c r="H334" i="3" s="1"/>
  <c r="AG334" i="3"/>
  <c r="F334" i="3" l="1"/>
  <c r="I334" i="3"/>
  <c r="J334" i="3"/>
  <c r="AD334" i="3" s="1"/>
  <c r="M334" i="3"/>
  <c r="N334" i="3" s="1"/>
  <c r="K334" i="3"/>
  <c r="AE334" i="3" s="1"/>
  <c r="L334" i="3" l="1"/>
  <c r="V334" i="3"/>
  <c r="W334" i="3" s="1"/>
  <c r="A335" i="3"/>
  <c r="B335" i="3" s="1"/>
  <c r="U334" i="3" l="1"/>
  <c r="Y333" i="3"/>
  <c r="AC335" i="3"/>
  <c r="P335" i="3"/>
  <c r="Q335" i="3" s="1"/>
  <c r="R335" i="3" s="1"/>
  <c r="S335" i="3" s="1"/>
  <c r="AA335" i="3"/>
  <c r="Z335" i="3"/>
  <c r="T335" i="3" l="1"/>
  <c r="AG335" i="3" s="1"/>
  <c r="AH335" i="3" l="1"/>
  <c r="D335" i="3"/>
  <c r="E335" i="3"/>
  <c r="H335" i="3" s="1"/>
  <c r="F335" i="3" l="1"/>
  <c r="G335" i="3"/>
  <c r="K335" i="3"/>
  <c r="AE335" i="3" s="1"/>
  <c r="I335" i="3" l="1"/>
  <c r="J335" i="3"/>
  <c r="AD335" i="3" s="1"/>
  <c r="M335" i="3"/>
  <c r="N335" i="3" s="1"/>
  <c r="V335" i="3"/>
  <c r="A336" i="3"/>
  <c r="B336" i="3" s="1"/>
  <c r="W335" i="3" l="1"/>
  <c r="L335" i="3"/>
  <c r="AA336" i="3"/>
  <c r="P336" i="3"/>
  <c r="Q336" i="3" s="1"/>
  <c r="R336" i="3" s="1"/>
  <c r="S336" i="3" s="1"/>
  <c r="AC336" i="3"/>
  <c r="Z336" i="3"/>
  <c r="T336" i="3" l="1"/>
  <c r="AG336" i="3" s="1"/>
  <c r="U335" i="3"/>
  <c r="Y334" i="3"/>
  <c r="E336" i="3" l="1"/>
  <c r="H336" i="3" s="1"/>
  <c r="D336" i="3"/>
  <c r="AH336" i="3"/>
  <c r="K336" i="3" l="1"/>
  <c r="AE336" i="3" s="1"/>
  <c r="F336" i="3"/>
  <c r="G336" i="3"/>
  <c r="I336" i="3" l="1"/>
  <c r="J336" i="3"/>
  <c r="AD336" i="3" s="1"/>
  <c r="M336" i="3"/>
  <c r="N336" i="3" s="1"/>
  <c r="V336" i="3"/>
  <c r="A337" i="3"/>
  <c r="B337" i="3" s="1"/>
  <c r="W336" i="3" l="1"/>
  <c r="P337" i="3"/>
  <c r="Q337" i="3" s="1"/>
  <c r="R337" i="3" s="1"/>
  <c r="S337" i="3" s="1"/>
  <c r="AC337" i="3"/>
  <c r="AA337" i="3"/>
  <c r="Z337" i="3"/>
  <c r="L336" i="3"/>
  <c r="T337" i="3" l="1"/>
  <c r="U336" i="3"/>
  <c r="Y335" i="3"/>
  <c r="E337" i="3" l="1"/>
  <c r="H337" i="3" s="1"/>
  <c r="K337" i="3" s="1"/>
  <c r="AE337" i="3" s="1"/>
  <c r="AH337" i="3"/>
  <c r="AG337" i="3"/>
  <c r="D337" i="3"/>
  <c r="V337" i="3" l="1"/>
  <c r="A338" i="3"/>
  <c r="B338" i="3" s="1"/>
  <c r="F337" i="3"/>
  <c r="G337" i="3"/>
  <c r="I337" i="3" l="1"/>
  <c r="W337" i="3" s="1"/>
  <c r="J337" i="3"/>
  <c r="AD337" i="3" s="1"/>
  <c r="M337" i="3"/>
  <c r="N337" i="3" s="1"/>
  <c r="P338" i="3"/>
  <c r="Q338" i="3" s="1"/>
  <c r="R338" i="3" s="1"/>
  <c r="S338" i="3" s="1"/>
  <c r="Z338" i="3"/>
  <c r="AC338" i="3"/>
  <c r="AA338" i="3"/>
  <c r="T338" i="3" l="1"/>
  <c r="L337" i="3"/>
  <c r="AH338" i="3" l="1"/>
  <c r="U337" i="3"/>
  <c r="E338" i="3" s="1"/>
  <c r="H338" i="3" s="1"/>
  <c r="AG338" i="3"/>
  <c r="Y336" i="3"/>
  <c r="D338" i="3" l="1"/>
  <c r="F338" i="3" s="1"/>
  <c r="K338" i="3"/>
  <c r="AE338" i="3" s="1"/>
  <c r="G338" i="3" l="1"/>
  <c r="M338" i="3" s="1"/>
  <c r="N338" i="3" s="1"/>
  <c r="V338" i="3"/>
  <c r="A339" i="3"/>
  <c r="B339" i="3" s="1"/>
  <c r="I338" i="3" l="1"/>
  <c r="W338" i="3" s="1"/>
  <c r="J338" i="3"/>
  <c r="Z339" i="3"/>
  <c r="P339" i="3"/>
  <c r="Q339" i="3" s="1"/>
  <c r="R339" i="3" s="1"/>
  <c r="S339" i="3" s="1"/>
  <c r="AA339" i="3"/>
  <c r="AC339" i="3"/>
  <c r="L338" i="3" l="1"/>
  <c r="U338" i="3" s="1"/>
  <c r="AD338" i="3"/>
  <c r="T339" i="3"/>
  <c r="Y337" i="3" l="1"/>
  <c r="AG339" i="3"/>
  <c r="AH339" i="3"/>
  <c r="E339" i="3"/>
  <c r="H339" i="3" s="1"/>
  <c r="D339" i="3"/>
  <c r="K339" i="3" l="1"/>
  <c r="AE339" i="3" s="1"/>
  <c r="F339" i="3"/>
  <c r="G339" i="3"/>
  <c r="V339" i="3" l="1"/>
  <c r="A340" i="3"/>
  <c r="B340" i="3" s="1"/>
  <c r="I339" i="3"/>
  <c r="J339" i="3"/>
  <c r="AD339" i="3" s="1"/>
  <c r="M339" i="3"/>
  <c r="N339" i="3" s="1"/>
  <c r="W339" i="3" l="1"/>
  <c r="L339" i="3"/>
  <c r="Z340" i="3"/>
  <c r="P340" i="3"/>
  <c r="Q340" i="3" s="1"/>
  <c r="R340" i="3" s="1"/>
  <c r="S340" i="3" s="1"/>
  <c r="AC340" i="3"/>
  <c r="AA340" i="3"/>
  <c r="T340" i="3" l="1"/>
  <c r="U339" i="3"/>
  <c r="Y338" i="3"/>
  <c r="D340" i="3" l="1"/>
  <c r="G340" i="3" s="1"/>
  <c r="E340" i="3"/>
  <c r="H340" i="3" s="1"/>
  <c r="K340" i="3" s="1"/>
  <c r="AE340" i="3" s="1"/>
  <c r="AH340" i="3"/>
  <c r="AG340" i="3"/>
  <c r="F340" i="3" l="1"/>
  <c r="V340" i="3"/>
  <c r="A341" i="3"/>
  <c r="B341" i="3" s="1"/>
  <c r="I340" i="3"/>
  <c r="J340" i="3"/>
  <c r="AD340" i="3" s="1"/>
  <c r="M340" i="3"/>
  <c r="N340" i="3" s="1"/>
  <c r="W340" i="3" l="1"/>
  <c r="L340" i="3"/>
  <c r="Z341" i="3"/>
  <c r="P341" i="3"/>
  <c r="Q341" i="3" s="1"/>
  <c r="R341" i="3" s="1"/>
  <c r="S341" i="3" s="1"/>
  <c r="AA341" i="3"/>
  <c r="AC341" i="3"/>
  <c r="U340" i="3" l="1"/>
  <c r="Y339" i="3"/>
  <c r="T341" i="3"/>
  <c r="AG341" i="3" s="1"/>
  <c r="D341" i="3" l="1"/>
  <c r="AH341" i="3"/>
  <c r="E341" i="3"/>
  <c r="H341" i="3" s="1"/>
  <c r="F341" i="3" l="1"/>
  <c r="G341" i="3"/>
  <c r="K341" i="3"/>
  <c r="AE341" i="3" s="1"/>
  <c r="I341" i="3" l="1"/>
  <c r="J341" i="3"/>
  <c r="AD341" i="3" s="1"/>
  <c r="M341" i="3"/>
  <c r="N341" i="3" s="1"/>
  <c r="V341" i="3"/>
  <c r="A342" i="3"/>
  <c r="B342" i="3" s="1"/>
  <c r="L341" i="3" l="1"/>
  <c r="W341" i="3"/>
  <c r="Z342" i="3"/>
  <c r="P342" i="3"/>
  <c r="Q342" i="3" s="1"/>
  <c r="R342" i="3" s="1"/>
  <c r="S342" i="3" s="1"/>
  <c r="AA342" i="3"/>
  <c r="AC342" i="3"/>
  <c r="U341" i="3" l="1"/>
  <c r="Y340" i="3"/>
  <c r="T342" i="3"/>
  <c r="D342" i="3" l="1"/>
  <c r="G342" i="3" s="1"/>
  <c r="AH342" i="3"/>
  <c r="E342" i="3"/>
  <c r="H342" i="3" s="1"/>
  <c r="AG342" i="3"/>
  <c r="F342" i="3" l="1"/>
  <c r="I342" i="3"/>
  <c r="J342" i="3"/>
  <c r="AD342" i="3" s="1"/>
  <c r="M342" i="3"/>
  <c r="N342" i="3" s="1"/>
  <c r="K342" i="3"/>
  <c r="AE342" i="3" s="1"/>
  <c r="V342" i="3" l="1"/>
  <c r="W342" i="3" s="1"/>
  <c r="A343" i="3"/>
  <c r="B343" i="3" s="1"/>
  <c r="L342" i="3"/>
  <c r="U342" i="3" l="1"/>
  <c r="Y341" i="3"/>
  <c r="P343" i="3"/>
  <c r="Q343" i="3" s="1"/>
  <c r="R343" i="3" s="1"/>
  <c r="S343" i="3" s="1"/>
  <c r="AA343" i="3"/>
  <c r="Z343" i="3"/>
  <c r="AC343" i="3"/>
  <c r="T343" i="3" l="1"/>
  <c r="D343" i="3" s="1"/>
  <c r="E343" i="3" l="1"/>
  <c r="H343" i="3" s="1"/>
  <c r="K343" i="3" s="1"/>
  <c r="AE343" i="3" s="1"/>
  <c r="G343" i="3"/>
  <c r="AG343" i="3"/>
  <c r="AH343" i="3"/>
  <c r="F343" i="3" l="1"/>
  <c r="I343" i="3"/>
  <c r="J343" i="3"/>
  <c r="AD343" i="3" s="1"/>
  <c r="M343" i="3"/>
  <c r="N343" i="3" s="1"/>
  <c r="V343" i="3"/>
  <c r="A344" i="3"/>
  <c r="B344" i="3" s="1"/>
  <c r="W343" i="3" l="1"/>
  <c r="L343" i="3"/>
  <c r="AA344" i="3"/>
  <c r="Z344" i="3"/>
  <c r="P344" i="3"/>
  <c r="Q344" i="3" s="1"/>
  <c r="R344" i="3" s="1"/>
  <c r="S344" i="3" s="1"/>
  <c r="AC344" i="3"/>
  <c r="U343" i="3" l="1"/>
  <c r="Y342" i="3"/>
  <c r="T344" i="3"/>
  <c r="AH344" i="3" s="1"/>
  <c r="AG344" i="3" l="1"/>
  <c r="E344" i="3"/>
  <c r="H344" i="3" s="1"/>
  <c r="D344" i="3"/>
  <c r="F344" i="3" l="1"/>
  <c r="G344" i="3"/>
  <c r="K344" i="3"/>
  <c r="AE344" i="3" s="1"/>
  <c r="I344" i="3" l="1"/>
  <c r="J344" i="3"/>
  <c r="AD344" i="3" s="1"/>
  <c r="M344" i="3"/>
  <c r="N344" i="3" s="1"/>
  <c r="V344" i="3"/>
  <c r="A345" i="3"/>
  <c r="B345" i="3" s="1"/>
  <c r="W344" i="3" l="1"/>
  <c r="P345" i="3"/>
  <c r="Q345" i="3" s="1"/>
  <c r="R345" i="3" s="1"/>
  <c r="S345" i="3" s="1"/>
  <c r="Z345" i="3"/>
  <c r="AC345" i="3"/>
  <c r="AD345" i="3"/>
  <c r="AA345" i="3"/>
  <c r="L344" i="3"/>
  <c r="T345" i="3" l="1"/>
  <c r="U344" i="3"/>
  <c r="Y343" i="3"/>
  <c r="E345" i="3" l="1"/>
  <c r="H345" i="3" s="1"/>
  <c r="K345" i="3" s="1"/>
  <c r="AE345" i="3" s="1"/>
  <c r="AH345" i="3"/>
  <c r="D345" i="3"/>
  <c r="AG345" i="3"/>
  <c r="F345" i="3" l="1"/>
  <c r="G345" i="3"/>
  <c r="V345" i="3"/>
  <c r="A346" i="3"/>
  <c r="B346" i="3" s="1"/>
  <c r="AD346" i="3" l="1"/>
  <c r="AC346" i="3"/>
  <c r="P346" i="3"/>
  <c r="Q346" i="3" s="1"/>
  <c r="R346" i="3" s="1"/>
  <c r="S346" i="3" s="1"/>
  <c r="AA346" i="3"/>
  <c r="Z346" i="3"/>
  <c r="I345" i="3"/>
  <c r="W345" i="3" s="1"/>
  <c r="J345" i="3"/>
  <c r="M345" i="3"/>
  <c r="N345" i="3" s="1"/>
  <c r="L345" i="3" l="1"/>
  <c r="T346" i="3"/>
  <c r="AH346" i="3" l="1"/>
  <c r="AG346" i="3"/>
  <c r="U345" i="3"/>
  <c r="D346" i="3" s="1"/>
  <c r="Y344" i="3"/>
  <c r="G346" i="3" l="1"/>
  <c r="E346" i="3"/>
  <c r="H346" i="3" s="1"/>
  <c r="F346" i="3" l="1"/>
  <c r="I346" i="3"/>
  <c r="J346" i="3"/>
  <c r="M346" i="3"/>
  <c r="N346" i="3" s="1"/>
  <c r="K346" i="3"/>
  <c r="AE346" i="3" s="1"/>
  <c r="V346" i="3" l="1"/>
  <c r="W346" i="3" s="1"/>
  <c r="A347" i="3"/>
  <c r="B347" i="3" s="1"/>
  <c r="L346" i="3"/>
  <c r="U346" i="3" l="1"/>
  <c r="Y345" i="3"/>
  <c r="AC347" i="3"/>
  <c r="Z347" i="3"/>
  <c r="AA347" i="3"/>
  <c r="P347" i="3"/>
  <c r="Q347" i="3" s="1"/>
  <c r="R347" i="3" s="1"/>
  <c r="S347" i="3" s="1"/>
  <c r="AD347" i="3"/>
  <c r="T347" i="3" l="1"/>
  <c r="E347" i="3" s="1"/>
  <c r="H347" i="3" s="1"/>
  <c r="K347" i="3" l="1"/>
  <c r="AE347" i="3" s="1"/>
  <c r="AH347" i="3"/>
  <c r="AG347" i="3"/>
  <c r="D347" i="3"/>
  <c r="F347" i="3" l="1"/>
  <c r="G347" i="3"/>
  <c r="V347" i="3"/>
  <c r="A348" i="3"/>
  <c r="B348" i="3" s="1"/>
  <c r="I347" i="3" l="1"/>
  <c r="W347" i="3" s="1"/>
  <c r="J347" i="3"/>
  <c r="M347" i="3"/>
  <c r="N347" i="3" s="1"/>
  <c r="AC348" i="3"/>
  <c r="AA348" i="3"/>
  <c r="P348" i="3"/>
  <c r="Q348" i="3" s="1"/>
  <c r="R348" i="3" s="1"/>
  <c r="S348" i="3" s="1"/>
  <c r="AD348" i="3"/>
  <c r="Z348" i="3"/>
  <c r="L347" i="3" l="1"/>
  <c r="T348" i="3"/>
  <c r="U347" i="3" l="1"/>
  <c r="D348" i="3" s="1"/>
  <c r="AH348" i="3"/>
  <c r="AG348" i="3"/>
  <c r="Y346" i="3"/>
  <c r="E348" i="3" l="1"/>
  <c r="H348" i="3" s="1"/>
  <c r="K348" i="3" s="1"/>
  <c r="AE348" i="3" s="1"/>
  <c r="G348" i="3"/>
  <c r="F348" i="3" l="1"/>
  <c r="I348" i="3"/>
  <c r="J348" i="3"/>
  <c r="M348" i="3"/>
  <c r="N348" i="3" s="1"/>
  <c r="V348" i="3"/>
  <c r="A349" i="3"/>
  <c r="B349" i="3" s="1"/>
  <c r="W348" i="3" l="1"/>
  <c r="L348" i="3"/>
  <c r="AC349" i="3"/>
  <c r="P349" i="3"/>
  <c r="Q349" i="3" s="1"/>
  <c r="R349" i="3" s="1"/>
  <c r="S349" i="3" s="1"/>
  <c r="AA349" i="3"/>
  <c r="Z349" i="3"/>
  <c r="AD349" i="3"/>
  <c r="U348" i="3" l="1"/>
  <c r="Y347" i="3"/>
  <c r="T349" i="3"/>
  <c r="AG349" i="3" s="1"/>
  <c r="E349" i="3" l="1"/>
  <c r="H349" i="3" s="1"/>
  <c r="K349" i="3" s="1"/>
  <c r="AE349" i="3" s="1"/>
  <c r="D349" i="3"/>
  <c r="AH349" i="3"/>
  <c r="V349" i="3" l="1"/>
  <c r="A350" i="3"/>
  <c r="B350" i="3" s="1"/>
  <c r="F349" i="3"/>
  <c r="G349" i="3"/>
  <c r="I349" i="3" l="1"/>
  <c r="W349" i="3" s="1"/>
  <c r="J349" i="3"/>
  <c r="M349" i="3"/>
  <c r="N349" i="3" s="1"/>
  <c r="AD350" i="3"/>
  <c r="P350" i="3"/>
  <c r="Q350" i="3" s="1"/>
  <c r="R350" i="3" s="1"/>
  <c r="S350" i="3" s="1"/>
  <c r="Z350" i="3"/>
  <c r="AC350" i="3"/>
  <c r="AA350" i="3"/>
  <c r="T350" i="3" l="1"/>
  <c r="L349" i="3"/>
  <c r="U349" i="3" l="1"/>
  <c r="D350" i="3" s="1"/>
  <c r="AG350" i="3"/>
  <c r="AH350" i="3"/>
  <c r="Y348" i="3"/>
  <c r="E350" i="3" l="1"/>
  <c r="H350" i="3" s="1"/>
  <c r="K350" i="3" s="1"/>
  <c r="AE350" i="3" s="1"/>
  <c r="G350" i="3"/>
  <c r="F350" i="3" l="1"/>
  <c r="V350" i="3"/>
  <c r="A351" i="3"/>
  <c r="B351" i="3" s="1"/>
  <c r="I350" i="3"/>
  <c r="J350" i="3"/>
  <c r="M350" i="3"/>
  <c r="N350" i="3" s="1"/>
  <c r="W350" i="3" l="1"/>
  <c r="L350" i="3"/>
  <c r="AA351" i="3"/>
  <c r="P351" i="3"/>
  <c r="Q351" i="3" s="1"/>
  <c r="R351" i="3" s="1"/>
  <c r="S351" i="3" s="1"/>
  <c r="Z351" i="3"/>
  <c r="AC351" i="3"/>
  <c r="AD351" i="3"/>
  <c r="U350" i="3" l="1"/>
  <c r="Y349" i="3"/>
  <c r="T351" i="3"/>
  <c r="D351" i="3" l="1"/>
  <c r="G351" i="3" s="1"/>
  <c r="AH351" i="3"/>
  <c r="E351" i="3"/>
  <c r="H351" i="3" s="1"/>
  <c r="K351" i="3" s="1"/>
  <c r="AE351" i="3" s="1"/>
  <c r="AG351" i="3"/>
  <c r="F351" i="3" l="1"/>
  <c r="V351" i="3"/>
  <c r="A352" i="3"/>
  <c r="B352" i="3" s="1"/>
  <c r="I351" i="3"/>
  <c r="J351" i="3"/>
  <c r="M351" i="3"/>
  <c r="N351" i="3" s="1"/>
  <c r="L351" i="3" l="1"/>
  <c r="W351" i="3"/>
  <c r="AC352" i="3"/>
  <c r="AD352" i="3"/>
  <c r="P352" i="3"/>
  <c r="Q352" i="3" s="1"/>
  <c r="R352" i="3" s="1"/>
  <c r="S352" i="3" s="1"/>
  <c r="AA352" i="3"/>
  <c r="Z352" i="3"/>
  <c r="U351" i="3" l="1"/>
  <c r="Y350" i="3"/>
  <c r="T352" i="3"/>
  <c r="E352" i="3" l="1"/>
  <c r="H352" i="3" s="1"/>
  <c r="K352" i="3" s="1"/>
  <c r="AE352" i="3" s="1"/>
  <c r="AH352" i="3"/>
  <c r="D352" i="3"/>
  <c r="AG352" i="3"/>
  <c r="F352" i="3" l="1"/>
  <c r="G352" i="3"/>
  <c r="V352" i="3"/>
  <c r="A353" i="3"/>
  <c r="B353" i="3" s="1"/>
  <c r="AC353" i="3" l="1"/>
  <c r="AD353" i="3"/>
  <c r="AA353" i="3"/>
  <c r="P353" i="3"/>
  <c r="Q353" i="3" s="1"/>
  <c r="R353" i="3" s="1"/>
  <c r="S353" i="3" s="1"/>
  <c r="Z353" i="3"/>
  <c r="I352" i="3"/>
  <c r="W352" i="3" s="1"/>
  <c r="J352" i="3"/>
  <c r="M352" i="3"/>
  <c r="N352" i="3" s="1"/>
  <c r="T353" i="3" l="1"/>
  <c r="L352" i="3"/>
  <c r="U352" i="3" l="1"/>
  <c r="D353" i="3" s="1"/>
  <c r="AH353" i="3"/>
  <c r="AG353" i="3"/>
  <c r="Y351" i="3"/>
  <c r="E353" i="3" l="1"/>
  <c r="H353" i="3" s="1"/>
  <c r="K353" i="3" s="1"/>
  <c r="AE353" i="3" s="1"/>
  <c r="G353" i="3"/>
  <c r="F353" i="3" l="1"/>
  <c r="I353" i="3"/>
  <c r="J353" i="3"/>
  <c r="M353" i="3"/>
  <c r="N353" i="3" s="1"/>
  <c r="V353" i="3"/>
  <c r="A354" i="3"/>
  <c r="B354" i="3" s="1"/>
  <c r="W353" i="3" l="1"/>
  <c r="L353" i="3"/>
  <c r="P354" i="3"/>
  <c r="Q354" i="3" s="1"/>
  <c r="R354" i="3" s="1"/>
  <c r="S354" i="3" s="1"/>
  <c r="AC354" i="3"/>
  <c r="Z354" i="3"/>
  <c r="AA354" i="3"/>
  <c r="U353" i="3" l="1"/>
  <c r="Y352" i="3"/>
  <c r="T354" i="3"/>
  <c r="AG354" i="3" s="1"/>
  <c r="D354" i="3" l="1"/>
  <c r="AH354" i="3"/>
  <c r="E354" i="3"/>
  <c r="H354" i="3" s="1"/>
  <c r="F354" i="3" l="1"/>
  <c r="G354" i="3"/>
  <c r="K354" i="3"/>
  <c r="AE354" i="3" s="1"/>
  <c r="V354" i="3" l="1"/>
  <c r="A355" i="3"/>
  <c r="B355" i="3" s="1"/>
  <c r="I354" i="3"/>
  <c r="J354" i="3"/>
  <c r="AD354" i="3" s="1"/>
  <c r="M354" i="3"/>
  <c r="N354" i="3" s="1"/>
  <c r="W354" i="3" l="1"/>
  <c r="L354" i="3"/>
  <c r="AA355" i="3"/>
  <c r="AC355" i="3"/>
  <c r="Z355" i="3"/>
  <c r="P355" i="3"/>
  <c r="Q355" i="3" s="1"/>
  <c r="R355" i="3" s="1"/>
  <c r="S355" i="3" s="1"/>
  <c r="T355" i="3" l="1"/>
  <c r="U354" i="3"/>
  <c r="Y353" i="3"/>
  <c r="D355" i="3" l="1"/>
  <c r="G355" i="3" s="1"/>
  <c r="AG355" i="3"/>
  <c r="E355" i="3"/>
  <c r="H355" i="3" s="1"/>
  <c r="K355" i="3" s="1"/>
  <c r="AE355" i="3" s="1"/>
  <c r="AH355" i="3"/>
  <c r="F355" i="3" l="1"/>
  <c r="V355" i="3"/>
  <c r="A356" i="3"/>
  <c r="B356" i="3" s="1"/>
  <c r="I355" i="3"/>
  <c r="J355" i="3"/>
  <c r="AD355" i="3" s="1"/>
  <c r="M355" i="3"/>
  <c r="N355" i="3" s="1"/>
  <c r="W355" i="3" l="1"/>
  <c r="L355" i="3"/>
  <c r="P356" i="3"/>
  <c r="Q356" i="3" s="1"/>
  <c r="R356" i="3" s="1"/>
  <c r="S356" i="3" s="1"/>
  <c r="AA356" i="3"/>
  <c r="Z356" i="3"/>
  <c r="AC356" i="3"/>
  <c r="U355" i="3" l="1"/>
  <c r="Y354" i="3"/>
  <c r="T356" i="3"/>
  <c r="AG356" i="3" s="1"/>
  <c r="AH356" i="3" l="1"/>
  <c r="D356" i="3"/>
  <c r="E356" i="3"/>
  <c r="H356" i="3" s="1"/>
  <c r="K356" i="3" s="1"/>
  <c r="AE356" i="3" s="1"/>
  <c r="F356" i="3" l="1"/>
  <c r="G356" i="3"/>
  <c r="M356" i="3" s="1"/>
  <c r="N356" i="3" s="1"/>
  <c r="V356" i="3"/>
  <c r="A357" i="3"/>
  <c r="B357" i="3" s="1"/>
  <c r="I356" i="3" l="1"/>
  <c r="W356" i="3" s="1"/>
  <c r="J356" i="3"/>
  <c r="Z357" i="3"/>
  <c r="P357" i="3"/>
  <c r="Q357" i="3" s="1"/>
  <c r="R357" i="3" s="1"/>
  <c r="S357" i="3" s="1"/>
  <c r="AC357" i="3"/>
  <c r="AA357" i="3"/>
  <c r="L356" i="3" l="1"/>
  <c r="U356" i="3" s="1"/>
  <c r="AD356" i="3"/>
  <c r="T357" i="3"/>
  <c r="Y355" i="3" l="1"/>
  <c r="AG357" i="3"/>
  <c r="AH357" i="3"/>
  <c r="E357" i="3"/>
  <c r="H357" i="3" s="1"/>
  <c r="D357" i="3"/>
  <c r="F357" i="3" l="1"/>
  <c r="G357" i="3"/>
  <c r="K357" i="3"/>
  <c r="AE357" i="3" s="1"/>
  <c r="V357" i="3" l="1"/>
  <c r="A358" i="3"/>
  <c r="B358" i="3" s="1"/>
  <c r="I357" i="3"/>
  <c r="J357" i="3"/>
  <c r="AD357" i="3" s="1"/>
  <c r="M357" i="3"/>
  <c r="N357" i="3" s="1"/>
  <c r="W357" i="3" l="1"/>
  <c r="L357" i="3"/>
  <c r="P358" i="3"/>
  <c r="Q358" i="3" s="1"/>
  <c r="R358" i="3" s="1"/>
  <c r="S358" i="3" s="1"/>
  <c r="Z358" i="3"/>
  <c r="AA358" i="3"/>
  <c r="AC358" i="3"/>
  <c r="T358" i="3" l="1"/>
  <c r="AH358" i="3" s="1"/>
  <c r="U357" i="3"/>
  <c r="Y356" i="3"/>
  <c r="D358" i="3" l="1"/>
  <c r="G358" i="3" s="1"/>
  <c r="E358" i="3"/>
  <c r="H358" i="3" s="1"/>
  <c r="AG358" i="3"/>
  <c r="I358" i="3" l="1"/>
  <c r="J358" i="3"/>
  <c r="AD358" i="3" s="1"/>
  <c r="M358" i="3"/>
  <c r="N358" i="3" s="1"/>
  <c r="F358" i="3"/>
  <c r="K358" i="3"/>
  <c r="AE358" i="3" s="1"/>
  <c r="V358" i="3" l="1"/>
  <c r="W358" i="3" s="1"/>
  <c r="A359" i="3"/>
  <c r="B359" i="3" s="1"/>
  <c r="L358" i="3"/>
  <c r="U358" i="3" l="1"/>
  <c r="Y357" i="3"/>
  <c r="P359" i="3"/>
  <c r="Q359" i="3" s="1"/>
  <c r="R359" i="3" s="1"/>
  <c r="S359" i="3" s="1"/>
  <c r="AC359" i="3"/>
  <c r="AA359" i="3"/>
  <c r="Z359" i="3"/>
  <c r="T359" i="3" l="1"/>
  <c r="AG359" i="3" s="1"/>
  <c r="AH359" i="3" l="1"/>
  <c r="E359" i="3"/>
  <c r="H359" i="3" s="1"/>
  <c r="D359" i="3"/>
  <c r="K359" i="3" l="1"/>
  <c r="AE359" i="3" s="1"/>
  <c r="F359" i="3"/>
  <c r="G359" i="3"/>
  <c r="I359" i="3" l="1"/>
  <c r="J359" i="3"/>
  <c r="AD359" i="3" s="1"/>
  <c r="M359" i="3"/>
  <c r="N359" i="3" s="1"/>
  <c r="V359" i="3"/>
  <c r="A360" i="3"/>
  <c r="B360" i="3" s="1"/>
  <c r="W359" i="3" l="1"/>
  <c r="L359" i="3"/>
  <c r="AC360" i="3"/>
  <c r="AA360" i="3"/>
  <c r="P360" i="3"/>
  <c r="Q360" i="3" s="1"/>
  <c r="R360" i="3" s="1"/>
  <c r="S360" i="3" s="1"/>
  <c r="Z360" i="3"/>
  <c r="T360" i="3" l="1"/>
  <c r="AH360" i="3" s="1"/>
  <c r="U359" i="3"/>
  <c r="Y358" i="3"/>
  <c r="E360" i="3" l="1"/>
  <c r="H360" i="3" s="1"/>
  <c r="K360" i="3" s="1"/>
  <c r="AE360" i="3" s="1"/>
  <c r="AG360" i="3"/>
  <c r="D360" i="3"/>
  <c r="F360" i="3" l="1"/>
  <c r="G360" i="3"/>
  <c r="V360" i="3"/>
  <c r="A361" i="3"/>
  <c r="B361" i="3" s="1"/>
  <c r="Z361" i="3" l="1"/>
  <c r="P361" i="3"/>
  <c r="Q361" i="3" s="1"/>
  <c r="R361" i="3" s="1"/>
  <c r="S361" i="3" s="1"/>
  <c r="AC361" i="3"/>
  <c r="AA361" i="3"/>
  <c r="I360" i="3"/>
  <c r="W360" i="3" s="1"/>
  <c r="J360" i="3"/>
  <c r="AD360" i="3" s="1"/>
  <c r="M360" i="3"/>
  <c r="N360" i="3" s="1"/>
  <c r="T361" i="3" l="1"/>
  <c r="L360" i="3"/>
  <c r="AG361" i="3" l="1"/>
  <c r="AH361" i="3"/>
  <c r="U360" i="3"/>
  <c r="E361" i="3" s="1"/>
  <c r="H361" i="3" s="1"/>
  <c r="Y359" i="3"/>
  <c r="D361" i="3" l="1"/>
  <c r="G361" i="3" s="1"/>
  <c r="K361" i="3"/>
  <c r="AE361" i="3" s="1"/>
  <c r="F361" i="3" l="1"/>
  <c r="I361" i="3"/>
  <c r="J361" i="3"/>
  <c r="AD361" i="3" s="1"/>
  <c r="M361" i="3"/>
  <c r="N361" i="3" s="1"/>
  <c r="V361" i="3"/>
  <c r="A362" i="3"/>
  <c r="B362" i="3" s="1"/>
  <c r="W361" i="3" l="1"/>
  <c r="L361" i="3"/>
  <c r="AC362" i="3"/>
  <c r="Z362" i="3"/>
  <c r="P362" i="3"/>
  <c r="Q362" i="3" s="1"/>
  <c r="R362" i="3" s="1"/>
  <c r="S362" i="3" s="1"/>
  <c r="AA362" i="3"/>
  <c r="U361" i="3" l="1"/>
  <c r="Y360" i="3"/>
  <c r="T362" i="3"/>
  <c r="AH362" i="3" s="1"/>
  <c r="D362" i="3" l="1"/>
  <c r="G362" i="3" s="1"/>
  <c r="E362" i="3"/>
  <c r="H362" i="3" s="1"/>
  <c r="K362" i="3" s="1"/>
  <c r="AE362" i="3" s="1"/>
  <c r="AG362" i="3"/>
  <c r="F362" i="3" l="1"/>
  <c r="I362" i="3"/>
  <c r="J362" i="3"/>
  <c r="AD362" i="3" s="1"/>
  <c r="M362" i="3"/>
  <c r="N362" i="3" s="1"/>
  <c r="V362" i="3"/>
  <c r="A363" i="3"/>
  <c r="B363" i="3" s="1"/>
  <c r="W362" i="3" l="1"/>
  <c r="L362" i="3"/>
  <c r="P363" i="3"/>
  <c r="Q363" i="3" s="1"/>
  <c r="R363" i="3" s="1"/>
  <c r="S363" i="3" s="1"/>
  <c r="AA363" i="3"/>
  <c r="Z363" i="3"/>
  <c r="AC363" i="3"/>
  <c r="T363" i="3" l="1"/>
  <c r="U362" i="3"/>
  <c r="Y361" i="3"/>
  <c r="E363" i="3" l="1"/>
  <c r="H363" i="3" s="1"/>
  <c r="K363" i="3" s="1"/>
  <c r="AE363" i="3" s="1"/>
  <c r="AH363" i="3"/>
  <c r="D363" i="3"/>
  <c r="AG363" i="3"/>
  <c r="F363" i="3" l="1"/>
  <c r="G363" i="3"/>
  <c r="M363" i="3" s="1"/>
  <c r="N363" i="3" s="1"/>
  <c r="V363" i="3"/>
  <c r="A364" i="3"/>
  <c r="B364" i="3" s="1"/>
  <c r="I363" i="3" l="1"/>
  <c r="W363" i="3" s="1"/>
  <c r="J363" i="3"/>
  <c r="P364" i="3"/>
  <c r="Q364" i="3" s="1"/>
  <c r="R364" i="3" s="1"/>
  <c r="S364" i="3" s="1"/>
  <c r="Z364" i="3"/>
  <c r="AC364" i="3"/>
  <c r="AA364" i="3"/>
  <c r="L363" i="3" l="1"/>
  <c r="U363" i="3" s="1"/>
  <c r="AD363" i="3"/>
  <c r="T364" i="3"/>
  <c r="Y362" i="3" l="1"/>
  <c r="D364" i="3"/>
  <c r="G364" i="3" s="1"/>
  <c r="E364" i="3"/>
  <c r="H364" i="3" s="1"/>
  <c r="K364" i="3" s="1"/>
  <c r="AE364" i="3" s="1"/>
  <c r="AG364" i="3"/>
  <c r="AH364" i="3"/>
  <c r="F364" i="3" l="1"/>
  <c r="V364" i="3"/>
  <c r="A365" i="3"/>
  <c r="B365" i="3" s="1"/>
  <c r="I364" i="3"/>
  <c r="J364" i="3"/>
  <c r="AD364" i="3" s="1"/>
  <c r="M364" i="3"/>
  <c r="N364" i="3" s="1"/>
  <c r="W364" i="3" l="1"/>
  <c r="L364" i="3"/>
  <c r="AC365" i="3"/>
  <c r="P365" i="3"/>
  <c r="Q365" i="3" s="1"/>
  <c r="R365" i="3" s="1"/>
  <c r="S365" i="3" s="1"/>
  <c r="AA365" i="3"/>
  <c r="AD365" i="3"/>
  <c r="Z365" i="3"/>
  <c r="U364" i="3" l="1"/>
  <c r="Y363" i="3"/>
  <c r="T365" i="3"/>
  <c r="AH365" i="3" s="1"/>
  <c r="D365" i="3" l="1"/>
  <c r="G365" i="3" s="1"/>
  <c r="AG365" i="3"/>
  <c r="E365" i="3"/>
  <c r="H365" i="3" s="1"/>
  <c r="K365" i="3" s="1"/>
  <c r="AE365" i="3" s="1"/>
  <c r="F365" i="3" l="1"/>
  <c r="I365" i="3"/>
  <c r="J365" i="3"/>
  <c r="M365" i="3"/>
  <c r="N365" i="3" s="1"/>
  <c r="V365" i="3"/>
  <c r="A366" i="3"/>
  <c r="B366" i="3" s="1"/>
  <c r="W365" i="3" l="1"/>
  <c r="L365" i="3"/>
  <c r="AC366" i="3"/>
  <c r="AD366" i="3"/>
  <c r="P366" i="3"/>
  <c r="Q366" i="3" s="1"/>
  <c r="R366" i="3" s="1"/>
  <c r="S366" i="3" s="1"/>
  <c r="AA366" i="3"/>
  <c r="Z366" i="3"/>
  <c r="U365" i="3" l="1"/>
  <c r="Y364" i="3"/>
  <c r="T366" i="3"/>
  <c r="E366" i="3" l="1"/>
  <c r="H366" i="3" s="1"/>
  <c r="K366" i="3" s="1"/>
  <c r="AE366" i="3" s="1"/>
  <c r="AH366" i="3"/>
  <c r="D366" i="3"/>
  <c r="G366" i="3" s="1"/>
  <c r="AG366" i="3"/>
  <c r="F366" i="3" l="1"/>
  <c r="V366" i="3"/>
  <c r="A367" i="3"/>
  <c r="B367" i="3" s="1"/>
  <c r="I366" i="3"/>
  <c r="J366" i="3"/>
  <c r="M366" i="3"/>
  <c r="N366" i="3" s="1"/>
  <c r="W366" i="3" l="1"/>
  <c r="L366" i="3"/>
  <c r="Z367" i="3"/>
  <c r="P367" i="3"/>
  <c r="Q367" i="3" s="1"/>
  <c r="R367" i="3" s="1"/>
  <c r="S367" i="3" s="1"/>
  <c r="AC367" i="3"/>
  <c r="AD367" i="3"/>
  <c r="AA367" i="3"/>
  <c r="T367" i="3" l="1"/>
  <c r="AG367" i="3" s="1"/>
  <c r="U366" i="3"/>
  <c r="Y365" i="3"/>
  <c r="D367" i="3" l="1"/>
  <c r="AH367" i="3"/>
  <c r="E367" i="3"/>
  <c r="H367" i="3" s="1"/>
  <c r="F367" i="3" l="1"/>
  <c r="G367" i="3"/>
  <c r="K367" i="3"/>
  <c r="AE367" i="3" s="1"/>
  <c r="I367" i="3" l="1"/>
  <c r="J367" i="3"/>
  <c r="M367" i="3"/>
  <c r="N367" i="3" s="1"/>
  <c r="V367" i="3"/>
  <c r="A368" i="3"/>
  <c r="B368" i="3" s="1"/>
  <c r="L367" i="3" l="1"/>
  <c r="W367" i="3"/>
  <c r="Z368" i="3"/>
  <c r="P368" i="3"/>
  <c r="Q368" i="3" s="1"/>
  <c r="R368" i="3" s="1"/>
  <c r="S368" i="3" s="1"/>
  <c r="AD368" i="3"/>
  <c r="AC368" i="3"/>
  <c r="AA368" i="3"/>
  <c r="T368" i="3" l="1"/>
  <c r="AH368" i="3" s="1"/>
  <c r="U367" i="3"/>
  <c r="Y366" i="3"/>
  <c r="E368" i="3" l="1"/>
  <c r="H368" i="3" s="1"/>
  <c r="K368" i="3" s="1"/>
  <c r="AE368" i="3" s="1"/>
  <c r="D368" i="3"/>
  <c r="AG368" i="3"/>
  <c r="V368" i="3" l="1"/>
  <c r="A369" i="3"/>
  <c r="B369" i="3" s="1"/>
  <c r="F368" i="3"/>
  <c r="G368" i="3"/>
  <c r="I368" i="3" l="1"/>
  <c r="W368" i="3" s="1"/>
  <c r="J368" i="3"/>
  <c r="M368" i="3"/>
  <c r="N368" i="3" s="1"/>
  <c r="AD369" i="3"/>
  <c r="Z369" i="3"/>
  <c r="AC369" i="3"/>
  <c r="P369" i="3"/>
  <c r="Q369" i="3" s="1"/>
  <c r="R369" i="3" s="1"/>
  <c r="S369" i="3" s="1"/>
  <c r="AA369" i="3"/>
  <c r="T369" i="3" l="1"/>
  <c r="L368" i="3"/>
  <c r="AH369" i="3" l="1"/>
  <c r="AG369" i="3"/>
  <c r="U368" i="3"/>
  <c r="E369" i="3" s="1"/>
  <c r="H369" i="3" s="1"/>
  <c r="Y367" i="3"/>
  <c r="D369" i="3" l="1"/>
  <c r="F369" i="3" s="1"/>
  <c r="K369" i="3"/>
  <c r="AE369" i="3" s="1"/>
  <c r="G369" i="3" l="1"/>
  <c r="M369" i="3" s="1"/>
  <c r="N369" i="3" s="1"/>
  <c r="V369" i="3"/>
  <c r="A370" i="3"/>
  <c r="B370" i="3" s="1"/>
  <c r="J369" i="3" l="1"/>
  <c r="L369" i="3" s="1"/>
  <c r="I369" i="3"/>
  <c r="W369" i="3" s="1"/>
  <c r="AD370" i="3"/>
  <c r="AA370" i="3"/>
  <c r="P370" i="3"/>
  <c r="Q370" i="3" s="1"/>
  <c r="R370" i="3" s="1"/>
  <c r="S370" i="3" s="1"/>
  <c r="AC370" i="3"/>
  <c r="Z370" i="3"/>
  <c r="U369" i="3" l="1"/>
  <c r="Y368" i="3"/>
  <c r="T370" i="3"/>
  <c r="AG370" i="3" s="1"/>
  <c r="E370" i="3" l="1"/>
  <c r="H370" i="3" s="1"/>
  <c r="K370" i="3" s="1"/>
  <c r="AE370" i="3" s="1"/>
  <c r="AH370" i="3"/>
  <c r="D370" i="3"/>
  <c r="F370" i="3" l="1"/>
  <c r="G370" i="3"/>
  <c r="M370" i="3" s="1"/>
  <c r="N370" i="3" s="1"/>
  <c r="V370" i="3"/>
  <c r="A371" i="3"/>
  <c r="B371" i="3" s="1"/>
  <c r="I370" i="3" l="1"/>
  <c r="W370" i="3" s="1"/>
  <c r="J370" i="3"/>
  <c r="L370" i="3" s="1"/>
  <c r="AD371" i="3"/>
  <c r="AC371" i="3"/>
  <c r="P371" i="3"/>
  <c r="Q371" i="3" s="1"/>
  <c r="R371" i="3" s="1"/>
  <c r="S371" i="3" s="1"/>
  <c r="AA371" i="3"/>
  <c r="Z371" i="3"/>
  <c r="T371" i="3" l="1"/>
  <c r="AG371" i="3" s="1"/>
  <c r="U370" i="3"/>
  <c r="Y369" i="3"/>
  <c r="E371" i="3" l="1"/>
  <c r="H371" i="3" s="1"/>
  <c r="K371" i="3" s="1"/>
  <c r="AE371" i="3" s="1"/>
  <c r="D371" i="3"/>
  <c r="AH371" i="3"/>
  <c r="V371" i="3" l="1"/>
  <c r="A372" i="3"/>
  <c r="B372" i="3" s="1"/>
  <c r="F371" i="3"/>
  <c r="G371" i="3"/>
  <c r="I371" i="3" l="1"/>
  <c r="W371" i="3" s="1"/>
  <c r="J371" i="3"/>
  <c r="M371" i="3"/>
  <c r="N371" i="3" s="1"/>
  <c r="P372" i="3"/>
  <c r="Q372" i="3" s="1"/>
  <c r="R372" i="3" s="1"/>
  <c r="S372" i="3" s="1"/>
  <c r="AA372" i="3"/>
  <c r="AC372" i="3"/>
  <c r="Z372" i="3"/>
  <c r="AD372" i="3"/>
  <c r="L371" i="3" l="1"/>
  <c r="T372" i="3"/>
  <c r="U371" i="3" l="1"/>
  <c r="E372" i="3" s="1"/>
  <c r="H372" i="3" s="1"/>
  <c r="AG372" i="3"/>
  <c r="AH372" i="3"/>
  <c r="Y370" i="3"/>
  <c r="D372" i="3" l="1"/>
  <c r="F372" i="3" s="1"/>
  <c r="K372" i="3"/>
  <c r="AE372" i="3" s="1"/>
  <c r="G372" i="3" l="1"/>
  <c r="M372" i="3" s="1"/>
  <c r="N372" i="3" s="1"/>
  <c r="V372" i="3"/>
  <c r="A373" i="3"/>
  <c r="B373" i="3" s="1"/>
  <c r="J372" i="3" l="1"/>
  <c r="L372" i="3" s="1"/>
  <c r="I372" i="3"/>
  <c r="W372" i="3" s="1"/>
  <c r="AD373" i="3"/>
  <c r="Z373" i="3"/>
  <c r="AC373" i="3"/>
  <c r="P373" i="3"/>
  <c r="Q373" i="3" s="1"/>
  <c r="R373" i="3" s="1"/>
  <c r="S373" i="3" s="1"/>
  <c r="AA373" i="3"/>
  <c r="U372" i="3" l="1"/>
  <c r="Y371" i="3"/>
  <c r="T373" i="3"/>
  <c r="AH373" i="3" s="1"/>
  <c r="D373" i="3" l="1"/>
  <c r="G373" i="3" s="1"/>
  <c r="E373" i="3"/>
  <c r="H373" i="3" s="1"/>
  <c r="AG373" i="3"/>
  <c r="F373" i="3" l="1"/>
  <c r="I373" i="3"/>
  <c r="J373" i="3"/>
  <c r="M373" i="3"/>
  <c r="N373" i="3" s="1"/>
  <c r="K373" i="3"/>
  <c r="AE373" i="3" s="1"/>
  <c r="V373" i="3" l="1"/>
  <c r="W373" i="3" s="1"/>
  <c r="A374" i="3"/>
  <c r="B374" i="3" s="1"/>
  <c r="L373" i="3"/>
  <c r="U373" i="3" l="1"/>
  <c r="Y372" i="3"/>
  <c r="AA374" i="3"/>
  <c r="AC374" i="3"/>
  <c r="Z374" i="3"/>
  <c r="P374" i="3"/>
  <c r="Q374" i="3" s="1"/>
  <c r="R374" i="3" s="1"/>
  <c r="S374" i="3" s="1"/>
  <c r="T374" i="3" l="1"/>
  <c r="AH374" i="3" s="1"/>
  <c r="AG374" i="3" l="1"/>
  <c r="E374" i="3"/>
  <c r="H374" i="3" s="1"/>
  <c r="K374" i="3" s="1"/>
  <c r="AE374" i="3" s="1"/>
  <c r="D374" i="3"/>
  <c r="F374" i="3" l="1"/>
  <c r="G374" i="3"/>
  <c r="I374" i="3" s="1"/>
  <c r="V374" i="3"/>
  <c r="A375" i="3"/>
  <c r="B375" i="3" s="1"/>
  <c r="J374" i="3" l="1"/>
  <c r="M374" i="3"/>
  <c r="N374" i="3" s="1"/>
  <c r="W374" i="3"/>
  <c r="P375" i="3"/>
  <c r="Q375" i="3" s="1"/>
  <c r="R375" i="3" s="1"/>
  <c r="S375" i="3" s="1"/>
  <c r="Z375" i="3"/>
  <c r="AC375" i="3"/>
  <c r="AA375" i="3"/>
  <c r="AD375" i="3"/>
  <c r="L374" i="3" l="1"/>
  <c r="Y373" i="3" s="1"/>
  <c r="AD374" i="3"/>
  <c r="T375" i="3"/>
  <c r="U374" i="3" l="1"/>
  <c r="E375" i="3" s="1"/>
  <c r="H375" i="3" s="1"/>
  <c r="K375" i="3" s="1"/>
  <c r="AE375" i="3" s="1"/>
  <c r="AG375" i="3"/>
  <c r="AH375" i="3"/>
  <c r="D375" i="3" l="1"/>
  <c r="G375" i="3" s="1"/>
  <c r="I375" i="3" s="1"/>
  <c r="V375" i="3"/>
  <c r="A376" i="3"/>
  <c r="B376" i="3" s="1"/>
  <c r="M375" i="3" l="1"/>
  <c r="N375" i="3" s="1"/>
  <c r="F375" i="3"/>
  <c r="J375" i="3"/>
  <c r="L375" i="3" s="1"/>
  <c r="W375" i="3"/>
  <c r="AA376" i="3"/>
  <c r="P376" i="3"/>
  <c r="Q376" i="3" s="1"/>
  <c r="R376" i="3" s="1"/>
  <c r="S376" i="3" s="1"/>
  <c r="AC376" i="3"/>
  <c r="Z376" i="3"/>
  <c r="AD376" i="3"/>
  <c r="T376" i="3" l="1"/>
  <c r="U375" i="3"/>
  <c r="Y374" i="3"/>
  <c r="D376" i="3" l="1"/>
  <c r="G376" i="3" s="1"/>
  <c r="AG376" i="3"/>
  <c r="AH376" i="3"/>
  <c r="E376" i="3"/>
  <c r="H376" i="3" s="1"/>
  <c r="F376" i="3" l="1"/>
  <c r="I376" i="3"/>
  <c r="J376" i="3"/>
  <c r="M376" i="3"/>
  <c r="N376" i="3" s="1"/>
  <c r="K376" i="3"/>
  <c r="AE376" i="3" s="1"/>
  <c r="V376" i="3" l="1"/>
  <c r="W376" i="3" s="1"/>
  <c r="A377" i="3"/>
  <c r="B377" i="3" s="1"/>
  <c r="L376" i="3"/>
  <c r="AC377" i="3" l="1"/>
  <c r="AA377" i="3"/>
  <c r="P377" i="3"/>
  <c r="Q377" i="3" s="1"/>
  <c r="R377" i="3" s="1"/>
  <c r="S377" i="3" s="1"/>
  <c r="AD377" i="3"/>
  <c r="Z377" i="3"/>
  <c r="U376" i="3"/>
  <c r="Y375" i="3"/>
  <c r="T377" i="3" l="1"/>
  <c r="AH377" i="3" s="1"/>
  <c r="E377" i="3" l="1"/>
  <c r="H377" i="3" s="1"/>
  <c r="K377" i="3" s="1"/>
  <c r="AE377" i="3" s="1"/>
  <c r="D377" i="3"/>
  <c r="AG377" i="3"/>
  <c r="F377" i="3" l="1"/>
  <c r="G377" i="3"/>
  <c r="M377" i="3" s="1"/>
  <c r="N377" i="3" s="1"/>
  <c r="V377" i="3"/>
  <c r="A378" i="3"/>
  <c r="B378" i="3" s="1"/>
  <c r="I377" i="3" l="1"/>
  <c r="W377" i="3" s="1"/>
  <c r="J377" i="3"/>
  <c r="L377" i="3" s="1"/>
  <c r="AD378" i="3"/>
  <c r="Z378" i="3"/>
  <c r="AC378" i="3"/>
  <c r="P378" i="3"/>
  <c r="Q378" i="3" s="1"/>
  <c r="R378" i="3" s="1"/>
  <c r="S378" i="3" s="1"/>
  <c r="AA378" i="3"/>
  <c r="U377" i="3" l="1"/>
  <c r="Y376" i="3"/>
  <c r="T378" i="3"/>
  <c r="D378" i="3" l="1"/>
  <c r="G378" i="3" s="1"/>
  <c r="AG378" i="3"/>
  <c r="E378" i="3"/>
  <c r="H378" i="3" s="1"/>
  <c r="K378" i="3" s="1"/>
  <c r="AE378" i="3" s="1"/>
  <c r="AH378" i="3"/>
  <c r="F378" i="3" l="1"/>
  <c r="V378" i="3"/>
  <c r="A379" i="3"/>
  <c r="B379" i="3" s="1"/>
  <c r="I378" i="3"/>
  <c r="J378" i="3"/>
  <c r="M378" i="3"/>
  <c r="N378" i="3" s="1"/>
  <c r="W378" i="3" l="1"/>
  <c r="L378" i="3"/>
  <c r="Z379" i="3"/>
  <c r="AA379" i="3"/>
  <c r="AD379" i="3"/>
  <c r="P379" i="3"/>
  <c r="Q379" i="3" s="1"/>
  <c r="R379" i="3" s="1"/>
  <c r="S379" i="3" s="1"/>
  <c r="AC379" i="3"/>
  <c r="U378" i="3" l="1"/>
  <c r="Y377" i="3"/>
  <c r="T379" i="3"/>
  <c r="AH379" i="3" s="1"/>
  <c r="E379" i="3" l="1"/>
  <c r="H379" i="3" s="1"/>
  <c r="K379" i="3" s="1"/>
  <c r="AE379" i="3" s="1"/>
  <c r="D379" i="3"/>
  <c r="G379" i="3" s="1"/>
  <c r="AG379" i="3"/>
  <c r="F379" i="3" l="1"/>
  <c r="I379" i="3"/>
  <c r="J379" i="3"/>
  <c r="M379" i="3"/>
  <c r="N379" i="3" s="1"/>
  <c r="V379" i="3"/>
  <c r="A380" i="3"/>
  <c r="B380" i="3" s="1"/>
  <c r="W379" i="3" l="1"/>
  <c r="L379" i="3"/>
  <c r="Z380" i="3"/>
  <c r="P380" i="3"/>
  <c r="Q380" i="3" s="1"/>
  <c r="R380" i="3" s="1"/>
  <c r="S380" i="3" s="1"/>
  <c r="AD380" i="3"/>
  <c r="AC380" i="3"/>
  <c r="AA380" i="3"/>
  <c r="T380" i="3" l="1"/>
  <c r="AH380" i="3" s="1"/>
  <c r="U379" i="3"/>
  <c r="Y378" i="3"/>
  <c r="AG380" i="3" l="1"/>
  <c r="E380" i="3"/>
  <c r="H380" i="3" s="1"/>
  <c r="K380" i="3" s="1"/>
  <c r="AE380" i="3" s="1"/>
  <c r="D380" i="3"/>
  <c r="V380" i="3" l="1"/>
  <c r="A381" i="3"/>
  <c r="B381" i="3" s="1"/>
  <c r="F380" i="3"/>
  <c r="G380" i="3"/>
  <c r="I380" i="3" l="1"/>
  <c r="W380" i="3" s="1"/>
  <c r="J380" i="3"/>
  <c r="M380" i="3"/>
  <c r="N380" i="3" s="1"/>
  <c r="Z381" i="3"/>
  <c r="AA381" i="3"/>
  <c r="AC381" i="3"/>
  <c r="P381" i="3"/>
  <c r="Q381" i="3" s="1"/>
  <c r="R381" i="3" s="1"/>
  <c r="S381" i="3" s="1"/>
  <c r="AD381" i="3"/>
  <c r="T381" i="3" l="1"/>
  <c r="L380" i="3"/>
  <c r="U380" i="3" l="1"/>
  <c r="E381" i="3" s="1"/>
  <c r="H381" i="3" s="1"/>
  <c r="AH381" i="3"/>
  <c r="AG381" i="3"/>
  <c r="Y379" i="3"/>
  <c r="K381" i="3" l="1"/>
  <c r="AE381" i="3" s="1"/>
  <c r="D381" i="3"/>
  <c r="V381" i="3" l="1"/>
  <c r="A382" i="3"/>
  <c r="B382" i="3" s="1"/>
  <c r="F381" i="3"/>
  <c r="G381" i="3"/>
  <c r="I381" i="3" l="1"/>
  <c r="W381" i="3" s="1"/>
  <c r="J381" i="3"/>
  <c r="M381" i="3"/>
  <c r="N381" i="3" s="1"/>
  <c r="AD382" i="3"/>
  <c r="AA382" i="3"/>
  <c r="Z382" i="3"/>
  <c r="P382" i="3"/>
  <c r="Q382" i="3" s="1"/>
  <c r="R382" i="3" s="1"/>
  <c r="S382" i="3" s="1"/>
  <c r="AC382" i="3"/>
  <c r="L381" i="3" l="1"/>
  <c r="T382" i="3"/>
  <c r="U381" i="3" l="1"/>
  <c r="E382" i="3" s="1"/>
  <c r="H382" i="3" s="1"/>
  <c r="AH382" i="3"/>
  <c r="AG382" i="3"/>
  <c r="Y380" i="3"/>
  <c r="D382" i="3" l="1"/>
  <c r="G382" i="3" s="1"/>
  <c r="K382" i="3"/>
  <c r="AE382" i="3" s="1"/>
  <c r="F382" i="3" l="1"/>
  <c r="I382" i="3"/>
  <c r="J382" i="3"/>
  <c r="M382" i="3"/>
  <c r="N382" i="3" s="1"/>
  <c r="V382" i="3"/>
  <c r="A383" i="3"/>
  <c r="B383" i="3" s="1"/>
  <c r="W382" i="3" l="1"/>
  <c r="L382" i="3"/>
  <c r="AD383" i="3"/>
  <c r="AA383" i="3"/>
  <c r="P383" i="3"/>
  <c r="Q383" i="3" s="1"/>
  <c r="R383" i="3" s="1"/>
  <c r="S383" i="3" s="1"/>
  <c r="Z383" i="3"/>
  <c r="AC383" i="3"/>
  <c r="U382" i="3" l="1"/>
  <c r="Y381" i="3"/>
  <c r="T383" i="3"/>
  <c r="E383" i="3" l="1"/>
  <c r="H383" i="3" s="1"/>
  <c r="K383" i="3" s="1"/>
  <c r="AE383" i="3" s="1"/>
  <c r="D383" i="3"/>
  <c r="AH383" i="3"/>
  <c r="AG383" i="3"/>
  <c r="V383" i="3" l="1"/>
  <c r="A384" i="3"/>
  <c r="B384" i="3" s="1"/>
  <c r="F383" i="3"/>
  <c r="G383" i="3"/>
  <c r="I383" i="3" l="1"/>
  <c r="W383" i="3" s="1"/>
  <c r="J383" i="3"/>
  <c r="M383" i="3"/>
  <c r="N383" i="3" s="1"/>
  <c r="P384" i="3"/>
  <c r="Q384" i="3" s="1"/>
  <c r="R384" i="3" s="1"/>
  <c r="S384" i="3" s="1"/>
  <c r="Z384" i="3"/>
  <c r="AC384" i="3"/>
  <c r="AA384" i="3"/>
  <c r="T384" i="3" l="1"/>
  <c r="L383" i="3"/>
  <c r="AG384" i="3" l="1"/>
  <c r="AH384" i="3"/>
  <c r="U383" i="3"/>
  <c r="D384" i="3" s="1"/>
  <c r="Y382" i="3"/>
  <c r="E384" i="3" l="1"/>
  <c r="H384" i="3" s="1"/>
  <c r="K384" i="3" s="1"/>
  <c r="AE384" i="3" s="1"/>
  <c r="G384" i="3"/>
  <c r="F384" i="3" l="1"/>
  <c r="I384" i="3"/>
  <c r="J384" i="3"/>
  <c r="AD384" i="3" s="1"/>
  <c r="M384" i="3"/>
  <c r="N384" i="3" s="1"/>
  <c r="V384" i="3"/>
  <c r="A385" i="3"/>
  <c r="B385" i="3" s="1"/>
  <c r="W384" i="3" l="1"/>
  <c r="L384" i="3"/>
  <c r="P385" i="3"/>
  <c r="Q385" i="3" s="1"/>
  <c r="R385" i="3" s="1"/>
  <c r="S385" i="3" s="1"/>
  <c r="AD385" i="3"/>
  <c r="Z385" i="3"/>
  <c r="AC385" i="3"/>
  <c r="AA385" i="3"/>
  <c r="U384" i="3" l="1"/>
  <c r="Y383" i="3"/>
  <c r="T385" i="3"/>
  <c r="AG385" i="3" s="1"/>
  <c r="D385" i="3" l="1"/>
  <c r="G385" i="3" s="1"/>
  <c r="E385" i="3"/>
  <c r="H385" i="3" s="1"/>
  <c r="K385" i="3" s="1"/>
  <c r="AE385" i="3" s="1"/>
  <c r="AH385" i="3"/>
  <c r="F385" i="3" l="1"/>
  <c r="V385" i="3"/>
  <c r="A386" i="3"/>
  <c r="B386" i="3" s="1"/>
  <c r="I385" i="3"/>
  <c r="J385" i="3"/>
  <c r="M385" i="3"/>
  <c r="N385" i="3" s="1"/>
  <c r="L385" i="3" l="1"/>
  <c r="W385" i="3"/>
  <c r="AC386" i="3"/>
  <c r="P386" i="3"/>
  <c r="Q386" i="3" s="1"/>
  <c r="R386" i="3" s="1"/>
  <c r="S386" i="3" s="1"/>
  <c r="AA386" i="3"/>
  <c r="AD386" i="3"/>
  <c r="Z386" i="3"/>
  <c r="T386" i="3" l="1"/>
  <c r="AH386" i="3" s="1"/>
  <c r="U385" i="3"/>
  <c r="Y384" i="3"/>
  <c r="D386" i="3" l="1"/>
  <c r="E386" i="3"/>
  <c r="H386" i="3" s="1"/>
  <c r="AG386" i="3"/>
  <c r="F386" i="3" l="1"/>
  <c r="G386" i="3"/>
  <c r="K386" i="3"/>
  <c r="AE386" i="3" s="1"/>
  <c r="I386" i="3" l="1"/>
  <c r="J386" i="3"/>
  <c r="M386" i="3"/>
  <c r="N386" i="3" s="1"/>
  <c r="V386" i="3"/>
  <c r="A387" i="3"/>
  <c r="B387" i="3" s="1"/>
  <c r="W386" i="3" l="1"/>
  <c r="L386" i="3"/>
  <c r="AD387" i="3"/>
  <c r="AA387" i="3"/>
  <c r="P387" i="3"/>
  <c r="Q387" i="3" s="1"/>
  <c r="R387" i="3" s="1"/>
  <c r="S387" i="3" s="1"/>
  <c r="AC387" i="3"/>
  <c r="Z387" i="3"/>
  <c r="U386" i="3" l="1"/>
  <c r="Y385" i="3"/>
  <c r="T387" i="3"/>
  <c r="AG387" i="3" s="1"/>
  <c r="AH387" i="3" l="1"/>
  <c r="D387" i="3"/>
  <c r="G387" i="3" s="1"/>
  <c r="E387" i="3"/>
  <c r="H387" i="3" s="1"/>
  <c r="F387" i="3" l="1"/>
  <c r="I387" i="3"/>
  <c r="J387" i="3"/>
  <c r="M387" i="3"/>
  <c r="N387" i="3" s="1"/>
  <c r="K387" i="3"/>
  <c r="AE387" i="3" s="1"/>
  <c r="V387" i="3" l="1"/>
  <c r="W387" i="3" s="1"/>
  <c r="A388" i="3"/>
  <c r="B388" i="3" s="1"/>
  <c r="L387" i="3"/>
  <c r="U387" i="3" l="1"/>
  <c r="Y386" i="3"/>
  <c r="AA388" i="3"/>
  <c r="Z388" i="3"/>
  <c r="P388" i="3"/>
  <c r="Q388" i="3" s="1"/>
  <c r="R388" i="3" s="1"/>
  <c r="S388" i="3" s="1"/>
  <c r="AD388" i="3"/>
  <c r="AC388" i="3"/>
  <c r="T388" i="3" l="1"/>
  <c r="E388" i="3" s="1"/>
  <c r="H388" i="3" s="1"/>
  <c r="K388" i="3" l="1"/>
  <c r="AE388" i="3" s="1"/>
  <c r="D388" i="3"/>
  <c r="AG388" i="3"/>
  <c r="AH388" i="3"/>
  <c r="V388" i="3" l="1"/>
  <c r="A389" i="3"/>
  <c r="B389" i="3" s="1"/>
  <c r="F388" i="3"/>
  <c r="G388" i="3"/>
  <c r="I388" i="3" l="1"/>
  <c r="W388" i="3" s="1"/>
  <c r="J388" i="3"/>
  <c r="M388" i="3"/>
  <c r="N388" i="3" s="1"/>
  <c r="P389" i="3"/>
  <c r="Q389" i="3" s="1"/>
  <c r="R389" i="3" s="1"/>
  <c r="S389" i="3" s="1"/>
  <c r="AA389" i="3"/>
  <c r="AD389" i="3"/>
  <c r="AC389" i="3"/>
  <c r="Z389" i="3"/>
  <c r="T389" i="3" l="1"/>
  <c r="L388" i="3"/>
  <c r="U388" i="3" l="1"/>
  <c r="E389" i="3" s="1"/>
  <c r="H389" i="3" s="1"/>
  <c r="AH389" i="3"/>
  <c r="AG389" i="3"/>
  <c r="Y387" i="3"/>
  <c r="D389" i="3" l="1"/>
  <c r="G389" i="3" s="1"/>
  <c r="K389" i="3"/>
  <c r="AE389" i="3" s="1"/>
  <c r="F389" i="3" l="1"/>
  <c r="V389" i="3"/>
  <c r="A390" i="3"/>
  <c r="B390" i="3" s="1"/>
  <c r="I389" i="3"/>
  <c r="J389" i="3"/>
  <c r="M389" i="3"/>
  <c r="N389" i="3" s="1"/>
  <c r="W389" i="3" l="1"/>
  <c r="L389" i="3"/>
  <c r="P390" i="3"/>
  <c r="Q390" i="3" s="1"/>
  <c r="R390" i="3" s="1"/>
  <c r="S390" i="3" s="1"/>
  <c r="AC390" i="3"/>
  <c r="AA390" i="3"/>
  <c r="Z390" i="3"/>
  <c r="AD390" i="3"/>
  <c r="U389" i="3" l="1"/>
  <c r="Y388" i="3"/>
  <c r="T390" i="3"/>
  <c r="AG390" i="3" s="1"/>
  <c r="D390" i="3" l="1"/>
  <c r="AH390" i="3"/>
  <c r="E390" i="3"/>
  <c r="H390" i="3" s="1"/>
  <c r="F390" i="3" l="1"/>
  <c r="G390" i="3"/>
  <c r="K390" i="3"/>
  <c r="AE390" i="3" s="1"/>
  <c r="I390" i="3" l="1"/>
  <c r="J390" i="3"/>
  <c r="M390" i="3"/>
  <c r="N390" i="3" s="1"/>
  <c r="V390" i="3"/>
  <c r="A391" i="3"/>
  <c r="B391" i="3" s="1"/>
  <c r="W390" i="3" l="1"/>
  <c r="L390" i="3"/>
  <c r="AC391" i="3"/>
  <c r="AA391" i="3"/>
  <c r="AD391" i="3"/>
  <c r="Z391" i="3"/>
  <c r="P391" i="3"/>
  <c r="Q391" i="3" s="1"/>
  <c r="R391" i="3" s="1"/>
  <c r="S391" i="3" s="1"/>
  <c r="U390" i="3" l="1"/>
  <c r="Y389" i="3"/>
  <c r="T391" i="3"/>
  <c r="E391" i="3" l="1"/>
  <c r="H391" i="3" s="1"/>
  <c r="K391" i="3" s="1"/>
  <c r="AE391" i="3" s="1"/>
  <c r="AG391" i="3"/>
  <c r="AH391" i="3"/>
  <c r="D391" i="3"/>
  <c r="V391" i="3" l="1"/>
  <c r="A392" i="3"/>
  <c r="B392" i="3" s="1"/>
  <c r="F391" i="3"/>
  <c r="G391" i="3"/>
  <c r="I391" i="3" l="1"/>
  <c r="W391" i="3" s="1"/>
  <c r="J391" i="3"/>
  <c r="M391" i="3"/>
  <c r="N391" i="3" s="1"/>
  <c r="AD392" i="3"/>
  <c r="Z392" i="3"/>
  <c r="P392" i="3"/>
  <c r="Q392" i="3" s="1"/>
  <c r="R392" i="3" s="1"/>
  <c r="S392" i="3" s="1"/>
  <c r="AA392" i="3"/>
  <c r="AC392" i="3"/>
  <c r="T392" i="3" l="1"/>
  <c r="L391" i="3"/>
  <c r="U391" i="3" l="1"/>
  <c r="D392" i="3" s="1"/>
  <c r="AH392" i="3"/>
  <c r="AG392" i="3"/>
  <c r="Y390" i="3"/>
  <c r="G392" i="3" l="1"/>
  <c r="E392" i="3"/>
  <c r="H392" i="3" s="1"/>
  <c r="F392" i="3" l="1"/>
  <c r="I392" i="3"/>
  <c r="J392" i="3"/>
  <c r="M392" i="3"/>
  <c r="N392" i="3" s="1"/>
  <c r="K392" i="3"/>
  <c r="AE392" i="3" s="1"/>
  <c r="V392" i="3" l="1"/>
  <c r="W392" i="3" s="1"/>
  <c r="A393" i="3"/>
  <c r="B393" i="3" s="1"/>
  <c r="L392" i="3"/>
  <c r="U392" i="3" l="1"/>
  <c r="Y391" i="3"/>
  <c r="AD393" i="3"/>
  <c r="Z393" i="3"/>
  <c r="AA393" i="3"/>
  <c r="P393" i="3"/>
  <c r="Q393" i="3" s="1"/>
  <c r="R393" i="3" s="1"/>
  <c r="S393" i="3" s="1"/>
  <c r="AC393" i="3"/>
  <c r="T393" i="3" l="1"/>
  <c r="AG393" i="3" s="1"/>
  <c r="E393" i="3" l="1"/>
  <c r="H393" i="3" s="1"/>
  <c r="K393" i="3" s="1"/>
  <c r="AE393" i="3" s="1"/>
  <c r="D393" i="3"/>
  <c r="AH393" i="3"/>
  <c r="V393" i="3" l="1"/>
  <c r="A394" i="3"/>
  <c r="B394" i="3" s="1"/>
  <c r="F393" i="3"/>
  <c r="G393" i="3"/>
  <c r="I393" i="3" l="1"/>
  <c r="W393" i="3" s="1"/>
  <c r="J393" i="3"/>
  <c r="M393" i="3"/>
  <c r="N393" i="3" s="1"/>
  <c r="P394" i="3"/>
  <c r="Q394" i="3" s="1"/>
  <c r="R394" i="3" s="1"/>
  <c r="S394" i="3" s="1"/>
  <c r="AC394" i="3"/>
  <c r="Z394" i="3"/>
  <c r="AA394" i="3"/>
  <c r="T394" i="3" l="1"/>
  <c r="L393" i="3"/>
  <c r="AH394" i="3" l="1"/>
  <c r="AG394" i="3"/>
  <c r="U393" i="3"/>
  <c r="D394" i="3" s="1"/>
  <c r="Y392" i="3"/>
  <c r="G394" i="3" l="1"/>
  <c r="E394" i="3"/>
  <c r="H394" i="3" s="1"/>
  <c r="F394" i="3" l="1"/>
  <c r="I394" i="3"/>
  <c r="J394" i="3"/>
  <c r="AD394" i="3" s="1"/>
  <c r="M394" i="3"/>
  <c r="N394" i="3" s="1"/>
  <c r="K394" i="3"/>
  <c r="AE394" i="3" s="1"/>
  <c r="L394" i="3" l="1"/>
  <c r="V394" i="3"/>
  <c r="W394" i="3" s="1"/>
  <c r="A395" i="3"/>
  <c r="B395" i="3" s="1"/>
  <c r="U394" i="3" l="1"/>
  <c r="Y393" i="3"/>
  <c r="AD395" i="3"/>
  <c r="AA395" i="3"/>
  <c r="P395" i="3"/>
  <c r="Q395" i="3" s="1"/>
  <c r="R395" i="3" s="1"/>
  <c r="S395" i="3" s="1"/>
  <c r="Z395" i="3"/>
  <c r="AC395" i="3"/>
  <c r="T395" i="3" l="1"/>
  <c r="AG395" i="3" s="1"/>
  <c r="AH395" i="3" l="1"/>
  <c r="E395" i="3"/>
  <c r="H395" i="3" s="1"/>
  <c r="K395" i="3" s="1"/>
  <c r="AE395" i="3" s="1"/>
  <c r="D395" i="3"/>
  <c r="G395" i="3" s="1"/>
  <c r="F395" i="3" l="1"/>
  <c r="V395" i="3"/>
  <c r="A396" i="3"/>
  <c r="B396" i="3" s="1"/>
  <c r="I395" i="3"/>
  <c r="J395" i="3"/>
  <c r="M395" i="3"/>
  <c r="N395" i="3" s="1"/>
  <c r="W395" i="3" l="1"/>
  <c r="L395" i="3"/>
  <c r="AA396" i="3"/>
  <c r="Z396" i="3"/>
  <c r="P396" i="3"/>
  <c r="Q396" i="3" s="1"/>
  <c r="R396" i="3" s="1"/>
  <c r="S396" i="3" s="1"/>
  <c r="AD396" i="3"/>
  <c r="AC396" i="3"/>
  <c r="U395" i="3" l="1"/>
  <c r="Y394" i="3"/>
  <c r="T396" i="3"/>
  <c r="E396" i="3" l="1"/>
  <c r="H396" i="3" s="1"/>
  <c r="K396" i="3" s="1"/>
  <c r="AE396" i="3" s="1"/>
  <c r="AG396" i="3"/>
  <c r="AH396" i="3"/>
  <c r="D396" i="3"/>
  <c r="F396" i="3" l="1"/>
  <c r="G396" i="3"/>
  <c r="V396" i="3"/>
  <c r="A397" i="3"/>
  <c r="B397" i="3" s="1"/>
  <c r="P397" i="3" l="1"/>
  <c r="Q397" i="3" s="1"/>
  <c r="R397" i="3" s="1"/>
  <c r="S397" i="3" s="1"/>
  <c r="AC397" i="3"/>
  <c r="AA397" i="3"/>
  <c r="Z397" i="3"/>
  <c r="AD397" i="3"/>
  <c r="I396" i="3"/>
  <c r="W396" i="3" s="1"/>
  <c r="J396" i="3"/>
  <c r="M396" i="3"/>
  <c r="N396" i="3" s="1"/>
  <c r="T397" i="3" l="1"/>
  <c r="L396" i="3"/>
  <c r="U396" i="3" l="1"/>
  <c r="E397" i="3" s="1"/>
  <c r="H397" i="3" s="1"/>
  <c r="AG397" i="3"/>
  <c r="AH397" i="3"/>
  <c r="Y395" i="3"/>
  <c r="D397" i="3" l="1"/>
  <c r="F397" i="3" s="1"/>
  <c r="K397" i="3"/>
  <c r="AE397" i="3" s="1"/>
  <c r="G397" i="3" l="1"/>
  <c r="M397" i="3" s="1"/>
  <c r="N397" i="3" s="1"/>
  <c r="V397" i="3"/>
  <c r="A398" i="3"/>
  <c r="B398" i="3" s="1"/>
  <c r="I397" i="3" l="1"/>
  <c r="W397" i="3" s="1"/>
  <c r="J397" i="3"/>
  <c r="L397" i="3" s="1"/>
  <c r="AD398" i="3"/>
  <c r="AC398" i="3"/>
  <c r="AA398" i="3"/>
  <c r="P398" i="3"/>
  <c r="Q398" i="3" s="1"/>
  <c r="R398" i="3" s="1"/>
  <c r="S398" i="3" s="1"/>
  <c r="Z398" i="3"/>
  <c r="T398" i="3" l="1"/>
  <c r="U397" i="3"/>
  <c r="Y396" i="3"/>
  <c r="E398" i="3" l="1"/>
  <c r="H398" i="3" s="1"/>
  <c r="K398" i="3" s="1"/>
  <c r="AE398" i="3" s="1"/>
  <c r="D398" i="3"/>
  <c r="G398" i="3" s="1"/>
  <c r="AH398" i="3"/>
  <c r="AG398" i="3"/>
  <c r="F398" i="3" l="1"/>
  <c r="V398" i="3"/>
  <c r="A399" i="3"/>
  <c r="B399" i="3" s="1"/>
  <c r="I398" i="3"/>
  <c r="J398" i="3"/>
  <c r="M398" i="3"/>
  <c r="N398" i="3" s="1"/>
  <c r="L398" i="3" l="1"/>
  <c r="W398" i="3"/>
  <c r="Z399" i="3"/>
  <c r="P399" i="3"/>
  <c r="Q399" i="3" s="1"/>
  <c r="R399" i="3" s="1"/>
  <c r="S399" i="3" s="1"/>
  <c r="AD399" i="3"/>
  <c r="AA399" i="3"/>
  <c r="AC399" i="3"/>
  <c r="U398" i="3" l="1"/>
  <c r="Y397" i="3"/>
  <c r="T399" i="3"/>
  <c r="AH399" i="3" s="1"/>
  <c r="D399" i="3" l="1"/>
  <c r="G399" i="3" s="1"/>
  <c r="AG399" i="3"/>
  <c r="E399" i="3"/>
  <c r="H399" i="3" s="1"/>
  <c r="F399" i="3" l="1"/>
  <c r="I399" i="3"/>
  <c r="J399" i="3"/>
  <c r="M399" i="3"/>
  <c r="N399" i="3" s="1"/>
  <c r="K399" i="3"/>
  <c r="AE399" i="3" s="1"/>
  <c r="V399" i="3" l="1"/>
  <c r="W399" i="3" s="1"/>
  <c r="A400" i="3"/>
  <c r="B400" i="3" s="1"/>
  <c r="L399" i="3"/>
  <c r="U399" i="3" l="1"/>
  <c r="Y398" i="3"/>
  <c r="AD400" i="3"/>
  <c r="AC400" i="3"/>
  <c r="Z400" i="3"/>
  <c r="P400" i="3"/>
  <c r="Q400" i="3" s="1"/>
  <c r="R400" i="3" s="1"/>
  <c r="S400" i="3" s="1"/>
  <c r="AA400" i="3"/>
  <c r="T400" i="3" l="1"/>
  <c r="AH400" i="3" s="1"/>
  <c r="AG400" i="3" l="1"/>
  <c r="D400" i="3"/>
  <c r="G400" i="3" s="1"/>
  <c r="E400" i="3"/>
  <c r="H400" i="3" s="1"/>
  <c r="K400" i="3" s="1"/>
  <c r="AE400" i="3" s="1"/>
  <c r="F400" i="3" l="1"/>
  <c r="V400" i="3"/>
  <c r="A401" i="3"/>
  <c r="B401" i="3" s="1"/>
  <c r="I400" i="3"/>
  <c r="J400" i="3"/>
  <c r="M400" i="3"/>
  <c r="N400" i="3" s="1"/>
  <c r="W400" i="3" l="1"/>
  <c r="L400" i="3"/>
  <c r="AA401" i="3"/>
  <c r="Z401" i="3"/>
  <c r="AC401" i="3"/>
  <c r="AD401" i="3"/>
  <c r="P401" i="3"/>
  <c r="Q401" i="3" s="1"/>
  <c r="R401" i="3" s="1"/>
  <c r="S401" i="3" s="1"/>
  <c r="U400" i="3" l="1"/>
  <c r="Y399" i="3"/>
  <c r="T401" i="3"/>
  <c r="AG401" i="3" s="1"/>
  <c r="D401" i="3" l="1"/>
  <c r="E401" i="3"/>
  <c r="H401" i="3" s="1"/>
  <c r="K401" i="3" s="1"/>
  <c r="AE401" i="3" s="1"/>
  <c r="AH401" i="3"/>
  <c r="F401" i="3" l="1"/>
  <c r="G401" i="3"/>
  <c r="J401" i="3" s="1"/>
  <c r="V401" i="3"/>
  <c r="A402" i="3"/>
  <c r="B402" i="3" s="1"/>
  <c r="M401" i="3" l="1"/>
  <c r="N401" i="3" s="1"/>
  <c r="I401" i="3"/>
  <c r="W401" i="3" s="1"/>
  <c r="L401" i="3"/>
  <c r="AA402" i="3"/>
  <c r="AC402" i="3"/>
  <c r="Z402" i="3"/>
  <c r="AD402" i="3"/>
  <c r="P402" i="3"/>
  <c r="Q402" i="3" s="1"/>
  <c r="R402" i="3" s="1"/>
  <c r="S402" i="3" s="1"/>
  <c r="U401" i="3" l="1"/>
  <c r="Y400" i="3"/>
  <c r="T402" i="3"/>
  <c r="AG402" i="3" s="1"/>
  <c r="AH402" i="3" l="1"/>
  <c r="E402" i="3"/>
  <c r="H402" i="3" s="1"/>
  <c r="K402" i="3" s="1"/>
  <c r="AE402" i="3" s="1"/>
  <c r="D402" i="3"/>
  <c r="G402" i="3" s="1"/>
  <c r="F402" i="3" l="1"/>
  <c r="I402" i="3"/>
  <c r="J402" i="3"/>
  <c r="M402" i="3"/>
  <c r="N402" i="3" s="1"/>
  <c r="V402" i="3"/>
  <c r="A403" i="3"/>
  <c r="B403" i="3" s="1"/>
  <c r="W402" i="3" l="1"/>
  <c r="L402" i="3"/>
  <c r="AC403" i="3"/>
  <c r="AA403" i="3"/>
  <c r="P403" i="3"/>
  <c r="Q403" i="3" s="1"/>
  <c r="R403" i="3" s="1"/>
  <c r="S403" i="3" s="1"/>
  <c r="Z403" i="3"/>
  <c r="AD403" i="3"/>
  <c r="T403" i="3" l="1"/>
  <c r="AH403" i="3" s="1"/>
  <c r="U402" i="3"/>
  <c r="Y401" i="3"/>
  <c r="AG403" i="3" l="1"/>
  <c r="D403" i="3"/>
  <c r="E403" i="3"/>
  <c r="H403" i="3" s="1"/>
  <c r="F403" i="3" l="1"/>
  <c r="G403" i="3"/>
  <c r="K403" i="3"/>
  <c r="AE403" i="3" s="1"/>
  <c r="V403" i="3" l="1"/>
  <c r="A404" i="3"/>
  <c r="B404" i="3" s="1"/>
  <c r="I403" i="3"/>
  <c r="J403" i="3"/>
  <c r="M403" i="3"/>
  <c r="N403" i="3" s="1"/>
  <c r="W403" i="3" l="1"/>
  <c r="L403" i="3"/>
  <c r="P404" i="3"/>
  <c r="Q404" i="3" s="1"/>
  <c r="R404" i="3" s="1"/>
  <c r="S404" i="3" s="1"/>
  <c r="AA404" i="3"/>
  <c r="Z404" i="3"/>
  <c r="AC404" i="3"/>
  <c r="U403" i="3" l="1"/>
  <c r="Y402" i="3"/>
  <c r="T404" i="3"/>
  <c r="AG404" i="3" s="1"/>
  <c r="E404" i="3" l="1"/>
  <c r="H404" i="3" s="1"/>
  <c r="K404" i="3" s="1"/>
  <c r="AE404" i="3" s="1"/>
  <c r="AH404" i="3"/>
  <c r="D404" i="3"/>
  <c r="G404" i="3" s="1"/>
  <c r="F404" i="3" l="1"/>
  <c r="I404" i="3"/>
  <c r="J404" i="3"/>
  <c r="AD404" i="3" s="1"/>
  <c r="M404" i="3"/>
  <c r="N404" i="3" s="1"/>
  <c r="V404" i="3"/>
  <c r="A405" i="3"/>
  <c r="B405" i="3" s="1"/>
  <c r="W404" i="3" l="1"/>
  <c r="L404" i="3"/>
  <c r="P405" i="3"/>
  <c r="Q405" i="3" s="1"/>
  <c r="R405" i="3" s="1"/>
  <c r="S405" i="3" s="1"/>
  <c r="AC405" i="3"/>
  <c r="Z405" i="3"/>
  <c r="AD405" i="3"/>
  <c r="AA405" i="3"/>
  <c r="U404" i="3" l="1"/>
  <c r="Y403" i="3"/>
  <c r="T405" i="3"/>
  <c r="E405" i="3" l="1"/>
  <c r="H405" i="3" s="1"/>
  <c r="K405" i="3" s="1"/>
  <c r="AE405" i="3" s="1"/>
  <c r="AH405" i="3"/>
  <c r="D405" i="3"/>
  <c r="AG405" i="3"/>
  <c r="F405" i="3" l="1"/>
  <c r="G405" i="3"/>
  <c r="V405" i="3"/>
  <c r="A406" i="3"/>
  <c r="B406" i="3" s="1"/>
  <c r="AD406" i="3" l="1"/>
  <c r="AA406" i="3"/>
  <c r="AC406" i="3"/>
  <c r="Z406" i="3"/>
  <c r="P406" i="3"/>
  <c r="Q406" i="3" s="1"/>
  <c r="R406" i="3" s="1"/>
  <c r="S406" i="3" s="1"/>
  <c r="I405" i="3"/>
  <c r="W405" i="3" s="1"/>
  <c r="J405" i="3"/>
  <c r="M405" i="3"/>
  <c r="N405" i="3" s="1"/>
  <c r="T406" i="3" l="1"/>
  <c r="L405" i="3"/>
  <c r="U405" i="3" l="1"/>
  <c r="E406" i="3" s="1"/>
  <c r="H406" i="3" s="1"/>
  <c r="AH406" i="3"/>
  <c r="AG406" i="3"/>
  <c r="Y404" i="3"/>
  <c r="K406" i="3" l="1"/>
  <c r="AE406" i="3" s="1"/>
  <c r="D406" i="3"/>
  <c r="V406" i="3" l="1"/>
  <c r="A407" i="3"/>
  <c r="B407" i="3" s="1"/>
  <c r="F406" i="3"/>
  <c r="G406" i="3"/>
  <c r="I406" i="3" l="1"/>
  <c r="W406" i="3" s="1"/>
  <c r="J406" i="3"/>
  <c r="M406" i="3"/>
  <c r="N406" i="3" s="1"/>
  <c r="AC407" i="3"/>
  <c r="Z407" i="3"/>
  <c r="P407" i="3"/>
  <c r="Q407" i="3" s="1"/>
  <c r="R407" i="3" s="1"/>
  <c r="S407" i="3" s="1"/>
  <c r="AD407" i="3"/>
  <c r="AA407" i="3"/>
  <c r="L406" i="3" l="1"/>
  <c r="T407" i="3"/>
  <c r="U406" i="3" l="1"/>
  <c r="D407" i="3" s="1"/>
  <c r="AG407" i="3"/>
  <c r="AH407" i="3"/>
  <c r="Y405" i="3"/>
  <c r="G407" i="3" l="1"/>
  <c r="E407" i="3"/>
  <c r="H407" i="3" s="1"/>
  <c r="F407" i="3" l="1"/>
  <c r="I407" i="3"/>
  <c r="J407" i="3"/>
  <c r="M407" i="3"/>
  <c r="N407" i="3" s="1"/>
  <c r="K407" i="3"/>
  <c r="AE407" i="3" s="1"/>
  <c r="V407" i="3" l="1"/>
  <c r="W407" i="3" s="1"/>
  <c r="A408" i="3"/>
  <c r="B408" i="3" s="1"/>
  <c r="L407" i="3"/>
  <c r="U407" i="3" l="1"/>
  <c r="Y406" i="3"/>
  <c r="Z408" i="3"/>
  <c r="AC408" i="3"/>
  <c r="AD408" i="3"/>
  <c r="P408" i="3"/>
  <c r="Q408" i="3" s="1"/>
  <c r="R408" i="3" s="1"/>
  <c r="S408" i="3" s="1"/>
  <c r="AA408" i="3"/>
  <c r="T408" i="3" l="1"/>
  <c r="AH408" i="3" s="1"/>
  <c r="E408" i="3" l="1"/>
  <c r="H408" i="3" s="1"/>
  <c r="K408" i="3" s="1"/>
  <c r="AE408" i="3" s="1"/>
  <c r="D408" i="3"/>
  <c r="G408" i="3" s="1"/>
  <c r="AG408" i="3"/>
  <c r="F408" i="3" l="1"/>
  <c r="I408" i="3"/>
  <c r="J408" i="3"/>
  <c r="M408" i="3"/>
  <c r="N408" i="3" s="1"/>
  <c r="V408" i="3"/>
  <c r="A409" i="3"/>
  <c r="B409" i="3" s="1"/>
  <c r="W408" i="3" l="1"/>
  <c r="L408" i="3"/>
  <c r="AA409" i="3"/>
  <c r="AC409" i="3"/>
  <c r="P409" i="3"/>
  <c r="Q409" i="3" s="1"/>
  <c r="R409" i="3" s="1"/>
  <c r="S409" i="3" s="1"/>
  <c r="AD409" i="3"/>
  <c r="Z409" i="3"/>
  <c r="U408" i="3" l="1"/>
  <c r="Y407" i="3"/>
  <c r="T409" i="3"/>
  <c r="E409" i="3" l="1"/>
  <c r="H409" i="3" s="1"/>
  <c r="K409" i="3" s="1"/>
  <c r="AE409" i="3" s="1"/>
  <c r="AH409" i="3"/>
  <c r="D409" i="3"/>
  <c r="AG409" i="3"/>
  <c r="F409" i="3" l="1"/>
  <c r="G409" i="3"/>
  <c r="V409" i="3"/>
  <c r="A410" i="3"/>
  <c r="B410" i="3" s="1"/>
  <c r="P410" i="3" l="1"/>
  <c r="Q410" i="3" s="1"/>
  <c r="R410" i="3" s="1"/>
  <c r="S410" i="3" s="1"/>
  <c r="AA410" i="3"/>
  <c r="AC410" i="3"/>
  <c r="AD410" i="3"/>
  <c r="Z410" i="3"/>
  <c r="I409" i="3"/>
  <c r="W409" i="3" s="1"/>
  <c r="J409" i="3"/>
  <c r="M409" i="3"/>
  <c r="N409" i="3" s="1"/>
  <c r="T410" i="3" l="1"/>
  <c r="L409" i="3"/>
  <c r="AG410" i="3" l="1"/>
  <c r="U409" i="3"/>
  <c r="D410" i="3" s="1"/>
  <c r="AH410" i="3"/>
  <c r="Y408" i="3"/>
  <c r="E410" i="3" l="1"/>
  <c r="H410" i="3" s="1"/>
  <c r="K410" i="3" s="1"/>
  <c r="AE410" i="3" s="1"/>
  <c r="G410" i="3"/>
  <c r="F410" i="3" l="1"/>
  <c r="I410" i="3"/>
  <c r="J410" i="3"/>
  <c r="M410" i="3"/>
  <c r="N410" i="3" s="1"/>
  <c r="V410" i="3"/>
  <c r="A411" i="3"/>
  <c r="B411" i="3" s="1"/>
  <c r="W410" i="3" l="1"/>
  <c r="L410" i="3"/>
  <c r="AC411" i="3"/>
  <c r="P411" i="3"/>
  <c r="Q411" i="3" s="1"/>
  <c r="R411" i="3" s="1"/>
  <c r="S411" i="3" s="1"/>
  <c r="AA411" i="3"/>
  <c r="Z411" i="3"/>
  <c r="AD411" i="3"/>
  <c r="U410" i="3" l="1"/>
  <c r="Y409" i="3"/>
  <c r="T411" i="3"/>
  <c r="AG411" i="3" s="1"/>
  <c r="E411" i="3" l="1"/>
  <c r="H411" i="3" s="1"/>
  <c r="K411" i="3" s="1"/>
  <c r="AE411" i="3" s="1"/>
  <c r="AH411" i="3"/>
  <c r="D411" i="3"/>
  <c r="F411" i="3" l="1"/>
  <c r="G411" i="3"/>
  <c r="V411" i="3"/>
  <c r="A412" i="3"/>
  <c r="B412" i="3" s="1"/>
  <c r="AA412" i="3" l="1"/>
  <c r="AC412" i="3"/>
  <c r="P412" i="3"/>
  <c r="Q412" i="3" s="1"/>
  <c r="R412" i="3" s="1"/>
  <c r="S412" i="3" s="1"/>
  <c r="Z412" i="3"/>
  <c r="AD412" i="3"/>
  <c r="I411" i="3"/>
  <c r="W411" i="3" s="1"/>
  <c r="J411" i="3"/>
  <c r="M411" i="3"/>
  <c r="N411" i="3" s="1"/>
  <c r="T412" i="3" l="1"/>
  <c r="L411" i="3"/>
  <c r="U411" i="3" l="1"/>
  <c r="D412" i="3" s="1"/>
  <c r="AG412" i="3"/>
  <c r="AH412" i="3"/>
  <c r="Y410" i="3"/>
  <c r="G412" i="3" l="1"/>
  <c r="E412" i="3"/>
  <c r="H412" i="3" s="1"/>
  <c r="F412" i="3" l="1"/>
  <c r="I412" i="3"/>
  <c r="J412" i="3"/>
  <c r="M412" i="3"/>
  <c r="N412" i="3" s="1"/>
  <c r="K412" i="3"/>
  <c r="AE412" i="3" s="1"/>
  <c r="V412" i="3" l="1"/>
  <c r="W412" i="3" s="1"/>
  <c r="A413" i="3"/>
  <c r="B413" i="3" s="1"/>
  <c r="L412" i="3"/>
  <c r="U412" i="3" l="1"/>
  <c r="Y411" i="3"/>
  <c r="Z413" i="3"/>
  <c r="P413" i="3"/>
  <c r="Q413" i="3" s="1"/>
  <c r="R413" i="3" s="1"/>
  <c r="S413" i="3" s="1"/>
  <c r="AA413" i="3"/>
  <c r="AC413" i="3"/>
  <c r="AD413" i="3"/>
  <c r="T413" i="3" l="1"/>
  <c r="D413" i="3" s="1"/>
  <c r="E413" i="3" l="1"/>
  <c r="H413" i="3" s="1"/>
  <c r="K413" i="3" s="1"/>
  <c r="AE413" i="3" s="1"/>
  <c r="AH413" i="3"/>
  <c r="G413" i="3"/>
  <c r="AG413" i="3"/>
  <c r="F413" i="3" l="1"/>
  <c r="I413" i="3"/>
  <c r="J413" i="3"/>
  <c r="M413" i="3"/>
  <c r="N413" i="3" s="1"/>
  <c r="V413" i="3"/>
  <c r="A414" i="3"/>
  <c r="B414" i="3" s="1"/>
  <c r="L413" i="3" l="1"/>
  <c r="P414" i="3"/>
  <c r="Q414" i="3" s="1"/>
  <c r="R414" i="3" s="1"/>
  <c r="S414" i="3" s="1"/>
  <c r="Z414" i="3"/>
  <c r="AA414" i="3"/>
  <c r="AC414" i="3"/>
  <c r="W413" i="3"/>
  <c r="U413" i="3" l="1"/>
  <c r="Y412" i="3"/>
  <c r="T414" i="3"/>
  <c r="D414" i="3" l="1"/>
  <c r="G414" i="3" s="1"/>
  <c r="E414" i="3"/>
  <c r="H414" i="3" s="1"/>
  <c r="K414" i="3" s="1"/>
  <c r="AE414" i="3" s="1"/>
  <c r="AG414" i="3"/>
  <c r="AH414" i="3"/>
  <c r="F414" i="3" l="1"/>
  <c r="I414" i="3"/>
  <c r="J414" i="3"/>
  <c r="AD414" i="3" s="1"/>
  <c r="M414" i="3"/>
  <c r="N414" i="3" s="1"/>
  <c r="V414" i="3"/>
  <c r="A415" i="3"/>
  <c r="B415" i="3" s="1"/>
  <c r="W414" i="3" l="1"/>
  <c r="L414" i="3"/>
  <c r="P415" i="3"/>
  <c r="Q415" i="3" s="1"/>
  <c r="R415" i="3" s="1"/>
  <c r="S415" i="3" s="1"/>
  <c r="AA415" i="3"/>
  <c r="Z415" i="3"/>
  <c r="AC415" i="3"/>
  <c r="U414" i="3" l="1"/>
  <c r="Y413" i="3"/>
  <c r="T415" i="3"/>
  <c r="D415" i="3" l="1"/>
  <c r="G415" i="3" s="1"/>
  <c r="AG415" i="3"/>
  <c r="AH415" i="3"/>
  <c r="E415" i="3"/>
  <c r="H415" i="3" s="1"/>
  <c r="F415" i="3" l="1"/>
  <c r="K415" i="3"/>
  <c r="AE415" i="3" s="1"/>
  <c r="I415" i="3"/>
  <c r="J415" i="3"/>
  <c r="AD415" i="3" s="1"/>
  <c r="M415" i="3"/>
  <c r="N415" i="3" s="1"/>
  <c r="L415" i="3" l="1"/>
  <c r="V415" i="3"/>
  <c r="W415" i="3" s="1"/>
  <c r="A416" i="3"/>
  <c r="B416" i="3" s="1"/>
  <c r="Z416" i="3" l="1"/>
  <c r="AA416" i="3"/>
  <c r="P416" i="3"/>
  <c r="Q416" i="3" s="1"/>
  <c r="R416" i="3" s="1"/>
  <c r="S416" i="3" s="1"/>
  <c r="AC416" i="3"/>
  <c r="U415" i="3"/>
  <c r="Y414" i="3"/>
  <c r="T416" i="3" l="1"/>
  <c r="AG416" i="3" s="1"/>
  <c r="D416" i="3" l="1"/>
  <c r="G416" i="3" s="1"/>
  <c r="E416" i="3"/>
  <c r="H416" i="3" s="1"/>
  <c r="K416" i="3" s="1"/>
  <c r="AE416" i="3" s="1"/>
  <c r="AH416" i="3"/>
  <c r="F416" i="3" l="1"/>
  <c r="V416" i="3"/>
  <c r="A417" i="3"/>
  <c r="B417" i="3" s="1"/>
  <c r="I416" i="3"/>
  <c r="J416" i="3"/>
  <c r="AD416" i="3" s="1"/>
  <c r="M416" i="3"/>
  <c r="N416" i="3" s="1"/>
  <c r="W416" i="3" l="1"/>
  <c r="L416" i="3"/>
  <c r="Z417" i="3"/>
  <c r="AC417" i="3"/>
  <c r="AA417" i="3"/>
  <c r="P417" i="3"/>
  <c r="Q417" i="3" s="1"/>
  <c r="R417" i="3" s="1"/>
  <c r="S417" i="3" s="1"/>
  <c r="U416" i="3" l="1"/>
  <c r="Y415" i="3"/>
  <c r="T417" i="3"/>
  <c r="D417" i="3" l="1"/>
  <c r="G417" i="3" s="1"/>
  <c r="AH417" i="3"/>
  <c r="E417" i="3"/>
  <c r="H417" i="3" s="1"/>
  <c r="K417" i="3" s="1"/>
  <c r="AE417" i="3" s="1"/>
  <c r="AG417" i="3"/>
  <c r="F417" i="3" l="1"/>
  <c r="V417" i="3"/>
  <c r="A418" i="3"/>
  <c r="B418" i="3" s="1"/>
  <c r="I417" i="3"/>
  <c r="J417" i="3"/>
  <c r="AD417" i="3" s="1"/>
  <c r="M417" i="3"/>
  <c r="N417" i="3" s="1"/>
  <c r="W417" i="3" l="1"/>
  <c r="L417" i="3"/>
  <c r="Z418" i="3"/>
  <c r="AA418" i="3"/>
  <c r="AC418" i="3"/>
  <c r="P418" i="3"/>
  <c r="Q418" i="3" s="1"/>
  <c r="R418" i="3" s="1"/>
  <c r="S418" i="3" s="1"/>
  <c r="T418" i="3" l="1"/>
  <c r="U417" i="3"/>
  <c r="Y416" i="3"/>
  <c r="D418" i="3" l="1"/>
  <c r="G418" i="3" s="1"/>
  <c r="E418" i="3"/>
  <c r="H418" i="3" s="1"/>
  <c r="AG418" i="3"/>
  <c r="AH418" i="3"/>
  <c r="F418" i="3" l="1"/>
  <c r="I418" i="3"/>
  <c r="J418" i="3"/>
  <c r="AD418" i="3" s="1"/>
  <c r="M418" i="3"/>
  <c r="N418" i="3" s="1"/>
  <c r="K418" i="3"/>
  <c r="AE418" i="3" s="1"/>
  <c r="V418" i="3" l="1"/>
  <c r="W418" i="3" s="1"/>
  <c r="A419" i="3"/>
  <c r="B419" i="3" s="1"/>
  <c r="L418" i="3"/>
  <c r="U418" i="3" l="1"/>
  <c r="Y417" i="3"/>
  <c r="AA419" i="3"/>
  <c r="P419" i="3"/>
  <c r="Q419" i="3" s="1"/>
  <c r="R419" i="3" s="1"/>
  <c r="S419" i="3" s="1"/>
  <c r="Z419" i="3"/>
  <c r="AC419" i="3"/>
  <c r="T419" i="3" l="1"/>
  <c r="AG419" i="3" s="1"/>
  <c r="AH419" i="3" l="1"/>
  <c r="E419" i="3"/>
  <c r="H419" i="3" s="1"/>
  <c r="K419" i="3" s="1"/>
  <c r="AE419" i="3" s="1"/>
  <c r="D419" i="3"/>
  <c r="F419" i="3" l="1"/>
  <c r="G419" i="3"/>
  <c r="J419" i="3" s="1"/>
  <c r="AD419" i="3" s="1"/>
  <c r="V419" i="3"/>
  <c r="A420" i="3"/>
  <c r="B420" i="3" s="1"/>
  <c r="I419" i="3" l="1"/>
  <c r="W419" i="3" s="1"/>
  <c r="M419" i="3"/>
  <c r="N419" i="3" s="1"/>
  <c r="L419" i="3"/>
  <c r="AC420" i="3"/>
  <c r="AA420" i="3"/>
  <c r="Z420" i="3"/>
  <c r="P420" i="3"/>
  <c r="Q420" i="3" s="1"/>
  <c r="R420" i="3" s="1"/>
  <c r="S420" i="3" s="1"/>
  <c r="T420" i="3" l="1"/>
  <c r="AH420" i="3" s="1"/>
  <c r="U419" i="3"/>
  <c r="Y418" i="3"/>
  <c r="E420" i="3" l="1"/>
  <c r="H420" i="3" s="1"/>
  <c r="K420" i="3" s="1"/>
  <c r="AE420" i="3" s="1"/>
  <c r="D420" i="3"/>
  <c r="AG420" i="3"/>
  <c r="V420" i="3" l="1"/>
  <c r="A421" i="3"/>
  <c r="B421" i="3" s="1"/>
  <c r="F420" i="3"/>
  <c r="G420" i="3"/>
  <c r="I420" i="3" l="1"/>
  <c r="W420" i="3" s="1"/>
  <c r="J420" i="3"/>
  <c r="AD420" i="3" s="1"/>
  <c r="M420" i="3"/>
  <c r="N420" i="3" s="1"/>
  <c r="Z421" i="3"/>
  <c r="P421" i="3"/>
  <c r="Q421" i="3" s="1"/>
  <c r="R421" i="3" s="1"/>
  <c r="S421" i="3" s="1"/>
  <c r="AC421" i="3"/>
  <c r="AA421" i="3"/>
  <c r="T421" i="3" l="1"/>
  <c r="L420" i="3"/>
  <c r="U420" i="3" l="1"/>
  <c r="D421" i="3" s="1"/>
  <c r="AH421" i="3"/>
  <c r="AG421" i="3"/>
  <c r="Y419" i="3"/>
  <c r="E421" i="3" l="1"/>
  <c r="H421" i="3" s="1"/>
  <c r="K421" i="3" s="1"/>
  <c r="AE421" i="3" s="1"/>
  <c r="G421" i="3"/>
  <c r="F421" i="3" l="1"/>
  <c r="V421" i="3"/>
  <c r="A422" i="3"/>
  <c r="B422" i="3" s="1"/>
  <c r="I421" i="3"/>
  <c r="J421" i="3"/>
  <c r="AD421" i="3" s="1"/>
  <c r="M421" i="3"/>
  <c r="N421" i="3" s="1"/>
  <c r="W421" i="3" l="1"/>
  <c r="L421" i="3"/>
  <c r="Z422" i="3"/>
  <c r="P422" i="3"/>
  <c r="Q422" i="3" s="1"/>
  <c r="R422" i="3" s="1"/>
  <c r="S422" i="3" s="1"/>
  <c r="AC422" i="3"/>
  <c r="AA422" i="3"/>
  <c r="U421" i="3" l="1"/>
  <c r="Y420" i="3"/>
  <c r="T422" i="3"/>
  <c r="D422" i="3" l="1"/>
  <c r="G422" i="3" s="1"/>
  <c r="AG422" i="3"/>
  <c r="E422" i="3"/>
  <c r="H422" i="3" s="1"/>
  <c r="K422" i="3" s="1"/>
  <c r="AE422" i="3" s="1"/>
  <c r="AH422" i="3"/>
  <c r="F422" i="3" l="1"/>
  <c r="V422" i="3"/>
  <c r="A423" i="3"/>
  <c r="B423" i="3" s="1"/>
  <c r="I422" i="3"/>
  <c r="J422" i="3"/>
  <c r="AD422" i="3" s="1"/>
  <c r="M422" i="3"/>
  <c r="N422" i="3" s="1"/>
  <c r="L422" i="3" l="1"/>
  <c r="W422" i="3"/>
  <c r="P423" i="3"/>
  <c r="Q423" i="3" s="1"/>
  <c r="R423" i="3" s="1"/>
  <c r="S423" i="3" s="1"/>
  <c r="Z423" i="3"/>
  <c r="AC423" i="3"/>
  <c r="AA423" i="3"/>
  <c r="U422" i="3" l="1"/>
  <c r="Y421" i="3"/>
  <c r="T423" i="3"/>
  <c r="D423" i="3" l="1"/>
  <c r="G423" i="3" s="1"/>
  <c r="AH423" i="3"/>
  <c r="E423" i="3"/>
  <c r="H423" i="3" s="1"/>
  <c r="K423" i="3" s="1"/>
  <c r="AE423" i="3" s="1"/>
  <c r="AG423" i="3"/>
  <c r="F423" i="3" l="1"/>
  <c r="V423" i="3"/>
  <c r="A424" i="3"/>
  <c r="B424" i="3" s="1"/>
  <c r="I423" i="3"/>
  <c r="J423" i="3"/>
  <c r="AD423" i="3" s="1"/>
  <c r="M423" i="3"/>
  <c r="N423" i="3" s="1"/>
  <c r="W423" i="3" l="1"/>
  <c r="L423" i="3"/>
  <c r="AA424" i="3"/>
  <c r="P424" i="3"/>
  <c r="Q424" i="3" s="1"/>
  <c r="R424" i="3" s="1"/>
  <c r="S424" i="3" s="1"/>
  <c r="Z424" i="3"/>
  <c r="AC424" i="3"/>
  <c r="T424" i="3" l="1"/>
  <c r="U423" i="3"/>
  <c r="Y422" i="3"/>
  <c r="D424" i="3" l="1"/>
  <c r="G424" i="3" s="1"/>
  <c r="E424" i="3"/>
  <c r="H424" i="3" s="1"/>
  <c r="K424" i="3" s="1"/>
  <c r="AE424" i="3" s="1"/>
  <c r="AG424" i="3"/>
  <c r="AH424" i="3"/>
  <c r="F424" i="3" l="1"/>
  <c r="V424" i="3"/>
  <c r="A425" i="3"/>
  <c r="B425" i="3" s="1"/>
  <c r="I424" i="3"/>
  <c r="J424" i="3"/>
  <c r="AD424" i="3" s="1"/>
  <c r="M424" i="3"/>
  <c r="N424" i="3" s="1"/>
  <c r="W424" i="3" l="1"/>
  <c r="L424" i="3"/>
  <c r="Z425" i="3"/>
  <c r="AA425" i="3"/>
  <c r="P425" i="3"/>
  <c r="Q425" i="3" s="1"/>
  <c r="R425" i="3" s="1"/>
  <c r="S425" i="3" s="1"/>
  <c r="AC425" i="3"/>
  <c r="AD425" i="3"/>
  <c r="U424" i="3" l="1"/>
  <c r="Y423" i="3"/>
  <c r="T425" i="3"/>
  <c r="E425" i="3" l="1"/>
  <c r="H425" i="3" s="1"/>
  <c r="K425" i="3" s="1"/>
  <c r="AE425" i="3" s="1"/>
  <c r="D425" i="3"/>
  <c r="G425" i="3" s="1"/>
  <c r="AH425" i="3"/>
  <c r="AG425" i="3"/>
  <c r="F425" i="3" l="1"/>
  <c r="I425" i="3"/>
  <c r="J425" i="3"/>
  <c r="M425" i="3"/>
  <c r="N425" i="3" s="1"/>
  <c r="V425" i="3"/>
  <c r="A426" i="3"/>
  <c r="B426" i="3" s="1"/>
  <c r="L425" i="3" l="1"/>
  <c r="W425" i="3"/>
  <c r="P426" i="3"/>
  <c r="Q426" i="3" s="1"/>
  <c r="R426" i="3" s="1"/>
  <c r="S426" i="3" s="1"/>
  <c r="AA426" i="3"/>
  <c r="AD426" i="3"/>
  <c r="Z426" i="3"/>
  <c r="AC426" i="3"/>
  <c r="U425" i="3" l="1"/>
  <c r="Y424" i="3"/>
  <c r="T426" i="3"/>
  <c r="AH426" i="3" s="1"/>
  <c r="E426" i="3" l="1"/>
  <c r="H426" i="3" s="1"/>
  <c r="D426" i="3"/>
  <c r="AG426" i="3"/>
  <c r="K426" i="3" l="1"/>
  <c r="AE426" i="3" s="1"/>
  <c r="F426" i="3"/>
  <c r="G426" i="3"/>
  <c r="V426" i="3" l="1"/>
  <c r="A427" i="3"/>
  <c r="B427" i="3" s="1"/>
  <c r="I426" i="3"/>
  <c r="J426" i="3"/>
  <c r="M426" i="3"/>
  <c r="N426" i="3" s="1"/>
  <c r="W426" i="3" l="1"/>
  <c r="L426" i="3"/>
  <c r="P427" i="3"/>
  <c r="Q427" i="3" s="1"/>
  <c r="R427" i="3" s="1"/>
  <c r="S427" i="3" s="1"/>
  <c r="AC427" i="3"/>
  <c r="AD427" i="3"/>
  <c r="Z427" i="3"/>
  <c r="AA427" i="3"/>
  <c r="U426" i="3" l="1"/>
  <c r="Y425" i="3"/>
  <c r="T427" i="3"/>
  <c r="AG427" i="3" s="1"/>
  <c r="D427" i="3" l="1"/>
  <c r="G427" i="3" s="1"/>
  <c r="E427" i="3"/>
  <c r="H427" i="3" s="1"/>
  <c r="K427" i="3" s="1"/>
  <c r="AE427" i="3" s="1"/>
  <c r="AH427" i="3"/>
  <c r="F427" i="3" l="1"/>
  <c r="I427" i="3"/>
  <c r="J427" i="3"/>
  <c r="M427" i="3"/>
  <c r="N427" i="3" s="1"/>
  <c r="V427" i="3"/>
  <c r="A428" i="3"/>
  <c r="B428" i="3" s="1"/>
  <c r="W427" i="3" l="1"/>
  <c r="L427" i="3"/>
  <c r="P428" i="3"/>
  <c r="Q428" i="3" s="1"/>
  <c r="R428" i="3" s="1"/>
  <c r="S428" i="3" s="1"/>
  <c r="AC428" i="3"/>
  <c r="Z428" i="3"/>
  <c r="AA428" i="3"/>
  <c r="AD428" i="3"/>
  <c r="U427" i="3" l="1"/>
  <c r="Y426" i="3"/>
  <c r="T428" i="3"/>
  <c r="AG428" i="3" s="1"/>
  <c r="E428" i="3" l="1"/>
  <c r="H428" i="3" s="1"/>
  <c r="AH428" i="3"/>
  <c r="D428" i="3"/>
  <c r="K428" i="3" l="1"/>
  <c r="AE428" i="3" s="1"/>
  <c r="F428" i="3"/>
  <c r="G428" i="3"/>
  <c r="I428" i="3" l="1"/>
  <c r="J428" i="3"/>
  <c r="M428" i="3"/>
  <c r="N428" i="3" s="1"/>
  <c r="V428" i="3"/>
  <c r="A429" i="3"/>
  <c r="B429" i="3" s="1"/>
  <c r="W428" i="3" l="1"/>
  <c r="AD429" i="3"/>
  <c r="Z429" i="3"/>
  <c r="AC429" i="3"/>
  <c r="P429" i="3"/>
  <c r="Q429" i="3" s="1"/>
  <c r="R429" i="3" s="1"/>
  <c r="S429" i="3" s="1"/>
  <c r="AA429" i="3"/>
  <c r="L428" i="3"/>
  <c r="U428" i="3" l="1"/>
  <c r="Y427" i="3"/>
  <c r="T429" i="3"/>
  <c r="D429" i="3" l="1"/>
  <c r="G429" i="3" s="1"/>
  <c r="E429" i="3"/>
  <c r="H429" i="3" s="1"/>
  <c r="K429" i="3" s="1"/>
  <c r="AE429" i="3" s="1"/>
  <c r="AG429" i="3"/>
  <c r="AH429" i="3"/>
  <c r="F429" i="3" l="1"/>
  <c r="I429" i="3"/>
  <c r="J429" i="3"/>
  <c r="M429" i="3"/>
  <c r="N429" i="3" s="1"/>
  <c r="V429" i="3"/>
  <c r="A430" i="3"/>
  <c r="B430" i="3" s="1"/>
  <c r="L429" i="3" l="1"/>
  <c r="W429" i="3"/>
  <c r="AA430" i="3"/>
  <c r="Z430" i="3"/>
  <c r="P430" i="3"/>
  <c r="Q430" i="3" s="1"/>
  <c r="R430" i="3" s="1"/>
  <c r="S430" i="3" s="1"/>
  <c r="AC430" i="3"/>
  <c r="AD430" i="3"/>
  <c r="U429" i="3" l="1"/>
  <c r="Y428" i="3"/>
  <c r="T430" i="3"/>
  <c r="D430" i="3" l="1"/>
  <c r="G430" i="3" s="1"/>
  <c r="AH430" i="3"/>
  <c r="E430" i="3"/>
  <c r="H430" i="3" s="1"/>
  <c r="AG430" i="3"/>
  <c r="F430" i="3" l="1"/>
  <c r="I430" i="3"/>
  <c r="J430" i="3"/>
  <c r="M430" i="3"/>
  <c r="N430" i="3" s="1"/>
  <c r="K430" i="3"/>
  <c r="AE430" i="3" s="1"/>
  <c r="V430" i="3" l="1"/>
  <c r="W430" i="3" s="1"/>
  <c r="A431" i="3"/>
  <c r="B431" i="3" s="1"/>
  <c r="L430" i="3"/>
  <c r="U430" i="3" l="1"/>
  <c r="Y429" i="3"/>
  <c r="AC431" i="3"/>
  <c r="Z431" i="3"/>
  <c r="P431" i="3"/>
  <c r="Q431" i="3" s="1"/>
  <c r="R431" i="3" s="1"/>
  <c r="S431" i="3" s="1"/>
  <c r="AA431" i="3"/>
  <c r="AD431" i="3"/>
  <c r="T431" i="3" l="1"/>
  <c r="AH431" i="3" s="1"/>
  <c r="E431" i="3" l="1"/>
  <c r="H431" i="3" s="1"/>
  <c r="AG431" i="3"/>
  <c r="D431" i="3"/>
  <c r="K431" i="3" l="1"/>
  <c r="AE431" i="3" s="1"/>
  <c r="F431" i="3"/>
  <c r="G431" i="3"/>
  <c r="V431" i="3" l="1"/>
  <c r="A432" i="3"/>
  <c r="B432" i="3" s="1"/>
  <c r="I431" i="3"/>
  <c r="J431" i="3"/>
  <c r="M431" i="3"/>
  <c r="N431" i="3" s="1"/>
  <c r="W431" i="3" l="1"/>
  <c r="L431" i="3"/>
  <c r="AA432" i="3"/>
  <c r="P432" i="3"/>
  <c r="Q432" i="3" s="1"/>
  <c r="R432" i="3" s="1"/>
  <c r="S432" i="3" s="1"/>
  <c r="AC432" i="3"/>
  <c r="Z432" i="3"/>
  <c r="AD432" i="3"/>
  <c r="T432" i="3" l="1"/>
  <c r="AH432" i="3" s="1"/>
  <c r="U431" i="3"/>
  <c r="Y430" i="3"/>
  <c r="AG432" i="3" l="1"/>
  <c r="E432" i="3"/>
  <c r="H432" i="3" s="1"/>
  <c r="D432" i="3"/>
  <c r="K432" i="3" l="1"/>
  <c r="AE432" i="3" s="1"/>
  <c r="F432" i="3"/>
  <c r="G432" i="3"/>
  <c r="I432" i="3" l="1"/>
  <c r="J432" i="3"/>
  <c r="M432" i="3"/>
  <c r="N432" i="3" s="1"/>
  <c r="V432" i="3"/>
  <c r="A433" i="3"/>
  <c r="B433" i="3" s="1"/>
  <c r="W432" i="3" l="1"/>
  <c r="L432" i="3"/>
  <c r="P433" i="3"/>
  <c r="Q433" i="3" s="1"/>
  <c r="R433" i="3" s="1"/>
  <c r="S433" i="3" s="1"/>
  <c r="AC433" i="3"/>
  <c r="Z433" i="3"/>
  <c r="AA433" i="3"/>
  <c r="AD433" i="3"/>
  <c r="U432" i="3" l="1"/>
  <c r="Y431" i="3"/>
  <c r="T433" i="3"/>
  <c r="E433" i="3" l="1"/>
  <c r="H433" i="3" s="1"/>
  <c r="K433" i="3" s="1"/>
  <c r="AE433" i="3" s="1"/>
  <c r="D433" i="3"/>
  <c r="AG433" i="3"/>
  <c r="AH433" i="3"/>
  <c r="F433" i="3" l="1"/>
  <c r="G433" i="3"/>
  <c r="M433" i="3" s="1"/>
  <c r="N433" i="3" s="1"/>
  <c r="V433" i="3"/>
  <c r="A434" i="3"/>
  <c r="B434" i="3" s="1"/>
  <c r="I433" i="3" l="1"/>
  <c r="W433" i="3" s="1"/>
  <c r="J433" i="3"/>
  <c r="L433" i="3" s="1"/>
  <c r="P434" i="3"/>
  <c r="Q434" i="3" s="1"/>
  <c r="R434" i="3" s="1"/>
  <c r="S434" i="3" s="1"/>
  <c r="Z434" i="3"/>
  <c r="AA434" i="3"/>
  <c r="AC434" i="3"/>
  <c r="U433" i="3" l="1"/>
  <c r="Y432" i="3"/>
  <c r="T434" i="3"/>
  <c r="AH434" i="3" s="1"/>
  <c r="E434" i="3" l="1"/>
  <c r="H434" i="3" s="1"/>
  <c r="K434" i="3" s="1"/>
  <c r="AE434" i="3" s="1"/>
  <c r="AG434" i="3"/>
  <c r="D434" i="3"/>
  <c r="F434" i="3" l="1"/>
  <c r="G434" i="3"/>
  <c r="M434" i="3" s="1"/>
  <c r="N434" i="3" s="1"/>
  <c r="V434" i="3"/>
  <c r="A435" i="3"/>
  <c r="B435" i="3" s="1"/>
  <c r="I434" i="3" l="1"/>
  <c r="W434" i="3" s="1"/>
  <c r="J434" i="3"/>
  <c r="P435" i="3"/>
  <c r="Q435" i="3" s="1"/>
  <c r="R435" i="3" s="1"/>
  <c r="S435" i="3" s="1"/>
  <c r="AA435" i="3"/>
  <c r="AD435" i="3"/>
  <c r="AC435" i="3"/>
  <c r="Z435" i="3"/>
  <c r="L434" i="3" l="1"/>
  <c r="Y433" i="3" s="1"/>
  <c r="AD434" i="3"/>
  <c r="T435" i="3"/>
  <c r="U434" i="3" l="1"/>
  <c r="E435" i="3" s="1"/>
  <c r="H435" i="3" s="1"/>
  <c r="AG435" i="3"/>
  <c r="AH435" i="3"/>
  <c r="D435" i="3" l="1"/>
  <c r="G435" i="3" s="1"/>
  <c r="I435" i="3" s="1"/>
  <c r="K435" i="3"/>
  <c r="AE435" i="3" s="1"/>
  <c r="J435" i="3" l="1"/>
  <c r="L435" i="3" s="1"/>
  <c r="M435" i="3"/>
  <c r="N435" i="3" s="1"/>
  <c r="F435" i="3"/>
  <c r="V435" i="3"/>
  <c r="W435" i="3" s="1"/>
  <c r="A436" i="3"/>
  <c r="B436" i="3" s="1"/>
  <c r="AC436" i="3" l="1"/>
  <c r="Z436" i="3"/>
  <c r="P436" i="3"/>
  <c r="Q436" i="3" s="1"/>
  <c r="R436" i="3" s="1"/>
  <c r="S436" i="3" s="1"/>
  <c r="AA436" i="3"/>
  <c r="AD436" i="3"/>
  <c r="U435" i="3"/>
  <c r="Y434" i="3"/>
  <c r="T436" i="3" l="1"/>
  <c r="E436" i="3" l="1"/>
  <c r="H436" i="3" s="1"/>
  <c r="D436" i="3"/>
  <c r="AH436" i="3"/>
  <c r="AG436" i="3"/>
  <c r="F436" i="3" l="1"/>
  <c r="G436" i="3"/>
  <c r="K436" i="3"/>
  <c r="AE436" i="3" s="1"/>
  <c r="I436" i="3" l="1"/>
  <c r="J436" i="3"/>
  <c r="M436" i="3"/>
  <c r="N436" i="3" s="1"/>
  <c r="V436" i="3"/>
  <c r="A437" i="3"/>
  <c r="B437" i="3" s="1"/>
  <c r="W436" i="3" l="1"/>
  <c r="L436" i="3"/>
  <c r="AC437" i="3"/>
  <c r="AA437" i="3"/>
  <c r="P437" i="3"/>
  <c r="Q437" i="3" s="1"/>
  <c r="R437" i="3" s="1"/>
  <c r="S437" i="3" s="1"/>
  <c r="AD437" i="3"/>
  <c r="Z437" i="3"/>
  <c r="U436" i="3" l="1"/>
  <c r="Y435" i="3"/>
  <c r="T437" i="3"/>
  <c r="AH437" i="3" s="1"/>
  <c r="D437" i="3" l="1"/>
  <c r="G437" i="3" s="1"/>
  <c r="E437" i="3"/>
  <c r="H437" i="3" s="1"/>
  <c r="K437" i="3" s="1"/>
  <c r="AE437" i="3" s="1"/>
  <c r="AG437" i="3"/>
  <c r="F437" i="3" l="1"/>
  <c r="I437" i="3"/>
  <c r="J437" i="3"/>
  <c r="M437" i="3"/>
  <c r="N437" i="3" s="1"/>
  <c r="V437" i="3"/>
  <c r="A438" i="3"/>
  <c r="B438" i="3" s="1"/>
  <c r="W437" i="3" l="1"/>
  <c r="L437" i="3"/>
  <c r="Z438" i="3"/>
  <c r="P438" i="3"/>
  <c r="Q438" i="3" s="1"/>
  <c r="R438" i="3" s="1"/>
  <c r="S438" i="3" s="1"/>
  <c r="AC438" i="3"/>
  <c r="AD438" i="3"/>
  <c r="AA438" i="3"/>
  <c r="U437" i="3" l="1"/>
  <c r="Y436" i="3"/>
  <c r="T438" i="3"/>
  <c r="E438" i="3" l="1"/>
  <c r="H438" i="3" s="1"/>
  <c r="K438" i="3" s="1"/>
  <c r="AE438" i="3" s="1"/>
  <c r="D438" i="3"/>
  <c r="AH438" i="3"/>
  <c r="AG438" i="3"/>
  <c r="V438" i="3" l="1"/>
  <c r="A439" i="3"/>
  <c r="B439" i="3" s="1"/>
  <c r="F438" i="3"/>
  <c r="G438" i="3"/>
  <c r="I438" i="3" l="1"/>
  <c r="W438" i="3" s="1"/>
  <c r="J438" i="3"/>
  <c r="M438" i="3"/>
  <c r="N438" i="3" s="1"/>
  <c r="Z439" i="3"/>
  <c r="P439" i="3"/>
  <c r="Q439" i="3" s="1"/>
  <c r="R439" i="3" s="1"/>
  <c r="S439" i="3" s="1"/>
  <c r="AD439" i="3"/>
  <c r="AC439" i="3"/>
  <c r="AA439" i="3"/>
  <c r="T439" i="3" l="1"/>
  <c r="L438" i="3"/>
  <c r="AG439" i="3" l="1"/>
  <c r="AH439" i="3"/>
  <c r="U438" i="3"/>
  <c r="E439" i="3" s="1"/>
  <c r="H439" i="3" s="1"/>
  <c r="Y437" i="3"/>
  <c r="D439" i="3" l="1"/>
  <c r="G439" i="3" s="1"/>
  <c r="K439" i="3"/>
  <c r="AE439" i="3" s="1"/>
  <c r="F439" i="3" l="1"/>
  <c r="V439" i="3"/>
  <c r="A440" i="3"/>
  <c r="B440" i="3" s="1"/>
  <c r="I439" i="3"/>
  <c r="J439" i="3"/>
  <c r="M439" i="3"/>
  <c r="N439" i="3" s="1"/>
  <c r="W439" i="3" l="1"/>
  <c r="L439" i="3"/>
  <c r="Z440" i="3"/>
  <c r="AC440" i="3"/>
  <c r="P440" i="3"/>
  <c r="Q440" i="3" s="1"/>
  <c r="R440" i="3" s="1"/>
  <c r="S440" i="3" s="1"/>
  <c r="AA440" i="3"/>
  <c r="AD440" i="3"/>
  <c r="T440" i="3" l="1"/>
  <c r="AH440" i="3" s="1"/>
  <c r="U439" i="3"/>
  <c r="Y438" i="3"/>
  <c r="AG440" i="3" l="1"/>
  <c r="D440" i="3"/>
  <c r="E440" i="3"/>
  <c r="H440" i="3" s="1"/>
  <c r="K440" i="3" l="1"/>
  <c r="AE440" i="3" s="1"/>
  <c r="F440" i="3"/>
  <c r="G440" i="3"/>
  <c r="I440" i="3" l="1"/>
  <c r="J440" i="3"/>
  <c r="M440" i="3"/>
  <c r="N440" i="3" s="1"/>
  <c r="V440" i="3"/>
  <c r="A441" i="3"/>
  <c r="B441" i="3" s="1"/>
  <c r="W440" i="3" l="1"/>
  <c r="L440" i="3"/>
  <c r="P441" i="3"/>
  <c r="Q441" i="3" s="1"/>
  <c r="R441" i="3" s="1"/>
  <c r="S441" i="3" s="1"/>
  <c r="AD441" i="3"/>
  <c r="AC441" i="3"/>
  <c r="Z441" i="3"/>
  <c r="AA441" i="3"/>
  <c r="T441" i="3" l="1"/>
  <c r="AH441" i="3" s="1"/>
  <c r="U440" i="3"/>
  <c r="Y439" i="3"/>
  <c r="E441" i="3" l="1"/>
  <c r="H441" i="3" s="1"/>
  <c r="K441" i="3" s="1"/>
  <c r="AE441" i="3" s="1"/>
  <c r="AG441" i="3"/>
  <c r="D441" i="3"/>
  <c r="V441" i="3" l="1"/>
  <c r="A442" i="3"/>
  <c r="B442" i="3" s="1"/>
  <c r="F441" i="3"/>
  <c r="G441" i="3"/>
  <c r="I441" i="3" l="1"/>
  <c r="W441" i="3" s="1"/>
  <c r="J441" i="3"/>
  <c r="M441" i="3"/>
  <c r="N441" i="3" s="1"/>
  <c r="AC442" i="3"/>
  <c r="AD442" i="3"/>
  <c r="AA442" i="3"/>
  <c r="P442" i="3"/>
  <c r="Q442" i="3" s="1"/>
  <c r="R442" i="3" s="1"/>
  <c r="S442" i="3" s="1"/>
  <c r="Z442" i="3"/>
  <c r="T442" i="3" l="1"/>
  <c r="L441" i="3"/>
  <c r="U441" i="3" l="1"/>
  <c r="D442" i="3" s="1"/>
  <c r="AH442" i="3"/>
  <c r="AG442" i="3"/>
  <c r="Y440" i="3"/>
  <c r="G442" i="3" l="1"/>
  <c r="E442" i="3"/>
  <c r="H442" i="3" s="1"/>
  <c r="I442" i="3" l="1"/>
  <c r="J442" i="3"/>
  <c r="M442" i="3"/>
  <c r="N442" i="3" s="1"/>
  <c r="F442" i="3"/>
  <c r="K442" i="3"/>
  <c r="AE442" i="3" s="1"/>
  <c r="V442" i="3" l="1"/>
  <c r="W442" i="3" s="1"/>
  <c r="A443" i="3"/>
  <c r="B443" i="3" s="1"/>
  <c r="L442" i="3"/>
  <c r="U442" i="3" l="1"/>
  <c r="Y441" i="3"/>
  <c r="Z443" i="3"/>
  <c r="P443" i="3"/>
  <c r="Q443" i="3" s="1"/>
  <c r="R443" i="3" s="1"/>
  <c r="S443" i="3" s="1"/>
  <c r="AD443" i="3"/>
  <c r="AC443" i="3"/>
  <c r="AA443" i="3"/>
  <c r="T443" i="3" l="1"/>
  <c r="D443" i="3" s="1"/>
  <c r="E443" i="3" l="1"/>
  <c r="H443" i="3" s="1"/>
  <c r="K443" i="3" s="1"/>
  <c r="AE443" i="3" s="1"/>
  <c r="G443" i="3"/>
  <c r="AG443" i="3"/>
  <c r="AH443" i="3"/>
  <c r="F443" i="3" l="1"/>
  <c r="V443" i="3"/>
  <c r="A444" i="3"/>
  <c r="B444" i="3" s="1"/>
  <c r="I443" i="3"/>
  <c r="J443" i="3"/>
  <c r="M443" i="3"/>
  <c r="N443" i="3" s="1"/>
  <c r="W443" i="3" l="1"/>
  <c r="L443" i="3"/>
  <c r="Z444" i="3"/>
  <c r="P444" i="3"/>
  <c r="Q444" i="3" s="1"/>
  <c r="R444" i="3" s="1"/>
  <c r="S444" i="3" s="1"/>
  <c r="AA444" i="3"/>
  <c r="AC444" i="3"/>
  <c r="U443" i="3" l="1"/>
  <c r="Y442" i="3"/>
  <c r="T444" i="3"/>
  <c r="AG444" i="3" s="1"/>
  <c r="AH444" i="3" l="1"/>
  <c r="D444" i="3"/>
  <c r="E444" i="3"/>
  <c r="H444" i="3" s="1"/>
  <c r="F444" i="3" l="1"/>
  <c r="G444" i="3"/>
  <c r="K444" i="3"/>
  <c r="AE444" i="3" s="1"/>
  <c r="I444" i="3" l="1"/>
  <c r="J444" i="3"/>
  <c r="AD444" i="3" s="1"/>
  <c r="M444" i="3"/>
  <c r="N444" i="3" s="1"/>
  <c r="V444" i="3"/>
  <c r="A445" i="3"/>
  <c r="B445" i="3" s="1"/>
  <c r="W444" i="3" l="1"/>
  <c r="L444" i="3"/>
  <c r="AA445" i="3"/>
  <c r="P445" i="3"/>
  <c r="Q445" i="3" s="1"/>
  <c r="R445" i="3" s="1"/>
  <c r="S445" i="3" s="1"/>
  <c r="Z445" i="3"/>
  <c r="AD445" i="3"/>
  <c r="AC445" i="3"/>
  <c r="T445" i="3" l="1"/>
  <c r="U444" i="3"/>
  <c r="Y443" i="3"/>
  <c r="D445" i="3" l="1"/>
  <c r="G445" i="3" s="1"/>
  <c r="AG445" i="3"/>
  <c r="E445" i="3"/>
  <c r="H445" i="3" s="1"/>
  <c r="AH445" i="3"/>
  <c r="K445" i="3" l="1"/>
  <c r="AE445" i="3" s="1"/>
  <c r="I445" i="3"/>
  <c r="J445" i="3"/>
  <c r="M445" i="3"/>
  <c r="N445" i="3" s="1"/>
  <c r="F445" i="3"/>
  <c r="L445" i="3" l="1"/>
  <c r="V445" i="3"/>
  <c r="W445" i="3" s="1"/>
  <c r="A446" i="3"/>
  <c r="B446" i="3" s="1"/>
  <c r="AD446" i="3" l="1"/>
  <c r="AC446" i="3"/>
  <c r="P446" i="3"/>
  <c r="Q446" i="3" s="1"/>
  <c r="R446" i="3" s="1"/>
  <c r="S446" i="3" s="1"/>
  <c r="Z446" i="3"/>
  <c r="AA446" i="3"/>
  <c r="U445" i="3"/>
  <c r="Y444" i="3"/>
  <c r="T446" i="3" l="1"/>
  <c r="D446" i="3" s="1"/>
  <c r="AG446" i="3" l="1"/>
  <c r="G446" i="3"/>
  <c r="E446" i="3"/>
  <c r="H446" i="3" s="1"/>
  <c r="AH446" i="3"/>
  <c r="K446" i="3" l="1"/>
  <c r="AE446" i="3" s="1"/>
  <c r="F446" i="3"/>
  <c r="I446" i="3"/>
  <c r="J446" i="3"/>
  <c r="M446" i="3"/>
  <c r="N446" i="3" s="1"/>
  <c r="L446" i="3" l="1"/>
  <c r="V446" i="3"/>
  <c r="W446" i="3" s="1"/>
  <c r="A447" i="3"/>
  <c r="B447" i="3" s="1"/>
  <c r="Z447" i="3" l="1"/>
  <c r="P447" i="3"/>
  <c r="Q447" i="3" s="1"/>
  <c r="R447" i="3" s="1"/>
  <c r="S447" i="3" s="1"/>
  <c r="AC447" i="3"/>
  <c r="AA447" i="3"/>
  <c r="AD447" i="3"/>
  <c r="U446" i="3"/>
  <c r="Y445" i="3"/>
  <c r="T447" i="3" l="1"/>
  <c r="AG447" i="3" s="1"/>
  <c r="D447" i="3" l="1"/>
  <c r="G447" i="3" s="1"/>
  <c r="AH447" i="3"/>
  <c r="E447" i="3"/>
  <c r="H447" i="3" s="1"/>
  <c r="K447" i="3" s="1"/>
  <c r="AE447" i="3" s="1"/>
  <c r="F447" i="3" l="1"/>
  <c r="I447" i="3"/>
  <c r="J447" i="3"/>
  <c r="M447" i="3"/>
  <c r="N447" i="3" s="1"/>
  <c r="V447" i="3"/>
  <c r="A448" i="3"/>
  <c r="B448" i="3" s="1"/>
  <c r="W447" i="3" l="1"/>
  <c r="L447" i="3"/>
  <c r="AD448" i="3"/>
  <c r="Z448" i="3"/>
  <c r="AA448" i="3"/>
  <c r="P448" i="3"/>
  <c r="Q448" i="3" s="1"/>
  <c r="R448" i="3" s="1"/>
  <c r="S448" i="3" s="1"/>
  <c r="AC448" i="3"/>
  <c r="T448" i="3" l="1"/>
  <c r="AG448" i="3" s="1"/>
  <c r="U447" i="3"/>
  <c r="Y446" i="3"/>
  <c r="D448" i="3" l="1"/>
  <c r="G448" i="3" s="1"/>
  <c r="E448" i="3"/>
  <c r="H448" i="3" s="1"/>
  <c r="AH448" i="3"/>
  <c r="F448" i="3" l="1"/>
  <c r="I448" i="3"/>
  <c r="J448" i="3"/>
  <c r="M448" i="3"/>
  <c r="N448" i="3" s="1"/>
  <c r="K448" i="3"/>
  <c r="AE448" i="3" s="1"/>
  <c r="V448" i="3" l="1"/>
  <c r="W448" i="3" s="1"/>
  <c r="A449" i="3"/>
  <c r="B449" i="3" s="1"/>
  <c r="L448" i="3"/>
  <c r="U448" i="3" l="1"/>
  <c r="Y447" i="3"/>
  <c r="P449" i="3"/>
  <c r="Q449" i="3" s="1"/>
  <c r="R449" i="3" s="1"/>
  <c r="S449" i="3" s="1"/>
  <c r="AD449" i="3"/>
  <c r="AA449" i="3"/>
  <c r="Z449" i="3"/>
  <c r="AC449" i="3"/>
  <c r="T449" i="3" l="1"/>
  <c r="D449" i="3" s="1"/>
  <c r="G449" i="3" l="1"/>
  <c r="AG449" i="3"/>
  <c r="AH449" i="3"/>
  <c r="E449" i="3"/>
  <c r="H449" i="3" s="1"/>
  <c r="K449" i="3" l="1"/>
  <c r="AE449" i="3" s="1"/>
  <c r="F449" i="3"/>
  <c r="I449" i="3"/>
  <c r="J449" i="3"/>
  <c r="M449" i="3"/>
  <c r="N449" i="3" s="1"/>
  <c r="L449" i="3" l="1"/>
  <c r="V449" i="3"/>
  <c r="W449" i="3" s="1"/>
  <c r="A450" i="3"/>
  <c r="B450" i="3" s="1"/>
  <c r="P450" i="3" l="1"/>
  <c r="Q450" i="3" s="1"/>
  <c r="R450" i="3" s="1"/>
  <c r="S450" i="3" s="1"/>
  <c r="AD450" i="3"/>
  <c r="Z450" i="3"/>
  <c r="AC450" i="3"/>
  <c r="AA450" i="3"/>
  <c r="U449" i="3"/>
  <c r="Y448" i="3"/>
  <c r="T450" i="3" l="1"/>
  <c r="D450" i="3" s="1"/>
  <c r="AH450" i="3" l="1"/>
  <c r="G450" i="3"/>
  <c r="E450" i="3"/>
  <c r="H450" i="3" s="1"/>
  <c r="AG450" i="3"/>
  <c r="F450" i="3" l="1"/>
  <c r="I450" i="3"/>
  <c r="J450" i="3"/>
  <c r="M450" i="3"/>
  <c r="N450" i="3" s="1"/>
  <c r="K450" i="3"/>
  <c r="AE450" i="3" s="1"/>
  <c r="V450" i="3" l="1"/>
  <c r="W450" i="3" s="1"/>
  <c r="A451" i="3"/>
  <c r="B451" i="3" s="1"/>
  <c r="L450" i="3"/>
  <c r="U450" i="3" l="1"/>
  <c r="Y449" i="3"/>
  <c r="P451" i="3"/>
  <c r="Q451" i="3" s="1"/>
  <c r="R451" i="3" s="1"/>
  <c r="S451" i="3" s="1"/>
  <c r="Z451" i="3"/>
  <c r="AD451" i="3"/>
  <c r="AA451" i="3"/>
  <c r="AC451" i="3"/>
  <c r="T451" i="3" l="1"/>
  <c r="AG451" i="3" s="1"/>
  <c r="E451" i="3" l="1"/>
  <c r="H451" i="3" s="1"/>
  <c r="K451" i="3" s="1"/>
  <c r="AE451" i="3" s="1"/>
  <c r="AH451" i="3"/>
  <c r="D451" i="3"/>
  <c r="V451" i="3" l="1"/>
  <c r="A452" i="3"/>
  <c r="B452" i="3" s="1"/>
  <c r="F451" i="3"/>
  <c r="G451" i="3"/>
  <c r="I451" i="3" l="1"/>
  <c r="W451" i="3" s="1"/>
  <c r="J451" i="3"/>
  <c r="M451" i="3"/>
  <c r="N451" i="3" s="1"/>
  <c r="AA452" i="3"/>
  <c r="P452" i="3"/>
  <c r="Q452" i="3" s="1"/>
  <c r="R452" i="3" s="1"/>
  <c r="S452" i="3" s="1"/>
  <c r="AC452" i="3"/>
  <c r="Z452" i="3"/>
  <c r="AD452" i="3"/>
  <c r="T452" i="3" l="1"/>
  <c r="L451" i="3"/>
  <c r="U451" i="3" l="1"/>
  <c r="D452" i="3" s="1"/>
  <c r="AH452" i="3"/>
  <c r="AG452" i="3"/>
  <c r="Y450" i="3"/>
  <c r="E452" i="3" l="1"/>
  <c r="H452" i="3" s="1"/>
  <c r="K452" i="3" s="1"/>
  <c r="AE452" i="3" s="1"/>
  <c r="G452" i="3"/>
  <c r="F452" i="3" l="1"/>
  <c r="I452" i="3"/>
  <c r="J452" i="3"/>
  <c r="M452" i="3"/>
  <c r="N452" i="3" s="1"/>
  <c r="V452" i="3"/>
  <c r="A453" i="3"/>
  <c r="B453" i="3" s="1"/>
  <c r="W452" i="3" l="1"/>
  <c r="L452" i="3"/>
  <c r="AA453" i="3"/>
  <c r="P453" i="3"/>
  <c r="Q453" i="3" s="1"/>
  <c r="R453" i="3" s="1"/>
  <c r="S453" i="3" s="1"/>
  <c r="AC453" i="3"/>
  <c r="AD453" i="3"/>
  <c r="Z453" i="3"/>
  <c r="U452" i="3" l="1"/>
  <c r="Y451" i="3"/>
  <c r="T453" i="3"/>
  <c r="AH453" i="3" s="1"/>
  <c r="AG453" i="3" l="1"/>
  <c r="E453" i="3"/>
  <c r="H453" i="3" s="1"/>
  <c r="D453" i="3"/>
  <c r="K453" i="3" l="1"/>
  <c r="AE453" i="3" s="1"/>
  <c r="F453" i="3"/>
  <c r="G453" i="3"/>
  <c r="I453" i="3" l="1"/>
  <c r="J453" i="3"/>
  <c r="M453" i="3"/>
  <c r="N453" i="3" s="1"/>
  <c r="V453" i="3"/>
  <c r="A454" i="3"/>
  <c r="B454" i="3" s="1"/>
  <c r="W453" i="3" l="1"/>
  <c r="AA454" i="3"/>
  <c r="AC454" i="3"/>
  <c r="Z454" i="3"/>
  <c r="P454" i="3"/>
  <c r="Q454" i="3" s="1"/>
  <c r="R454" i="3" s="1"/>
  <c r="S454" i="3" s="1"/>
  <c r="L453" i="3"/>
  <c r="U453" i="3" l="1"/>
  <c r="Y452" i="3"/>
  <c r="T454" i="3"/>
  <c r="E454" i="3" l="1"/>
  <c r="H454" i="3" s="1"/>
  <c r="K454" i="3" s="1"/>
  <c r="AE454" i="3" s="1"/>
  <c r="AH454" i="3"/>
  <c r="AG454" i="3"/>
  <c r="D454" i="3"/>
  <c r="F454" i="3" l="1"/>
  <c r="G454" i="3"/>
  <c r="V454" i="3"/>
  <c r="A455" i="3"/>
  <c r="B455" i="3" s="1"/>
  <c r="AC455" i="3" l="1"/>
  <c r="AD455" i="3"/>
  <c r="AA455" i="3"/>
  <c r="Z455" i="3"/>
  <c r="P455" i="3"/>
  <c r="Q455" i="3" s="1"/>
  <c r="R455" i="3" s="1"/>
  <c r="S455" i="3" s="1"/>
  <c r="I454" i="3"/>
  <c r="W454" i="3" s="1"/>
  <c r="J454" i="3"/>
  <c r="AD454" i="3" s="1"/>
  <c r="M454" i="3"/>
  <c r="N454" i="3" s="1"/>
  <c r="L454" i="3" l="1"/>
  <c r="T455" i="3"/>
  <c r="AH455" i="3" l="1"/>
  <c r="U454" i="3"/>
  <c r="D455" i="3" s="1"/>
  <c r="AG455" i="3"/>
  <c r="Y453" i="3"/>
  <c r="E455" i="3" l="1"/>
  <c r="H455" i="3" s="1"/>
  <c r="K455" i="3" s="1"/>
  <c r="AE455" i="3" s="1"/>
  <c r="G455" i="3"/>
  <c r="F455" i="3" l="1"/>
  <c r="I455" i="3"/>
  <c r="J455" i="3"/>
  <c r="M455" i="3"/>
  <c r="N455" i="3" s="1"/>
  <c r="V455" i="3"/>
  <c r="A456" i="3"/>
  <c r="B456" i="3" s="1"/>
  <c r="W455" i="3" l="1"/>
  <c r="L455" i="3"/>
  <c r="AC456" i="3"/>
  <c r="P456" i="3"/>
  <c r="Q456" i="3" s="1"/>
  <c r="R456" i="3" s="1"/>
  <c r="S456" i="3" s="1"/>
  <c r="AD456" i="3"/>
  <c r="Z456" i="3"/>
  <c r="AA456" i="3"/>
  <c r="U455" i="3" l="1"/>
  <c r="Y454" i="3"/>
  <c r="T456" i="3"/>
  <c r="AG456" i="3" s="1"/>
  <c r="D456" i="3" l="1"/>
  <c r="G456" i="3" s="1"/>
  <c r="AH456" i="3"/>
  <c r="E456" i="3"/>
  <c r="H456" i="3" s="1"/>
  <c r="I456" i="3" l="1"/>
  <c r="J456" i="3"/>
  <c r="M456" i="3"/>
  <c r="N456" i="3" s="1"/>
  <c r="K456" i="3"/>
  <c r="AE456" i="3" s="1"/>
  <c r="F456" i="3"/>
  <c r="V456" i="3" l="1"/>
  <c r="W456" i="3" s="1"/>
  <c r="A457" i="3"/>
  <c r="B457" i="3" s="1"/>
  <c r="L456" i="3"/>
  <c r="Z457" i="3" l="1"/>
  <c r="AC457" i="3"/>
  <c r="P457" i="3"/>
  <c r="Q457" i="3" s="1"/>
  <c r="R457" i="3" s="1"/>
  <c r="S457" i="3" s="1"/>
  <c r="AD457" i="3"/>
  <c r="AA457" i="3"/>
  <c r="U456" i="3"/>
  <c r="Y455" i="3"/>
  <c r="T457" i="3" l="1"/>
  <c r="D457" i="3" l="1"/>
  <c r="AH457" i="3"/>
  <c r="E457" i="3"/>
  <c r="H457" i="3" s="1"/>
  <c r="AG457" i="3"/>
  <c r="F457" i="3" l="1"/>
  <c r="G457" i="3"/>
  <c r="K457" i="3"/>
  <c r="AE457" i="3" s="1"/>
  <c r="I457" i="3" l="1"/>
  <c r="J457" i="3"/>
  <c r="M457" i="3"/>
  <c r="N457" i="3" s="1"/>
  <c r="V457" i="3"/>
  <c r="A458" i="3"/>
  <c r="B458" i="3" s="1"/>
  <c r="L457" i="3" l="1"/>
  <c r="W457" i="3"/>
  <c r="P458" i="3"/>
  <c r="Q458" i="3" s="1"/>
  <c r="R458" i="3" s="1"/>
  <c r="S458" i="3" s="1"/>
  <c r="AC458" i="3"/>
  <c r="Z458" i="3"/>
  <c r="AD458" i="3"/>
  <c r="AA458" i="3"/>
  <c r="U457" i="3" l="1"/>
  <c r="Y456" i="3"/>
  <c r="T458" i="3"/>
  <c r="AH458" i="3" s="1"/>
  <c r="AG458" i="3" l="1"/>
  <c r="E458" i="3"/>
  <c r="H458" i="3" s="1"/>
  <c r="D458" i="3"/>
  <c r="K458" i="3" l="1"/>
  <c r="AE458" i="3" s="1"/>
  <c r="F458" i="3"/>
  <c r="G458" i="3"/>
  <c r="V458" i="3" l="1"/>
  <c r="A459" i="3"/>
  <c r="B459" i="3" s="1"/>
  <c r="I458" i="3"/>
  <c r="J458" i="3"/>
  <c r="M458" i="3"/>
  <c r="N458" i="3" s="1"/>
  <c r="W458" i="3" l="1"/>
  <c r="L458" i="3"/>
  <c r="Z459" i="3"/>
  <c r="P459" i="3"/>
  <c r="Q459" i="3" s="1"/>
  <c r="R459" i="3" s="1"/>
  <c r="S459" i="3" s="1"/>
  <c r="AA459" i="3"/>
  <c r="AD459" i="3"/>
  <c r="AC459" i="3"/>
  <c r="T459" i="3" l="1"/>
  <c r="AH459" i="3" s="1"/>
  <c r="U458" i="3"/>
  <c r="Y457" i="3"/>
  <c r="AG459" i="3" l="1"/>
  <c r="D459" i="3"/>
  <c r="E459" i="3"/>
  <c r="H459" i="3" s="1"/>
  <c r="K459" i="3" l="1"/>
  <c r="AE459" i="3" s="1"/>
  <c r="F459" i="3"/>
  <c r="G459" i="3"/>
  <c r="I459" i="3" l="1"/>
  <c r="J459" i="3"/>
  <c r="M459" i="3"/>
  <c r="N459" i="3" s="1"/>
  <c r="V459" i="3"/>
  <c r="A460" i="3"/>
  <c r="B460" i="3" s="1"/>
  <c r="W459" i="3" l="1"/>
  <c r="L459" i="3"/>
  <c r="P460" i="3"/>
  <c r="Q460" i="3" s="1"/>
  <c r="R460" i="3" s="1"/>
  <c r="S460" i="3" s="1"/>
  <c r="AD460" i="3"/>
  <c r="Z460" i="3"/>
  <c r="AA460" i="3"/>
  <c r="AC460" i="3"/>
  <c r="U459" i="3" l="1"/>
  <c r="Y458" i="3"/>
  <c r="T460" i="3"/>
  <c r="D460" i="3" l="1"/>
  <c r="G460" i="3" s="1"/>
  <c r="AH460" i="3"/>
  <c r="E460" i="3"/>
  <c r="H460" i="3" s="1"/>
  <c r="AG460" i="3"/>
  <c r="F460" i="3" l="1"/>
  <c r="I460" i="3"/>
  <c r="J460" i="3"/>
  <c r="M460" i="3"/>
  <c r="N460" i="3" s="1"/>
  <c r="K460" i="3"/>
  <c r="AE460" i="3" s="1"/>
  <c r="V460" i="3" l="1"/>
  <c r="W460" i="3" s="1"/>
  <c r="A461" i="3"/>
  <c r="B461" i="3" s="1"/>
  <c r="L460" i="3"/>
  <c r="U460" i="3" l="1"/>
  <c r="Y459" i="3"/>
  <c r="AC461" i="3"/>
  <c r="Z461" i="3"/>
  <c r="P461" i="3"/>
  <c r="Q461" i="3" s="1"/>
  <c r="R461" i="3" s="1"/>
  <c r="S461" i="3" s="1"/>
  <c r="AA461" i="3"/>
  <c r="AD461" i="3"/>
  <c r="T461" i="3" l="1"/>
  <c r="D461" i="3" s="1"/>
  <c r="AG461" i="3" l="1"/>
  <c r="G461" i="3"/>
  <c r="AH461" i="3"/>
  <c r="E461" i="3"/>
  <c r="H461" i="3" s="1"/>
  <c r="F461" i="3" l="1"/>
  <c r="I461" i="3"/>
  <c r="J461" i="3"/>
  <c r="M461" i="3"/>
  <c r="N461" i="3" s="1"/>
  <c r="K461" i="3"/>
  <c r="AE461" i="3" s="1"/>
  <c r="V461" i="3" l="1"/>
  <c r="W461" i="3" s="1"/>
  <c r="A462" i="3"/>
  <c r="B462" i="3" s="1"/>
  <c r="L461" i="3"/>
  <c r="U461" i="3" l="1"/>
  <c r="Y460" i="3"/>
  <c r="Z462" i="3"/>
  <c r="P462" i="3"/>
  <c r="Q462" i="3" s="1"/>
  <c r="R462" i="3" s="1"/>
  <c r="S462" i="3" s="1"/>
  <c r="AD462" i="3"/>
  <c r="AA462" i="3"/>
  <c r="AC462" i="3"/>
  <c r="T462" i="3" l="1"/>
  <c r="E462" i="3" s="1"/>
  <c r="H462" i="3" s="1"/>
  <c r="AG462" i="3" l="1"/>
  <c r="AH462" i="3"/>
  <c r="D462" i="3"/>
  <c r="G462" i="3" s="1"/>
  <c r="K462" i="3"/>
  <c r="AE462" i="3" s="1"/>
  <c r="F462" i="3" l="1"/>
  <c r="V462" i="3"/>
  <c r="A463" i="3"/>
  <c r="B463" i="3" s="1"/>
  <c r="I462" i="3"/>
  <c r="J462" i="3"/>
  <c r="M462" i="3"/>
  <c r="N462" i="3" s="1"/>
  <c r="W462" i="3" l="1"/>
  <c r="L462" i="3"/>
  <c r="P463" i="3"/>
  <c r="Q463" i="3" s="1"/>
  <c r="R463" i="3" s="1"/>
  <c r="S463" i="3" s="1"/>
  <c r="AC463" i="3"/>
  <c r="Z463" i="3"/>
  <c r="AA463" i="3"/>
  <c r="AD463" i="3"/>
  <c r="U462" i="3" l="1"/>
  <c r="Y461" i="3"/>
  <c r="T463" i="3"/>
  <c r="AH463" i="3" s="1"/>
  <c r="AG463" i="3" l="1"/>
  <c r="D463" i="3"/>
  <c r="E463" i="3"/>
  <c r="H463" i="3" s="1"/>
  <c r="F463" i="3" l="1"/>
  <c r="G463" i="3"/>
  <c r="K463" i="3"/>
  <c r="AE463" i="3" s="1"/>
  <c r="V463" i="3" l="1"/>
  <c r="A464" i="3"/>
  <c r="B464" i="3" s="1"/>
  <c r="I463" i="3"/>
  <c r="J463" i="3"/>
  <c r="M463" i="3"/>
  <c r="N463" i="3" s="1"/>
  <c r="W463" i="3" l="1"/>
  <c r="L463" i="3"/>
  <c r="Z464" i="3"/>
  <c r="AC464" i="3"/>
  <c r="P464" i="3"/>
  <c r="Q464" i="3" s="1"/>
  <c r="R464" i="3" s="1"/>
  <c r="S464" i="3" s="1"/>
  <c r="AA464" i="3"/>
  <c r="T464" i="3" l="1"/>
  <c r="AG464" i="3" s="1"/>
  <c r="U463" i="3"/>
  <c r="Y462" i="3"/>
  <c r="AH464" i="3" l="1"/>
  <c r="D464" i="3"/>
  <c r="E464" i="3"/>
  <c r="H464" i="3" s="1"/>
  <c r="K464" i="3" l="1"/>
  <c r="AE464" i="3" s="1"/>
  <c r="F464" i="3"/>
  <c r="G464" i="3"/>
  <c r="I464" i="3" l="1"/>
  <c r="J464" i="3"/>
  <c r="AD464" i="3" s="1"/>
  <c r="M464" i="3"/>
  <c r="N464" i="3" s="1"/>
  <c r="V464" i="3"/>
  <c r="A465" i="3"/>
  <c r="B465" i="3" s="1"/>
  <c r="W464" i="3" l="1"/>
  <c r="L464" i="3"/>
  <c r="Z465" i="3"/>
  <c r="P465" i="3"/>
  <c r="Q465" i="3" s="1"/>
  <c r="R465" i="3" s="1"/>
  <c r="S465" i="3" s="1"/>
  <c r="AC465" i="3"/>
  <c r="AA465" i="3"/>
  <c r="AD465" i="3"/>
  <c r="T465" i="3" l="1"/>
  <c r="AH465" i="3" s="1"/>
  <c r="U464" i="3"/>
  <c r="Y463" i="3"/>
  <c r="D465" i="3" l="1"/>
  <c r="G465" i="3" s="1"/>
  <c r="E465" i="3"/>
  <c r="H465" i="3" s="1"/>
  <c r="AG465" i="3"/>
  <c r="F465" i="3" l="1"/>
  <c r="I465" i="3"/>
  <c r="J465" i="3"/>
  <c r="M465" i="3"/>
  <c r="N465" i="3" s="1"/>
  <c r="K465" i="3"/>
  <c r="AE465" i="3" s="1"/>
  <c r="V465" i="3" l="1"/>
  <c r="W465" i="3" s="1"/>
  <c r="A466" i="3"/>
  <c r="B466" i="3" s="1"/>
  <c r="L465" i="3"/>
  <c r="U465" i="3" l="1"/>
  <c r="Y464" i="3"/>
  <c r="AA466" i="3"/>
  <c r="AD466" i="3"/>
  <c r="AC466" i="3"/>
  <c r="Z466" i="3"/>
  <c r="P466" i="3"/>
  <c r="Q466" i="3" s="1"/>
  <c r="R466" i="3" s="1"/>
  <c r="S466" i="3" s="1"/>
  <c r="T466" i="3" l="1"/>
  <c r="AH466" i="3" s="1"/>
  <c r="AG466" i="3" l="1"/>
  <c r="E466" i="3"/>
  <c r="H466" i="3" s="1"/>
  <c r="K466" i="3" s="1"/>
  <c r="AE466" i="3" s="1"/>
  <c r="D466" i="3"/>
  <c r="G466" i="3" s="1"/>
  <c r="F466" i="3" l="1"/>
  <c r="I466" i="3"/>
  <c r="J466" i="3"/>
  <c r="M466" i="3"/>
  <c r="N466" i="3" s="1"/>
  <c r="V466" i="3"/>
  <c r="A467" i="3"/>
  <c r="B467" i="3" s="1"/>
  <c r="W466" i="3" l="1"/>
  <c r="L466" i="3"/>
  <c r="P467" i="3"/>
  <c r="Q467" i="3" s="1"/>
  <c r="R467" i="3" s="1"/>
  <c r="S467" i="3" s="1"/>
  <c r="AA467" i="3"/>
  <c r="Z467" i="3"/>
  <c r="AC467" i="3"/>
  <c r="AD467" i="3"/>
  <c r="U466" i="3" l="1"/>
  <c r="Y465" i="3"/>
  <c r="T467" i="3"/>
  <c r="E467" i="3" l="1"/>
  <c r="H467" i="3" s="1"/>
  <c r="K467" i="3" s="1"/>
  <c r="AE467" i="3" s="1"/>
  <c r="AG467" i="3"/>
  <c r="D467" i="3"/>
  <c r="AH467" i="3"/>
  <c r="F467" i="3" l="1"/>
  <c r="G467" i="3"/>
  <c r="V467" i="3"/>
  <c r="A468" i="3"/>
  <c r="B468" i="3" s="1"/>
  <c r="AC468" i="3" l="1"/>
  <c r="Z468" i="3"/>
  <c r="P468" i="3"/>
  <c r="Q468" i="3" s="1"/>
  <c r="R468" i="3" s="1"/>
  <c r="S468" i="3" s="1"/>
  <c r="AA468" i="3"/>
  <c r="AD468" i="3"/>
  <c r="I467" i="3"/>
  <c r="W467" i="3" s="1"/>
  <c r="J467" i="3"/>
  <c r="M467" i="3"/>
  <c r="N467" i="3" s="1"/>
  <c r="L467" i="3" l="1"/>
  <c r="T468" i="3"/>
  <c r="U467" i="3" l="1"/>
  <c r="D468" i="3" s="1"/>
  <c r="AH468" i="3"/>
  <c r="AG468" i="3"/>
  <c r="Y466" i="3"/>
  <c r="E468" i="3" l="1"/>
  <c r="H468" i="3" s="1"/>
  <c r="K468" i="3" s="1"/>
  <c r="AE468" i="3" s="1"/>
  <c r="G468" i="3"/>
  <c r="F468" i="3" l="1"/>
  <c r="I468" i="3"/>
  <c r="J468" i="3"/>
  <c r="M468" i="3"/>
  <c r="N468" i="3" s="1"/>
  <c r="V468" i="3"/>
  <c r="A469" i="3"/>
  <c r="B469" i="3" s="1"/>
  <c r="W468" i="3" l="1"/>
  <c r="L468" i="3"/>
  <c r="AD469" i="3"/>
  <c r="AA469" i="3"/>
  <c r="P469" i="3"/>
  <c r="Q469" i="3" s="1"/>
  <c r="R469" i="3" s="1"/>
  <c r="S469" i="3" s="1"/>
  <c r="Z469" i="3"/>
  <c r="AC469" i="3"/>
  <c r="U468" i="3" l="1"/>
  <c r="Y467" i="3"/>
  <c r="T469" i="3"/>
  <c r="AG469" i="3" s="1"/>
  <c r="D469" i="3" l="1"/>
  <c r="G469" i="3" s="1"/>
  <c r="AH469" i="3"/>
  <c r="E469" i="3"/>
  <c r="H469" i="3" s="1"/>
  <c r="K469" i="3" s="1"/>
  <c r="AE469" i="3" s="1"/>
  <c r="F469" i="3" l="1"/>
  <c r="I469" i="3"/>
  <c r="J469" i="3"/>
  <c r="M469" i="3"/>
  <c r="N469" i="3" s="1"/>
  <c r="V469" i="3"/>
  <c r="A470" i="3"/>
  <c r="B470" i="3" s="1"/>
  <c r="W469" i="3" l="1"/>
  <c r="L469" i="3"/>
  <c r="AC470" i="3"/>
  <c r="P470" i="3"/>
  <c r="Q470" i="3" s="1"/>
  <c r="R470" i="3" s="1"/>
  <c r="S470" i="3" s="1"/>
  <c r="AA470" i="3"/>
  <c r="Z470" i="3"/>
  <c r="AD470" i="3"/>
  <c r="U469" i="3" l="1"/>
  <c r="Y468" i="3"/>
  <c r="T470" i="3"/>
  <c r="D470" i="3" l="1"/>
  <c r="G470" i="3" s="1"/>
  <c r="AH470" i="3"/>
  <c r="AG470" i="3"/>
  <c r="E470" i="3"/>
  <c r="H470" i="3" s="1"/>
  <c r="K470" i="3" l="1"/>
  <c r="AE470" i="3" s="1"/>
  <c r="F470" i="3"/>
  <c r="I470" i="3"/>
  <c r="J470" i="3"/>
  <c r="M470" i="3"/>
  <c r="N470" i="3" s="1"/>
  <c r="V470" i="3" l="1"/>
  <c r="W470" i="3" s="1"/>
  <c r="A471" i="3"/>
  <c r="B471" i="3" s="1"/>
  <c r="L470" i="3"/>
  <c r="U470" i="3" l="1"/>
  <c r="Y469" i="3"/>
  <c r="Z471" i="3"/>
  <c r="AA471" i="3"/>
  <c r="AD471" i="3"/>
  <c r="AC471" i="3"/>
  <c r="P471" i="3"/>
  <c r="Q471" i="3" s="1"/>
  <c r="R471" i="3" s="1"/>
  <c r="S471" i="3" s="1"/>
  <c r="T471" i="3" l="1"/>
  <c r="AH471" i="3" s="1"/>
  <c r="AG471" i="3" l="1"/>
  <c r="E471" i="3"/>
  <c r="H471" i="3" s="1"/>
  <c r="D471" i="3"/>
  <c r="F471" i="3" l="1"/>
  <c r="G471" i="3"/>
  <c r="K471" i="3"/>
  <c r="AE471" i="3" s="1"/>
  <c r="V471" i="3" l="1"/>
  <c r="A472" i="3"/>
  <c r="B472" i="3" s="1"/>
  <c r="I471" i="3"/>
  <c r="J471" i="3"/>
  <c r="M471" i="3"/>
  <c r="N471" i="3" s="1"/>
  <c r="W471" i="3" l="1"/>
  <c r="L471" i="3"/>
  <c r="Z472" i="3"/>
  <c r="AA472" i="3"/>
  <c r="P472" i="3"/>
  <c r="Q472" i="3" s="1"/>
  <c r="R472" i="3" s="1"/>
  <c r="S472" i="3" s="1"/>
  <c r="AD472" i="3"/>
  <c r="AC472" i="3"/>
  <c r="U471" i="3" l="1"/>
  <c r="Y470" i="3"/>
  <c r="T472" i="3"/>
  <c r="E472" i="3" l="1"/>
  <c r="H472" i="3" s="1"/>
  <c r="K472" i="3" s="1"/>
  <c r="AE472" i="3" s="1"/>
  <c r="AG472" i="3"/>
  <c r="AH472" i="3"/>
  <c r="D472" i="3"/>
  <c r="V472" i="3" l="1"/>
  <c r="A473" i="3"/>
  <c r="B473" i="3" s="1"/>
  <c r="F472" i="3"/>
  <c r="G472" i="3"/>
  <c r="I472" i="3" l="1"/>
  <c r="W472" i="3" s="1"/>
  <c r="J472" i="3"/>
  <c r="M472" i="3"/>
  <c r="N472" i="3" s="1"/>
  <c r="AC473" i="3"/>
  <c r="P473" i="3"/>
  <c r="Q473" i="3" s="1"/>
  <c r="R473" i="3" s="1"/>
  <c r="S473" i="3" s="1"/>
  <c r="AD473" i="3"/>
  <c r="Z473" i="3"/>
  <c r="AA473" i="3"/>
  <c r="L472" i="3" l="1"/>
  <c r="T473" i="3"/>
  <c r="U472" i="3" l="1"/>
  <c r="D473" i="3" s="1"/>
  <c r="AH473" i="3"/>
  <c r="AG473" i="3"/>
  <c r="Y471" i="3"/>
  <c r="G473" i="3" l="1"/>
  <c r="E473" i="3"/>
  <c r="H473" i="3" s="1"/>
  <c r="F473" i="3" l="1"/>
  <c r="I473" i="3"/>
  <c r="J473" i="3"/>
  <c r="M473" i="3"/>
  <c r="N473" i="3" s="1"/>
  <c r="K473" i="3"/>
  <c r="AE473" i="3" s="1"/>
  <c r="V473" i="3" l="1"/>
  <c r="W473" i="3" s="1"/>
  <c r="A474" i="3"/>
  <c r="B474" i="3" s="1"/>
  <c r="L473" i="3"/>
  <c r="U473" i="3" l="1"/>
  <c r="Y472" i="3"/>
  <c r="P474" i="3"/>
  <c r="Q474" i="3" s="1"/>
  <c r="R474" i="3" s="1"/>
  <c r="S474" i="3" s="1"/>
  <c r="Z474" i="3"/>
  <c r="AA474" i="3"/>
  <c r="AC474" i="3"/>
  <c r="T474" i="3" l="1"/>
  <c r="D474" i="3" s="1"/>
  <c r="AG474" i="3" l="1"/>
  <c r="AH474" i="3"/>
  <c r="G474" i="3"/>
  <c r="E474" i="3"/>
  <c r="H474" i="3" s="1"/>
  <c r="I474" i="3" l="1"/>
  <c r="J474" i="3"/>
  <c r="AD474" i="3" s="1"/>
  <c r="M474" i="3"/>
  <c r="N474" i="3" s="1"/>
  <c r="F474" i="3"/>
  <c r="K474" i="3"/>
  <c r="AE474" i="3" s="1"/>
  <c r="V474" i="3" l="1"/>
  <c r="W474" i="3" s="1"/>
  <c r="A475" i="3"/>
  <c r="B475" i="3" s="1"/>
  <c r="L474" i="3"/>
  <c r="U474" i="3" l="1"/>
  <c r="Y473" i="3"/>
  <c r="AC475" i="3"/>
  <c r="Z475" i="3"/>
  <c r="P475" i="3"/>
  <c r="Q475" i="3" s="1"/>
  <c r="R475" i="3" s="1"/>
  <c r="S475" i="3" s="1"/>
  <c r="AD475" i="3"/>
  <c r="AA475" i="3"/>
  <c r="T475" i="3" l="1"/>
  <c r="AG475" i="3" s="1"/>
  <c r="AH475" i="3" l="1"/>
  <c r="E475" i="3"/>
  <c r="H475" i="3" s="1"/>
  <c r="K475" i="3" s="1"/>
  <c r="AE475" i="3" s="1"/>
  <c r="D475" i="3"/>
  <c r="F475" i="3" l="1"/>
  <c r="G475" i="3"/>
  <c r="M475" i="3" s="1"/>
  <c r="N475" i="3" s="1"/>
  <c r="V475" i="3"/>
  <c r="A476" i="3"/>
  <c r="B476" i="3" s="1"/>
  <c r="I475" i="3" l="1"/>
  <c r="W475" i="3" s="1"/>
  <c r="J475" i="3"/>
  <c r="L475" i="3" s="1"/>
  <c r="P476" i="3"/>
  <c r="Q476" i="3" s="1"/>
  <c r="R476" i="3" s="1"/>
  <c r="S476" i="3" s="1"/>
  <c r="AA476" i="3"/>
  <c r="AD476" i="3"/>
  <c r="Z476" i="3"/>
  <c r="AC476" i="3"/>
  <c r="U475" i="3" l="1"/>
  <c r="Y474" i="3"/>
  <c r="T476" i="3"/>
  <c r="AG476" i="3" s="1"/>
  <c r="D476" i="3" l="1"/>
  <c r="G476" i="3" s="1"/>
  <c r="E476" i="3"/>
  <c r="H476" i="3" s="1"/>
  <c r="K476" i="3" s="1"/>
  <c r="AE476" i="3" s="1"/>
  <c r="AH476" i="3"/>
  <c r="F476" i="3" l="1"/>
  <c r="V476" i="3"/>
  <c r="A477" i="3"/>
  <c r="B477" i="3" s="1"/>
  <c r="I476" i="3"/>
  <c r="J476" i="3"/>
  <c r="M476" i="3"/>
  <c r="N476" i="3" s="1"/>
  <c r="W476" i="3" l="1"/>
  <c r="L476" i="3"/>
  <c r="AA477" i="3"/>
  <c r="P477" i="3"/>
  <c r="Q477" i="3" s="1"/>
  <c r="R477" i="3" s="1"/>
  <c r="S477" i="3" s="1"/>
  <c r="AD477" i="3"/>
  <c r="AC477" i="3"/>
  <c r="Z477" i="3"/>
  <c r="U476" i="3" l="1"/>
  <c r="Y475" i="3"/>
  <c r="T477" i="3"/>
  <c r="D477" i="3" l="1"/>
  <c r="G477" i="3" s="1"/>
  <c r="AG477" i="3"/>
  <c r="E477" i="3"/>
  <c r="H477" i="3" s="1"/>
  <c r="K477" i="3" s="1"/>
  <c r="AE477" i="3" s="1"/>
  <c r="AH477" i="3"/>
  <c r="F477" i="3" l="1"/>
  <c r="V477" i="3"/>
  <c r="A478" i="3"/>
  <c r="B478" i="3" s="1"/>
  <c r="I477" i="3"/>
  <c r="J477" i="3"/>
  <c r="M477" i="3"/>
  <c r="N477" i="3" s="1"/>
  <c r="W477" i="3" l="1"/>
  <c r="L477" i="3"/>
  <c r="AA478" i="3"/>
  <c r="AD478" i="3"/>
  <c r="P478" i="3"/>
  <c r="Q478" i="3" s="1"/>
  <c r="R478" i="3" s="1"/>
  <c r="S478" i="3" s="1"/>
  <c r="AC478" i="3"/>
  <c r="Z478" i="3"/>
  <c r="T478" i="3" l="1"/>
  <c r="U477" i="3"/>
  <c r="Y476" i="3"/>
  <c r="E478" i="3" l="1"/>
  <c r="H478" i="3" s="1"/>
  <c r="K478" i="3" s="1"/>
  <c r="AE478" i="3" s="1"/>
  <c r="AG478" i="3"/>
  <c r="AH478" i="3"/>
  <c r="D478" i="3"/>
  <c r="F478" i="3" l="1"/>
  <c r="G478" i="3"/>
  <c r="V478" i="3"/>
  <c r="A479" i="3"/>
  <c r="B479" i="3" s="1"/>
  <c r="I478" i="3" l="1"/>
  <c r="W478" i="3" s="1"/>
  <c r="J478" i="3"/>
  <c r="M478" i="3"/>
  <c r="N478" i="3" s="1"/>
  <c r="P479" i="3"/>
  <c r="Q479" i="3" s="1"/>
  <c r="R479" i="3" s="1"/>
  <c r="S479" i="3" s="1"/>
  <c r="AD479" i="3"/>
  <c r="AC479" i="3"/>
  <c r="AA479" i="3"/>
  <c r="Z479" i="3"/>
  <c r="T479" i="3" l="1"/>
  <c r="L478" i="3"/>
  <c r="U478" i="3" l="1"/>
  <c r="E479" i="3" s="1"/>
  <c r="H479" i="3" s="1"/>
  <c r="AH479" i="3"/>
  <c r="AG479" i="3"/>
  <c r="Y477" i="3"/>
  <c r="D479" i="3" l="1"/>
  <c r="G479" i="3" s="1"/>
  <c r="K479" i="3"/>
  <c r="AE479" i="3" s="1"/>
  <c r="F479" i="3" l="1"/>
  <c r="I479" i="3"/>
  <c r="J479" i="3"/>
  <c r="M479" i="3"/>
  <c r="N479" i="3" s="1"/>
  <c r="V479" i="3"/>
  <c r="A480" i="3"/>
  <c r="B480" i="3" s="1"/>
  <c r="W479" i="3" l="1"/>
  <c r="AA480" i="3"/>
  <c r="P480" i="3"/>
  <c r="Q480" i="3" s="1"/>
  <c r="R480" i="3" s="1"/>
  <c r="S480" i="3" s="1"/>
  <c r="AD480" i="3"/>
  <c r="AC480" i="3"/>
  <c r="Z480" i="3"/>
  <c r="L479" i="3"/>
  <c r="U479" i="3" l="1"/>
  <c r="Y478" i="3"/>
  <c r="T480" i="3"/>
  <c r="E480" i="3" l="1"/>
  <c r="H480" i="3" s="1"/>
  <c r="K480" i="3" s="1"/>
  <c r="AE480" i="3" s="1"/>
  <c r="AH480" i="3"/>
  <c r="AG480" i="3"/>
  <c r="D480" i="3"/>
  <c r="V480" i="3" l="1"/>
  <c r="A481" i="3"/>
  <c r="B481" i="3" s="1"/>
  <c r="F480" i="3"/>
  <c r="G480" i="3"/>
  <c r="I480" i="3" l="1"/>
  <c r="W480" i="3" s="1"/>
  <c r="J480" i="3"/>
  <c r="M480" i="3"/>
  <c r="N480" i="3" s="1"/>
  <c r="P481" i="3"/>
  <c r="Q481" i="3" s="1"/>
  <c r="R481" i="3" s="1"/>
  <c r="S481" i="3" s="1"/>
  <c r="AC481" i="3"/>
  <c r="AA481" i="3"/>
  <c r="AD481" i="3"/>
  <c r="Z481" i="3"/>
  <c r="T481" i="3" l="1"/>
  <c r="L480" i="3"/>
  <c r="U480" i="3" l="1"/>
  <c r="D481" i="3" s="1"/>
  <c r="AG481" i="3"/>
  <c r="AH481" i="3"/>
  <c r="Y479" i="3"/>
  <c r="G481" i="3" l="1"/>
  <c r="E481" i="3"/>
  <c r="H481" i="3" s="1"/>
  <c r="K481" i="3" l="1"/>
  <c r="AE481" i="3" s="1"/>
  <c r="I481" i="3"/>
  <c r="J481" i="3"/>
  <c r="M481" i="3"/>
  <c r="N481" i="3" s="1"/>
  <c r="F481" i="3"/>
  <c r="V481" i="3" l="1"/>
  <c r="W481" i="3" s="1"/>
  <c r="A482" i="3"/>
  <c r="B482" i="3" s="1"/>
  <c r="L481" i="3"/>
  <c r="U481" i="3" l="1"/>
  <c r="Y480" i="3"/>
  <c r="AC482" i="3"/>
  <c r="AA482" i="3"/>
  <c r="P482" i="3"/>
  <c r="Q482" i="3" s="1"/>
  <c r="R482" i="3" s="1"/>
  <c r="S482" i="3" s="1"/>
  <c r="AD482" i="3"/>
  <c r="Z482" i="3"/>
  <c r="T482" i="3" l="1"/>
  <c r="D482" i="3" s="1"/>
  <c r="AG482" i="3" l="1"/>
  <c r="G482" i="3"/>
  <c r="AH482" i="3"/>
  <c r="E482" i="3"/>
  <c r="H482" i="3" s="1"/>
  <c r="F482" i="3" l="1"/>
  <c r="I482" i="3"/>
  <c r="J482" i="3"/>
  <c r="M482" i="3"/>
  <c r="N482" i="3" s="1"/>
  <c r="K482" i="3"/>
  <c r="AE482" i="3" s="1"/>
  <c r="V482" i="3" l="1"/>
  <c r="W482" i="3" s="1"/>
  <c r="A483" i="3"/>
  <c r="B483" i="3" s="1"/>
  <c r="L482" i="3"/>
  <c r="U482" i="3" l="1"/>
  <c r="Y481" i="3"/>
  <c r="P483" i="3"/>
  <c r="Q483" i="3" s="1"/>
  <c r="R483" i="3" s="1"/>
  <c r="S483" i="3" s="1"/>
  <c r="Z483" i="3"/>
  <c r="AC483" i="3"/>
  <c r="AD483" i="3"/>
  <c r="AA483" i="3"/>
  <c r="T483" i="3" l="1"/>
  <c r="E483" i="3" s="1"/>
  <c r="H483" i="3" s="1"/>
  <c r="AG483" i="3" l="1"/>
  <c r="AH483" i="3"/>
  <c r="D483" i="3"/>
  <c r="G483" i="3" s="1"/>
  <c r="K483" i="3"/>
  <c r="AE483" i="3" s="1"/>
  <c r="F483" i="3" l="1"/>
  <c r="I483" i="3"/>
  <c r="J483" i="3"/>
  <c r="M483" i="3"/>
  <c r="N483" i="3" s="1"/>
  <c r="V483" i="3"/>
  <c r="A484" i="3"/>
  <c r="B484" i="3" s="1"/>
  <c r="W483" i="3" l="1"/>
  <c r="L483" i="3"/>
  <c r="AC484" i="3"/>
  <c r="Z484" i="3"/>
  <c r="AA484" i="3"/>
  <c r="P484" i="3"/>
  <c r="Q484" i="3" s="1"/>
  <c r="R484" i="3" s="1"/>
  <c r="S484" i="3" s="1"/>
  <c r="T484" i="3" l="1"/>
  <c r="U483" i="3"/>
  <c r="Y482" i="3"/>
  <c r="E484" i="3" l="1"/>
  <c r="H484" i="3" s="1"/>
  <c r="K484" i="3" s="1"/>
  <c r="AE484" i="3" s="1"/>
  <c r="D484" i="3"/>
  <c r="G484" i="3" s="1"/>
  <c r="AG484" i="3"/>
  <c r="AH484" i="3"/>
  <c r="F484" i="3" l="1"/>
  <c r="V484" i="3"/>
  <c r="A485" i="3"/>
  <c r="B485" i="3" s="1"/>
  <c r="I484" i="3"/>
  <c r="J484" i="3"/>
  <c r="AD484" i="3" s="1"/>
  <c r="M484" i="3"/>
  <c r="N484" i="3" s="1"/>
  <c r="W484" i="3" l="1"/>
  <c r="L484" i="3"/>
  <c r="P485" i="3"/>
  <c r="Q485" i="3" s="1"/>
  <c r="R485" i="3" s="1"/>
  <c r="S485" i="3" s="1"/>
  <c r="AD485" i="3"/>
  <c r="AA485" i="3"/>
  <c r="AC485" i="3"/>
  <c r="Z485" i="3"/>
  <c r="U484" i="3" l="1"/>
  <c r="Y483" i="3"/>
  <c r="T485" i="3"/>
  <c r="D485" i="3" l="1"/>
  <c r="G485" i="3" s="1"/>
  <c r="AG485" i="3"/>
  <c r="AH485" i="3"/>
  <c r="E485" i="3"/>
  <c r="H485" i="3" s="1"/>
  <c r="K485" i="3" s="1"/>
  <c r="AE485" i="3" s="1"/>
  <c r="F485" i="3" l="1"/>
  <c r="I485" i="3"/>
  <c r="J485" i="3"/>
  <c r="M485" i="3"/>
  <c r="N485" i="3" s="1"/>
  <c r="V485" i="3"/>
  <c r="A486" i="3"/>
  <c r="B486" i="3" s="1"/>
  <c r="W485" i="3" l="1"/>
  <c r="L485" i="3"/>
  <c r="AA486" i="3"/>
  <c r="P486" i="3"/>
  <c r="Q486" i="3" s="1"/>
  <c r="R486" i="3" s="1"/>
  <c r="S486" i="3" s="1"/>
  <c r="AC486" i="3"/>
  <c r="AD486" i="3"/>
  <c r="Z486" i="3"/>
  <c r="T486" i="3" l="1"/>
  <c r="AH486" i="3" s="1"/>
  <c r="U485" i="3"/>
  <c r="Y484" i="3"/>
  <c r="D486" i="3" l="1"/>
  <c r="G486" i="3" s="1"/>
  <c r="AG486" i="3"/>
  <c r="E486" i="3"/>
  <c r="H486" i="3" s="1"/>
  <c r="K486" i="3" s="1"/>
  <c r="AE486" i="3" s="1"/>
  <c r="F486" i="3" l="1"/>
  <c r="V486" i="3"/>
  <c r="A487" i="3"/>
  <c r="B487" i="3" s="1"/>
  <c r="I486" i="3"/>
  <c r="J486" i="3"/>
  <c r="M486" i="3"/>
  <c r="N486" i="3" s="1"/>
  <c r="W486" i="3" l="1"/>
  <c r="L486" i="3"/>
  <c r="AA487" i="3"/>
  <c r="AD487" i="3"/>
  <c r="P487" i="3"/>
  <c r="Q487" i="3" s="1"/>
  <c r="R487" i="3" s="1"/>
  <c r="S487" i="3" s="1"/>
  <c r="AC487" i="3"/>
  <c r="Z487" i="3"/>
  <c r="T487" i="3" l="1"/>
  <c r="U486" i="3"/>
  <c r="Y485" i="3"/>
  <c r="E487" i="3" l="1"/>
  <c r="H487" i="3" s="1"/>
  <c r="K487" i="3" s="1"/>
  <c r="AE487" i="3" s="1"/>
  <c r="D487" i="3"/>
  <c r="AH487" i="3"/>
  <c r="AG487" i="3"/>
  <c r="V487" i="3" l="1"/>
  <c r="A488" i="3"/>
  <c r="B488" i="3" s="1"/>
  <c r="F487" i="3"/>
  <c r="G487" i="3"/>
  <c r="I487" i="3" l="1"/>
  <c r="W487" i="3" s="1"/>
  <c r="J487" i="3"/>
  <c r="M487" i="3"/>
  <c r="N487" i="3" s="1"/>
  <c r="AA488" i="3"/>
  <c r="AD488" i="3"/>
  <c r="Z488" i="3"/>
  <c r="P488" i="3"/>
  <c r="Q488" i="3" s="1"/>
  <c r="R488" i="3" s="1"/>
  <c r="S488" i="3" s="1"/>
  <c r="AC488" i="3"/>
  <c r="L487" i="3" l="1"/>
  <c r="T488" i="3"/>
  <c r="U487" i="3" l="1"/>
  <c r="D488" i="3" s="1"/>
  <c r="AG488" i="3"/>
  <c r="AH488" i="3"/>
  <c r="Y486" i="3"/>
  <c r="E488" i="3" l="1"/>
  <c r="H488" i="3" s="1"/>
  <c r="K488" i="3" s="1"/>
  <c r="AE488" i="3" s="1"/>
  <c r="G488" i="3"/>
  <c r="F488" i="3" l="1"/>
  <c r="I488" i="3"/>
  <c r="J488" i="3"/>
  <c r="M488" i="3"/>
  <c r="N488" i="3" s="1"/>
  <c r="V488" i="3"/>
  <c r="A489" i="3"/>
  <c r="B489" i="3" s="1"/>
  <c r="W488" i="3" l="1"/>
  <c r="L488" i="3"/>
  <c r="P489" i="3"/>
  <c r="Q489" i="3" s="1"/>
  <c r="R489" i="3" s="1"/>
  <c r="S489" i="3" s="1"/>
  <c r="AC489" i="3"/>
  <c r="AA489" i="3"/>
  <c r="AD489" i="3"/>
  <c r="Z489" i="3"/>
  <c r="U488" i="3" l="1"/>
  <c r="Y487" i="3"/>
  <c r="T489" i="3"/>
  <c r="AH489" i="3" s="1"/>
  <c r="AG489" i="3" l="1"/>
  <c r="D489" i="3"/>
  <c r="E489" i="3"/>
  <c r="H489" i="3" s="1"/>
  <c r="K489" i="3" s="1"/>
  <c r="AE489" i="3" s="1"/>
  <c r="F489" i="3" l="1"/>
  <c r="G489" i="3"/>
  <c r="M489" i="3" s="1"/>
  <c r="N489" i="3" s="1"/>
  <c r="V489" i="3"/>
  <c r="A490" i="3"/>
  <c r="B490" i="3" s="1"/>
  <c r="I489" i="3" l="1"/>
  <c r="W489" i="3" s="1"/>
  <c r="J489" i="3"/>
  <c r="L489" i="3" s="1"/>
  <c r="Z490" i="3"/>
  <c r="AC490" i="3"/>
  <c r="P490" i="3"/>
  <c r="Q490" i="3" s="1"/>
  <c r="R490" i="3" s="1"/>
  <c r="S490" i="3" s="1"/>
  <c r="AD490" i="3"/>
  <c r="AA490" i="3"/>
  <c r="T490" i="3" l="1"/>
  <c r="AH490" i="3" s="1"/>
  <c r="U489" i="3"/>
  <c r="Y488" i="3"/>
  <c r="E490" i="3" l="1"/>
  <c r="H490" i="3" s="1"/>
  <c r="K490" i="3" s="1"/>
  <c r="AE490" i="3" s="1"/>
  <c r="D490" i="3"/>
  <c r="AG490" i="3"/>
  <c r="V490" i="3" l="1"/>
  <c r="A491" i="3"/>
  <c r="B491" i="3" s="1"/>
  <c r="F490" i="3"/>
  <c r="G490" i="3"/>
  <c r="I490" i="3" l="1"/>
  <c r="W490" i="3" s="1"/>
  <c r="J490" i="3"/>
  <c r="M490" i="3"/>
  <c r="N490" i="3" s="1"/>
  <c r="P491" i="3"/>
  <c r="Q491" i="3" s="1"/>
  <c r="R491" i="3" s="1"/>
  <c r="S491" i="3" s="1"/>
  <c r="Z491" i="3"/>
  <c r="AD491" i="3"/>
  <c r="AC491" i="3"/>
  <c r="AA491" i="3"/>
  <c r="T491" i="3" l="1"/>
  <c r="L490" i="3"/>
  <c r="AH491" i="3" l="1"/>
  <c r="U490" i="3"/>
  <c r="D491" i="3" s="1"/>
  <c r="AG491" i="3"/>
  <c r="Y489" i="3"/>
  <c r="E491" i="3" l="1"/>
  <c r="H491" i="3" s="1"/>
  <c r="K491" i="3" s="1"/>
  <c r="AE491" i="3" s="1"/>
  <c r="G491" i="3"/>
  <c r="F491" i="3" l="1"/>
  <c r="I491" i="3"/>
  <c r="J491" i="3"/>
  <c r="M491" i="3"/>
  <c r="N491" i="3" s="1"/>
  <c r="V491" i="3"/>
  <c r="A492" i="3"/>
  <c r="B492" i="3" s="1"/>
  <c r="W491" i="3" l="1"/>
  <c r="L491" i="3"/>
  <c r="AC492" i="3"/>
  <c r="AA492" i="3"/>
  <c r="P492" i="3"/>
  <c r="Q492" i="3" s="1"/>
  <c r="R492" i="3" s="1"/>
  <c r="S492" i="3" s="1"/>
  <c r="Z492" i="3"/>
  <c r="AD492" i="3"/>
  <c r="T492" i="3" l="1"/>
  <c r="U491" i="3"/>
  <c r="Y490" i="3"/>
  <c r="D492" i="3" l="1"/>
  <c r="G492" i="3" s="1"/>
  <c r="AH492" i="3"/>
  <c r="AG492" i="3"/>
  <c r="E492" i="3"/>
  <c r="H492" i="3" s="1"/>
  <c r="F492" i="3" l="1"/>
  <c r="I492" i="3"/>
  <c r="J492" i="3"/>
  <c r="M492" i="3"/>
  <c r="N492" i="3" s="1"/>
  <c r="K492" i="3"/>
  <c r="AE492" i="3" s="1"/>
  <c r="L492" i="3" l="1"/>
  <c r="V492" i="3"/>
  <c r="W492" i="3" s="1"/>
  <c r="A493" i="3"/>
  <c r="B493" i="3" s="1"/>
  <c r="U492" i="3" l="1"/>
  <c r="Y491" i="3"/>
  <c r="P493" i="3"/>
  <c r="Q493" i="3" s="1"/>
  <c r="R493" i="3" s="1"/>
  <c r="S493" i="3" s="1"/>
  <c r="AC493" i="3"/>
  <c r="AA493" i="3"/>
  <c r="Z493" i="3"/>
  <c r="AD493" i="3"/>
  <c r="T493" i="3" l="1"/>
  <c r="AH493" i="3" s="1"/>
  <c r="AG493" i="3" l="1"/>
  <c r="E493" i="3"/>
  <c r="H493" i="3" s="1"/>
  <c r="K493" i="3" s="1"/>
  <c r="AE493" i="3" s="1"/>
  <c r="D493" i="3"/>
  <c r="F493" i="3" l="1"/>
  <c r="G493" i="3"/>
  <c r="J493" i="3" s="1"/>
  <c r="V493" i="3"/>
  <c r="A494" i="3"/>
  <c r="B494" i="3" s="1"/>
  <c r="M493" i="3" l="1"/>
  <c r="N493" i="3" s="1"/>
  <c r="I493" i="3"/>
  <c r="W493" i="3" s="1"/>
  <c r="L493" i="3"/>
  <c r="P494" i="3"/>
  <c r="Q494" i="3" s="1"/>
  <c r="R494" i="3" s="1"/>
  <c r="S494" i="3" s="1"/>
  <c r="AC494" i="3"/>
  <c r="Z494" i="3"/>
  <c r="AA494" i="3"/>
  <c r="T494" i="3" l="1"/>
  <c r="AH494" i="3" s="1"/>
  <c r="U493" i="3"/>
  <c r="Y492" i="3"/>
  <c r="E494" i="3" l="1"/>
  <c r="H494" i="3" s="1"/>
  <c r="K494" i="3" s="1"/>
  <c r="AE494" i="3" s="1"/>
  <c r="D494" i="3"/>
  <c r="AG494" i="3"/>
  <c r="F494" i="3" l="1"/>
  <c r="G494" i="3"/>
  <c r="V494" i="3"/>
  <c r="A495" i="3"/>
  <c r="B495" i="3" s="1"/>
  <c r="Z495" i="3" l="1"/>
  <c r="P495" i="3"/>
  <c r="Q495" i="3" s="1"/>
  <c r="R495" i="3" s="1"/>
  <c r="S495" i="3" s="1"/>
  <c r="AA495" i="3"/>
  <c r="AD495" i="3"/>
  <c r="AC495" i="3"/>
  <c r="I494" i="3"/>
  <c r="W494" i="3" s="1"/>
  <c r="J494" i="3"/>
  <c r="AD494" i="3" s="1"/>
  <c r="M494" i="3"/>
  <c r="N494" i="3" s="1"/>
  <c r="L494" i="3" l="1"/>
  <c r="T495" i="3"/>
  <c r="AG495" i="3" l="1"/>
  <c r="U494" i="3"/>
  <c r="D495" i="3" s="1"/>
  <c r="AH495" i="3"/>
  <c r="Y493" i="3"/>
  <c r="E495" i="3" l="1"/>
  <c r="H495" i="3" s="1"/>
  <c r="K495" i="3" s="1"/>
  <c r="AE495" i="3" s="1"/>
  <c r="G495" i="3"/>
  <c r="F495" i="3" l="1"/>
  <c r="V495" i="3"/>
  <c r="A496" i="3"/>
  <c r="B496" i="3" s="1"/>
  <c r="I495" i="3"/>
  <c r="J495" i="3"/>
  <c r="M495" i="3"/>
  <c r="N495" i="3" s="1"/>
  <c r="W495" i="3" l="1"/>
  <c r="L495" i="3"/>
  <c r="AD496" i="3"/>
  <c r="AA496" i="3"/>
  <c r="P496" i="3"/>
  <c r="Q496" i="3" s="1"/>
  <c r="R496" i="3" s="1"/>
  <c r="S496" i="3" s="1"/>
  <c r="Z496" i="3"/>
  <c r="AC496" i="3"/>
  <c r="U495" i="3" l="1"/>
  <c r="Y494" i="3"/>
  <c r="T496" i="3"/>
  <c r="AH496" i="3" s="1"/>
  <c r="D496" i="3" l="1"/>
  <c r="G496" i="3" s="1"/>
  <c r="AG496" i="3"/>
  <c r="E496" i="3"/>
  <c r="H496" i="3" s="1"/>
  <c r="K496" i="3" s="1"/>
  <c r="AE496" i="3" s="1"/>
  <c r="F496" i="3" l="1"/>
  <c r="V496" i="3"/>
  <c r="A497" i="3"/>
  <c r="B497" i="3" s="1"/>
  <c r="I496" i="3"/>
  <c r="J496" i="3"/>
  <c r="M496" i="3"/>
  <c r="N496" i="3" s="1"/>
  <c r="W496" i="3" l="1"/>
  <c r="L496" i="3"/>
  <c r="P497" i="3"/>
  <c r="Q497" i="3" s="1"/>
  <c r="R497" i="3" s="1"/>
  <c r="S497" i="3" s="1"/>
  <c r="AC497" i="3"/>
  <c r="AA497" i="3"/>
  <c r="AD497" i="3"/>
  <c r="Z497" i="3"/>
  <c r="U496" i="3" l="1"/>
  <c r="Y495" i="3"/>
  <c r="T497" i="3"/>
  <c r="AG497" i="3" s="1"/>
  <c r="E497" i="3" l="1"/>
  <c r="H497" i="3" s="1"/>
  <c r="D497" i="3"/>
  <c r="AH497" i="3"/>
  <c r="F497" i="3" l="1"/>
  <c r="G497" i="3"/>
  <c r="K497" i="3"/>
  <c r="AE497" i="3" s="1"/>
  <c r="I497" i="3" l="1"/>
  <c r="J497" i="3"/>
  <c r="M497" i="3"/>
  <c r="N497" i="3" s="1"/>
  <c r="V497" i="3"/>
  <c r="A498" i="3"/>
  <c r="B498" i="3" s="1"/>
  <c r="W497" i="3" l="1"/>
  <c r="L497" i="3"/>
  <c r="Z498" i="3"/>
  <c r="AC498" i="3"/>
  <c r="AD498" i="3"/>
  <c r="AA498" i="3"/>
  <c r="P498" i="3"/>
  <c r="Q498" i="3" s="1"/>
  <c r="R498" i="3" s="1"/>
  <c r="S498" i="3" s="1"/>
  <c r="U497" i="3" l="1"/>
  <c r="Y496" i="3"/>
  <c r="T498" i="3"/>
  <c r="AH498" i="3" s="1"/>
  <c r="AG498" i="3" l="1"/>
  <c r="D498" i="3"/>
  <c r="E498" i="3"/>
  <c r="H498" i="3" s="1"/>
  <c r="F498" i="3" l="1"/>
  <c r="G498" i="3"/>
  <c r="K498" i="3"/>
  <c r="AE498" i="3" s="1"/>
  <c r="I498" i="3" l="1"/>
  <c r="J498" i="3"/>
  <c r="M498" i="3"/>
  <c r="N498" i="3" s="1"/>
  <c r="V498" i="3"/>
  <c r="A499" i="3"/>
  <c r="B499" i="3" s="1"/>
  <c r="W498" i="3" l="1"/>
  <c r="L498" i="3"/>
  <c r="AC499" i="3"/>
  <c r="P499" i="3"/>
  <c r="Q499" i="3" s="1"/>
  <c r="R499" i="3" s="1"/>
  <c r="S499" i="3" s="1"/>
  <c r="AD499" i="3"/>
  <c r="AA499" i="3"/>
  <c r="Z499" i="3"/>
  <c r="T499" i="3" l="1"/>
  <c r="U498" i="3"/>
  <c r="Y497" i="3"/>
  <c r="D499" i="3" l="1"/>
  <c r="G499" i="3" s="1"/>
  <c r="AH499" i="3"/>
  <c r="E499" i="3"/>
  <c r="H499" i="3" s="1"/>
  <c r="AG499" i="3"/>
  <c r="F499" i="3" l="1"/>
  <c r="I499" i="3"/>
  <c r="J499" i="3"/>
  <c r="M499" i="3"/>
  <c r="N499" i="3" s="1"/>
  <c r="K499" i="3"/>
  <c r="AE499" i="3" s="1"/>
  <c r="V499" i="3" l="1"/>
  <c r="W499" i="3" s="1"/>
  <c r="A500" i="3"/>
  <c r="B500" i="3" s="1"/>
  <c r="L499" i="3"/>
  <c r="U499" i="3" l="1"/>
  <c r="Y498" i="3"/>
  <c r="AD500" i="3"/>
  <c r="AA500" i="3"/>
  <c r="AC500" i="3"/>
  <c r="P500" i="3"/>
  <c r="Q500" i="3" s="1"/>
  <c r="R500" i="3" s="1"/>
  <c r="S500" i="3" s="1"/>
  <c r="Z500" i="3"/>
  <c r="T500" i="3" l="1"/>
  <c r="AH500" i="3" s="1"/>
  <c r="D500" i="3" l="1"/>
  <c r="AG500" i="3"/>
  <c r="E500" i="3"/>
  <c r="H500" i="3" s="1"/>
  <c r="F500" i="3" l="1"/>
  <c r="G500" i="3"/>
  <c r="K500" i="3"/>
  <c r="AE500" i="3" s="1"/>
  <c r="I500" i="3" l="1"/>
  <c r="J500" i="3"/>
  <c r="M500" i="3"/>
  <c r="N500" i="3" s="1"/>
  <c r="V500" i="3"/>
  <c r="A501" i="3"/>
  <c r="B501" i="3" s="1"/>
  <c r="W500" i="3" l="1"/>
  <c r="L500" i="3"/>
  <c r="P501" i="3"/>
  <c r="Q501" i="3" s="1"/>
  <c r="R501" i="3" s="1"/>
  <c r="S501" i="3" s="1"/>
  <c r="AC501" i="3"/>
  <c r="AD501" i="3"/>
  <c r="Z501" i="3"/>
  <c r="AA501" i="3"/>
  <c r="U500" i="3" l="1"/>
  <c r="Y499" i="3"/>
  <c r="T501" i="3"/>
  <c r="D501" i="3" l="1"/>
  <c r="G501" i="3" s="1"/>
  <c r="E501" i="3"/>
  <c r="H501" i="3" s="1"/>
  <c r="K501" i="3" s="1"/>
  <c r="AE501" i="3" s="1"/>
  <c r="AG501" i="3"/>
  <c r="AH501" i="3"/>
  <c r="F501" i="3" l="1"/>
  <c r="I501" i="3"/>
  <c r="J501" i="3"/>
  <c r="M501" i="3"/>
  <c r="N501" i="3" s="1"/>
  <c r="V501" i="3"/>
  <c r="A502" i="3"/>
  <c r="B502" i="3" s="1"/>
  <c r="L501" i="3" l="1"/>
  <c r="W501" i="3"/>
  <c r="Z502" i="3"/>
  <c r="AA502" i="3"/>
  <c r="AC502" i="3"/>
  <c r="AD502" i="3"/>
  <c r="P502" i="3"/>
  <c r="Q502" i="3" s="1"/>
  <c r="R502" i="3" s="1"/>
  <c r="S502" i="3" s="1"/>
  <c r="U501" i="3" l="1"/>
  <c r="Y500" i="3"/>
  <c r="T502" i="3"/>
  <c r="E502" i="3" l="1"/>
  <c r="H502" i="3" s="1"/>
  <c r="K502" i="3" s="1"/>
  <c r="AE502" i="3" s="1"/>
  <c r="AG502" i="3"/>
  <c r="D502" i="3"/>
  <c r="AH502" i="3"/>
  <c r="F502" i="3" l="1"/>
  <c r="G502" i="3"/>
  <c r="V502" i="3"/>
  <c r="A503" i="3"/>
  <c r="B503" i="3" s="1"/>
  <c r="I502" i="3" l="1"/>
  <c r="W502" i="3" s="1"/>
  <c r="J502" i="3"/>
  <c r="M502" i="3"/>
  <c r="N502" i="3" s="1"/>
  <c r="AA503" i="3"/>
  <c r="P503" i="3"/>
  <c r="Q503" i="3" s="1"/>
  <c r="R503" i="3" s="1"/>
  <c r="S503" i="3" s="1"/>
  <c r="AD503" i="3"/>
  <c r="AC503" i="3"/>
  <c r="Z503" i="3"/>
  <c r="T503" i="3" l="1"/>
  <c r="L502" i="3"/>
  <c r="AG503" i="3" l="1"/>
  <c r="AH503" i="3"/>
  <c r="U502" i="3"/>
  <c r="E503" i="3" s="1"/>
  <c r="H503" i="3" s="1"/>
  <c r="Y501" i="3"/>
  <c r="D503" i="3" l="1"/>
  <c r="G503" i="3" s="1"/>
  <c r="K503" i="3"/>
  <c r="AE503" i="3" s="1"/>
  <c r="F503" i="3" l="1"/>
  <c r="V503" i="3"/>
  <c r="A504" i="3"/>
  <c r="B504" i="3" s="1"/>
  <c r="I503" i="3"/>
  <c r="J503" i="3"/>
  <c r="M503" i="3"/>
  <c r="N503" i="3" s="1"/>
  <c r="W503" i="3" l="1"/>
  <c r="L503" i="3"/>
  <c r="P504" i="3"/>
  <c r="Q504" i="3" s="1"/>
  <c r="R504" i="3" s="1"/>
  <c r="S504" i="3" s="1"/>
  <c r="Z504" i="3"/>
  <c r="AA504" i="3"/>
  <c r="AC504" i="3"/>
  <c r="U503" i="3" l="1"/>
  <c r="Y502" i="3"/>
  <c r="T504" i="3"/>
  <c r="AG504" i="3" s="1"/>
  <c r="E504" i="3" l="1"/>
  <c r="H504" i="3" s="1"/>
  <c r="K504" i="3" s="1"/>
  <c r="AE504" i="3" s="1"/>
  <c r="D504" i="3"/>
  <c r="AH504" i="3"/>
  <c r="F504" i="3" l="1"/>
  <c r="G504" i="3"/>
  <c r="I504" i="3" s="1"/>
  <c r="V504" i="3"/>
  <c r="A505" i="3"/>
  <c r="B505" i="3" s="1"/>
  <c r="J504" i="3" l="1"/>
  <c r="W504" i="3"/>
  <c r="M504" i="3"/>
  <c r="N504" i="3" s="1"/>
  <c r="P505" i="3"/>
  <c r="Q505" i="3" s="1"/>
  <c r="R505" i="3" s="1"/>
  <c r="S505" i="3" s="1"/>
  <c r="AC505" i="3"/>
  <c r="Z505" i="3"/>
  <c r="AD505" i="3"/>
  <c r="AA505" i="3"/>
  <c r="L504" i="3" l="1"/>
  <c r="Y503" i="3" s="1"/>
  <c r="AD504" i="3"/>
  <c r="T505" i="3"/>
  <c r="AH505" i="3" l="1"/>
  <c r="U504" i="3"/>
  <c r="D505" i="3" s="1"/>
  <c r="G505" i="3" s="1"/>
  <c r="AG505" i="3"/>
  <c r="E505" i="3" l="1"/>
  <c r="H505" i="3" s="1"/>
  <c r="K505" i="3" s="1"/>
  <c r="AE505" i="3" s="1"/>
  <c r="J505" i="3"/>
  <c r="I505" i="3" l="1"/>
  <c r="F505" i="3"/>
  <c r="V505" i="3"/>
  <c r="M505" i="3"/>
  <c r="N505" i="3" s="1"/>
  <c r="A506" i="3"/>
  <c r="B506" i="3" s="1"/>
  <c r="P506" i="3" s="1"/>
  <c r="Q506" i="3" s="1"/>
  <c r="R506" i="3" s="1"/>
  <c r="S506" i="3" s="1"/>
  <c r="L505" i="3"/>
  <c r="W505" i="3" l="1"/>
  <c r="AA506" i="3"/>
  <c r="AD506" i="3"/>
  <c r="AC506" i="3"/>
  <c r="Z506" i="3"/>
  <c r="U505" i="3"/>
  <c r="Y504" i="3"/>
  <c r="T506" i="3"/>
  <c r="AG506" i="3" l="1"/>
  <c r="D506" i="3"/>
  <c r="G506" i="3" s="1"/>
  <c r="AH506" i="3"/>
  <c r="E506" i="3"/>
  <c r="H506" i="3" s="1"/>
  <c r="K506" i="3" s="1"/>
  <c r="AE506" i="3" s="1"/>
  <c r="F506" i="3" l="1"/>
  <c r="I506" i="3"/>
  <c r="J506" i="3"/>
  <c r="M506" i="3"/>
  <c r="N506" i="3" s="1"/>
  <c r="V506" i="3"/>
  <c r="A507" i="3"/>
  <c r="B507" i="3" s="1"/>
  <c r="W506" i="3" l="1"/>
  <c r="L506" i="3"/>
  <c r="AD507" i="3"/>
  <c r="AC507" i="3"/>
  <c r="P507" i="3"/>
  <c r="Q507" i="3" s="1"/>
  <c r="R507" i="3" s="1"/>
  <c r="S507" i="3" s="1"/>
  <c r="AA507" i="3"/>
  <c r="Z507" i="3"/>
  <c r="U506" i="3" l="1"/>
  <c r="Y505" i="3"/>
  <c r="T507" i="3"/>
  <c r="AH507" i="3" s="1"/>
  <c r="AG507" i="3" l="1"/>
  <c r="E507" i="3"/>
  <c r="H507" i="3" s="1"/>
  <c r="D507" i="3"/>
  <c r="K507" i="3" l="1"/>
  <c r="AE507" i="3" s="1"/>
  <c r="F507" i="3"/>
  <c r="G507" i="3"/>
  <c r="I507" i="3" l="1"/>
  <c r="J507" i="3"/>
  <c r="M507" i="3"/>
  <c r="N507" i="3" s="1"/>
  <c r="V507" i="3"/>
  <c r="A508" i="3"/>
  <c r="B508" i="3" s="1"/>
  <c r="W507" i="3" l="1"/>
  <c r="L507" i="3"/>
  <c r="P508" i="3"/>
  <c r="Q508" i="3" s="1"/>
  <c r="R508" i="3" s="1"/>
  <c r="S508" i="3" s="1"/>
  <c r="AD508" i="3"/>
  <c r="AA508" i="3"/>
  <c r="Z508" i="3"/>
  <c r="AC508" i="3"/>
  <c r="U507" i="3" l="1"/>
  <c r="Y506" i="3"/>
  <c r="T508" i="3"/>
  <c r="E508" i="3" l="1"/>
  <c r="H508" i="3" s="1"/>
  <c r="K508" i="3" s="1"/>
  <c r="AE508" i="3" s="1"/>
  <c r="AH508" i="3"/>
  <c r="D508" i="3"/>
  <c r="AG508" i="3"/>
  <c r="F508" i="3" l="1"/>
  <c r="G508" i="3"/>
  <c r="V508" i="3"/>
  <c r="A509" i="3"/>
  <c r="B509" i="3" s="1"/>
  <c r="AD509" i="3" l="1"/>
  <c r="AC509" i="3"/>
  <c r="Z509" i="3"/>
  <c r="AA509" i="3"/>
  <c r="P509" i="3"/>
  <c r="Q509" i="3" s="1"/>
  <c r="R509" i="3" s="1"/>
  <c r="S509" i="3" s="1"/>
  <c r="I508" i="3"/>
  <c r="W508" i="3" s="1"/>
  <c r="J508" i="3"/>
  <c r="M508" i="3"/>
  <c r="N508" i="3" s="1"/>
  <c r="L508" i="3" l="1"/>
  <c r="T509" i="3"/>
  <c r="AG509" i="3" l="1"/>
  <c r="AH509" i="3"/>
  <c r="U508" i="3"/>
  <c r="D509" i="3" s="1"/>
  <c r="Y507" i="3"/>
  <c r="G509" i="3" l="1"/>
  <c r="E509" i="3"/>
  <c r="H509" i="3" s="1"/>
  <c r="F509" i="3" l="1"/>
  <c r="I509" i="3"/>
  <c r="J509" i="3"/>
  <c r="M509" i="3"/>
  <c r="N509" i="3" s="1"/>
  <c r="K509" i="3"/>
  <c r="AE509" i="3" s="1"/>
  <c r="V509" i="3" l="1"/>
  <c r="W509" i="3" s="1"/>
  <c r="A510" i="3"/>
  <c r="B510" i="3" s="1"/>
  <c r="L509" i="3"/>
  <c r="U509" i="3" l="1"/>
  <c r="Y508" i="3"/>
  <c r="AC510" i="3"/>
  <c r="Z510" i="3"/>
  <c r="AA510" i="3"/>
  <c r="AD510" i="3"/>
  <c r="P510" i="3"/>
  <c r="Q510" i="3" s="1"/>
  <c r="R510" i="3" s="1"/>
  <c r="S510" i="3" s="1"/>
  <c r="T510" i="3" l="1"/>
  <c r="AH510" i="3" l="1"/>
  <c r="E510" i="3"/>
  <c r="H510" i="3" s="1"/>
  <c r="D510" i="3"/>
  <c r="AG510" i="3"/>
  <c r="F510" i="3" l="1"/>
  <c r="G510" i="3"/>
  <c r="K510" i="3"/>
  <c r="AE510" i="3" s="1"/>
  <c r="V510" i="3" l="1"/>
  <c r="A511" i="3"/>
  <c r="B511" i="3" s="1"/>
  <c r="I510" i="3"/>
  <c r="J510" i="3"/>
  <c r="M510" i="3"/>
  <c r="N510" i="3" s="1"/>
  <c r="L510" i="3" l="1"/>
  <c r="AA511" i="3"/>
  <c r="AC511" i="3"/>
  <c r="P511" i="3"/>
  <c r="Q511" i="3" s="1"/>
  <c r="R511" i="3" s="1"/>
  <c r="S511" i="3" s="1"/>
  <c r="Z511" i="3"/>
  <c r="AD511" i="3"/>
  <c r="W510" i="3"/>
  <c r="U510" i="3" l="1"/>
  <c r="Y509" i="3"/>
  <c r="T511" i="3"/>
  <c r="AG511" i="3" s="1"/>
  <c r="AH511" i="3" l="1"/>
  <c r="D511" i="3"/>
  <c r="E511" i="3"/>
  <c r="H511" i="3" s="1"/>
  <c r="F511" i="3" l="1"/>
  <c r="G511" i="3"/>
  <c r="K511" i="3"/>
  <c r="AE511" i="3" s="1"/>
  <c r="V511" i="3" l="1"/>
  <c r="A512" i="3"/>
  <c r="B512" i="3" s="1"/>
  <c r="I511" i="3"/>
  <c r="J511" i="3"/>
  <c r="M511" i="3"/>
  <c r="N511" i="3" s="1"/>
  <c r="W511" i="3" l="1"/>
  <c r="L511" i="3"/>
  <c r="AC512" i="3"/>
  <c r="Z512" i="3"/>
  <c r="AA512" i="3"/>
  <c r="P512" i="3"/>
  <c r="Q512" i="3" s="1"/>
  <c r="R512" i="3" s="1"/>
  <c r="S512" i="3" s="1"/>
  <c r="AD512" i="3"/>
  <c r="T512" i="3" l="1"/>
  <c r="U511" i="3"/>
  <c r="Y510" i="3"/>
  <c r="D512" i="3" l="1"/>
  <c r="G512" i="3" s="1"/>
  <c r="AH512" i="3"/>
  <c r="E512" i="3"/>
  <c r="H512" i="3" s="1"/>
  <c r="K512" i="3" s="1"/>
  <c r="AE512" i="3" s="1"/>
  <c r="AG512" i="3"/>
  <c r="F512" i="3" l="1"/>
  <c r="I512" i="3"/>
  <c r="J512" i="3"/>
  <c r="M512" i="3"/>
  <c r="N512" i="3" s="1"/>
  <c r="V512" i="3"/>
  <c r="A513" i="3"/>
  <c r="B513" i="3" s="1"/>
  <c r="W512" i="3" l="1"/>
  <c r="L512" i="3"/>
  <c r="AA513" i="3"/>
  <c r="P513" i="3"/>
  <c r="Q513" i="3" s="1"/>
  <c r="R513" i="3" s="1"/>
  <c r="S513" i="3" s="1"/>
  <c r="AC513" i="3"/>
  <c r="AD513" i="3"/>
  <c r="Z513" i="3"/>
  <c r="T513" i="3" l="1"/>
  <c r="AG513" i="3" s="1"/>
  <c r="U512" i="3"/>
  <c r="Y511" i="3"/>
  <c r="AH513" i="3" l="1"/>
  <c r="E513" i="3"/>
  <c r="H513" i="3" s="1"/>
  <c r="D513" i="3"/>
  <c r="F513" i="3" l="1"/>
  <c r="G513" i="3"/>
  <c r="K513" i="3"/>
  <c r="AE513" i="3" s="1"/>
  <c r="V513" i="3" l="1"/>
  <c r="A514" i="3"/>
  <c r="B514" i="3" s="1"/>
  <c r="I513" i="3"/>
  <c r="J513" i="3"/>
  <c r="M513" i="3"/>
  <c r="N513" i="3" s="1"/>
  <c r="L513" i="3" l="1"/>
  <c r="Z514" i="3"/>
  <c r="AA514" i="3"/>
  <c r="AC514" i="3"/>
  <c r="P514" i="3"/>
  <c r="Q514" i="3" s="1"/>
  <c r="R514" i="3" s="1"/>
  <c r="S514" i="3" s="1"/>
  <c r="W513" i="3"/>
  <c r="T514" i="3" l="1"/>
  <c r="AH514" i="3" s="1"/>
  <c r="U513" i="3"/>
  <c r="Y512" i="3"/>
  <c r="AG514" i="3" l="1"/>
  <c r="E514" i="3"/>
  <c r="H514" i="3" s="1"/>
  <c r="D514" i="3"/>
  <c r="K514" i="3" l="1"/>
  <c r="AE514" i="3" s="1"/>
  <c r="F514" i="3"/>
  <c r="G514" i="3"/>
  <c r="V514" i="3" l="1"/>
  <c r="A515" i="3"/>
  <c r="B515" i="3" s="1"/>
  <c r="I514" i="3"/>
  <c r="J514" i="3"/>
  <c r="AD514" i="3" s="1"/>
  <c r="M514" i="3"/>
  <c r="N514" i="3" s="1"/>
  <c r="W514" i="3" l="1"/>
  <c r="L514" i="3"/>
  <c r="AD515" i="3"/>
  <c r="P515" i="3"/>
  <c r="Q515" i="3" s="1"/>
  <c r="R515" i="3" s="1"/>
  <c r="S515" i="3" s="1"/>
  <c r="AC515" i="3"/>
  <c r="Z515" i="3"/>
  <c r="AA515" i="3"/>
  <c r="U514" i="3" l="1"/>
  <c r="Y513" i="3"/>
  <c r="T515" i="3"/>
  <c r="D515" i="3" l="1"/>
  <c r="G515" i="3" s="1"/>
  <c r="AG515" i="3"/>
  <c r="AH515" i="3"/>
  <c r="E515" i="3"/>
  <c r="H515" i="3" s="1"/>
  <c r="K515" i="3" l="1"/>
  <c r="AE515" i="3" s="1"/>
  <c r="I515" i="3"/>
  <c r="J515" i="3"/>
  <c r="M515" i="3"/>
  <c r="N515" i="3" s="1"/>
  <c r="F515" i="3"/>
  <c r="L515" i="3" l="1"/>
  <c r="V515" i="3"/>
  <c r="W515" i="3" s="1"/>
  <c r="A516" i="3"/>
  <c r="B516" i="3" s="1"/>
  <c r="U515" i="3" l="1"/>
  <c r="Y514" i="3"/>
  <c r="AA516" i="3"/>
  <c r="Z516" i="3"/>
  <c r="AC516" i="3"/>
  <c r="P516" i="3"/>
  <c r="Q516" i="3" s="1"/>
  <c r="R516" i="3" s="1"/>
  <c r="S516" i="3" s="1"/>
  <c r="AD516" i="3"/>
  <c r="T516" i="3" l="1"/>
  <c r="AG516" i="3" s="1"/>
  <c r="D516" i="3" l="1"/>
  <c r="AH516" i="3"/>
  <c r="E516" i="3"/>
  <c r="H516" i="3" s="1"/>
  <c r="F516" i="3" l="1"/>
  <c r="G516" i="3"/>
  <c r="K516" i="3"/>
  <c r="AE516" i="3" s="1"/>
  <c r="I516" i="3" l="1"/>
  <c r="J516" i="3"/>
  <c r="M516" i="3"/>
  <c r="N516" i="3" s="1"/>
  <c r="V516" i="3"/>
  <c r="A517" i="3"/>
  <c r="B517" i="3" s="1"/>
  <c r="W516" i="3" l="1"/>
  <c r="L516" i="3"/>
  <c r="AD517" i="3"/>
  <c r="AC517" i="3"/>
  <c r="P517" i="3"/>
  <c r="Q517" i="3" s="1"/>
  <c r="R517" i="3" s="1"/>
  <c r="S517" i="3" s="1"/>
  <c r="AA517" i="3"/>
  <c r="Z517" i="3"/>
  <c r="U516" i="3" l="1"/>
  <c r="Y515" i="3"/>
  <c r="T517" i="3"/>
  <c r="AG517" i="3" s="1"/>
  <c r="D517" i="3" l="1"/>
  <c r="G517" i="3" s="1"/>
  <c r="AH517" i="3"/>
  <c r="E517" i="3"/>
  <c r="H517" i="3" s="1"/>
  <c r="K517" i="3" s="1"/>
  <c r="AE517" i="3" s="1"/>
  <c r="F517" i="3" l="1"/>
  <c r="I517" i="3"/>
  <c r="J517" i="3"/>
  <c r="M517" i="3"/>
  <c r="N517" i="3" s="1"/>
  <c r="V517" i="3"/>
  <c r="A518" i="3"/>
  <c r="B518" i="3" s="1"/>
  <c r="W517" i="3" l="1"/>
  <c r="L517" i="3"/>
  <c r="AD518" i="3"/>
  <c r="AA518" i="3"/>
  <c r="AC518" i="3"/>
  <c r="Z518" i="3"/>
  <c r="P518" i="3"/>
  <c r="Q518" i="3" s="1"/>
  <c r="R518" i="3" s="1"/>
  <c r="S518" i="3" s="1"/>
  <c r="U517" i="3" l="1"/>
  <c r="Y516" i="3"/>
  <c r="T518" i="3"/>
  <c r="D518" i="3" l="1"/>
  <c r="G518" i="3" s="1"/>
  <c r="E518" i="3"/>
  <c r="H518" i="3" s="1"/>
  <c r="AH518" i="3"/>
  <c r="AG518" i="3"/>
  <c r="F518" i="3" l="1"/>
  <c r="I518" i="3"/>
  <c r="J518" i="3"/>
  <c r="M518" i="3"/>
  <c r="N518" i="3" s="1"/>
  <c r="K518" i="3"/>
  <c r="AE518" i="3" s="1"/>
  <c r="V518" i="3" l="1"/>
  <c r="W518" i="3" s="1"/>
  <c r="A519" i="3"/>
  <c r="B519" i="3" s="1"/>
  <c r="L518" i="3"/>
  <c r="U518" i="3" l="1"/>
  <c r="Y517" i="3"/>
  <c r="AD519" i="3"/>
  <c r="AA519" i="3"/>
  <c r="Z519" i="3"/>
  <c r="AC519" i="3"/>
  <c r="P519" i="3"/>
  <c r="Q519" i="3" s="1"/>
  <c r="R519" i="3" s="1"/>
  <c r="S519" i="3" s="1"/>
  <c r="T519" i="3" l="1"/>
  <c r="D519" i="3" s="1"/>
  <c r="AG519" i="3" l="1"/>
  <c r="G519" i="3"/>
  <c r="AH519" i="3"/>
  <c r="E519" i="3"/>
  <c r="H519" i="3" s="1"/>
  <c r="F519" i="3" l="1"/>
  <c r="I519" i="3"/>
  <c r="J519" i="3"/>
  <c r="M519" i="3"/>
  <c r="N519" i="3" s="1"/>
  <c r="K519" i="3"/>
  <c r="AE519" i="3" s="1"/>
  <c r="V519" i="3" l="1"/>
  <c r="W519" i="3" s="1"/>
  <c r="A520" i="3"/>
  <c r="B520" i="3" s="1"/>
  <c r="L519" i="3"/>
  <c r="U519" i="3" l="1"/>
  <c r="Y518" i="3"/>
  <c r="AA520" i="3"/>
  <c r="AC520" i="3"/>
  <c r="Z520" i="3"/>
  <c r="AD520" i="3"/>
  <c r="P520" i="3"/>
  <c r="Q520" i="3" s="1"/>
  <c r="R520" i="3" s="1"/>
  <c r="S520" i="3" s="1"/>
  <c r="T520" i="3" l="1"/>
  <c r="D520" i="3" s="1"/>
  <c r="AG520" i="3" l="1"/>
  <c r="E520" i="3"/>
  <c r="H520" i="3" s="1"/>
  <c r="K520" i="3" s="1"/>
  <c r="AE520" i="3" s="1"/>
  <c r="AH520" i="3"/>
  <c r="G520" i="3"/>
  <c r="F520" i="3" l="1"/>
  <c r="I520" i="3"/>
  <c r="J520" i="3"/>
  <c r="M520" i="3"/>
  <c r="N520" i="3" s="1"/>
  <c r="V520" i="3"/>
  <c r="A521" i="3"/>
  <c r="B521" i="3" s="1"/>
  <c r="W520" i="3" l="1"/>
  <c r="L520" i="3"/>
  <c r="P521" i="3"/>
  <c r="Q521" i="3" s="1"/>
  <c r="R521" i="3" s="1"/>
  <c r="S521" i="3" s="1"/>
  <c r="AC521" i="3"/>
  <c r="AA521" i="3"/>
  <c r="AD521" i="3"/>
  <c r="Z521" i="3"/>
  <c r="U520" i="3" l="1"/>
  <c r="Y519" i="3"/>
  <c r="T521" i="3"/>
  <c r="AH521" i="3" s="1"/>
  <c r="AG521" i="3" l="1"/>
  <c r="D521" i="3"/>
  <c r="E521" i="3"/>
  <c r="H521" i="3" s="1"/>
  <c r="K521" i="3" s="1"/>
  <c r="AE521" i="3" s="1"/>
  <c r="F521" i="3" l="1"/>
  <c r="G521" i="3"/>
  <c r="I521" i="3" s="1"/>
  <c r="V521" i="3"/>
  <c r="A522" i="3"/>
  <c r="B522" i="3" s="1"/>
  <c r="M521" i="3" l="1"/>
  <c r="N521" i="3" s="1"/>
  <c r="J521" i="3"/>
  <c r="L521" i="3" s="1"/>
  <c r="W521" i="3"/>
  <c r="AC522" i="3"/>
  <c r="P522" i="3"/>
  <c r="Q522" i="3" s="1"/>
  <c r="R522" i="3" s="1"/>
  <c r="S522" i="3" s="1"/>
  <c r="AA522" i="3"/>
  <c r="AD522" i="3"/>
  <c r="Z522" i="3"/>
  <c r="U521" i="3" l="1"/>
  <c r="Y520" i="3"/>
  <c r="T522" i="3"/>
  <c r="AG522" i="3" s="1"/>
  <c r="AH522" i="3" l="1"/>
  <c r="E522" i="3"/>
  <c r="H522" i="3" s="1"/>
  <c r="D522" i="3"/>
  <c r="K522" i="3" l="1"/>
  <c r="AE522" i="3" s="1"/>
  <c r="F522" i="3"/>
  <c r="G522" i="3"/>
  <c r="I522" i="3" l="1"/>
  <c r="J522" i="3"/>
  <c r="M522" i="3"/>
  <c r="N522" i="3" s="1"/>
  <c r="V522" i="3"/>
  <c r="A523" i="3"/>
  <c r="B523" i="3" s="1"/>
  <c r="W522" i="3" l="1"/>
  <c r="L522" i="3"/>
  <c r="AC523" i="3"/>
  <c r="Z523" i="3"/>
  <c r="AD523" i="3"/>
  <c r="AA523" i="3"/>
  <c r="P523" i="3"/>
  <c r="Q523" i="3" s="1"/>
  <c r="R523" i="3" s="1"/>
  <c r="S523" i="3" s="1"/>
  <c r="U522" i="3" l="1"/>
  <c r="Y521" i="3"/>
  <c r="T523" i="3"/>
  <c r="AG523" i="3" s="1"/>
  <c r="AH523" i="3" l="1"/>
  <c r="D523" i="3"/>
  <c r="G523" i="3" s="1"/>
  <c r="E523" i="3"/>
  <c r="H523" i="3" s="1"/>
  <c r="F523" i="3" l="1"/>
  <c r="I523" i="3"/>
  <c r="J523" i="3"/>
  <c r="M523" i="3"/>
  <c r="N523" i="3" s="1"/>
  <c r="K523" i="3"/>
  <c r="AE523" i="3" s="1"/>
  <c r="V523" i="3" l="1"/>
  <c r="W523" i="3" s="1"/>
  <c r="A524" i="3"/>
  <c r="B524" i="3" s="1"/>
  <c r="L523" i="3"/>
  <c r="U523" i="3" l="1"/>
  <c r="Y522" i="3"/>
  <c r="Z524" i="3"/>
  <c r="P524" i="3"/>
  <c r="Q524" i="3" s="1"/>
  <c r="R524" i="3" s="1"/>
  <c r="S524" i="3" s="1"/>
  <c r="AC524" i="3"/>
  <c r="AA524" i="3"/>
  <c r="T524" i="3" l="1"/>
  <c r="E524" i="3" s="1"/>
  <c r="H524" i="3" s="1"/>
  <c r="D524" i="3" l="1"/>
  <c r="G524" i="3" s="1"/>
  <c r="K524" i="3"/>
  <c r="AE524" i="3" s="1"/>
  <c r="AH524" i="3"/>
  <c r="AG524" i="3"/>
  <c r="F524" i="3" l="1"/>
  <c r="I524" i="3"/>
  <c r="J524" i="3"/>
  <c r="AD524" i="3" s="1"/>
  <c r="M524" i="3"/>
  <c r="N524" i="3" s="1"/>
  <c r="V524" i="3"/>
  <c r="A525" i="3"/>
  <c r="B525" i="3" s="1"/>
  <c r="W524" i="3" l="1"/>
  <c r="L524" i="3"/>
  <c r="AA525" i="3"/>
  <c r="AC525" i="3"/>
  <c r="AD525" i="3"/>
  <c r="Z525" i="3"/>
  <c r="P525" i="3"/>
  <c r="Q525" i="3" s="1"/>
  <c r="R525" i="3" s="1"/>
  <c r="S525" i="3" s="1"/>
  <c r="T525" i="3" l="1"/>
  <c r="AH525" i="3" s="1"/>
  <c r="U524" i="3"/>
  <c r="Y523" i="3"/>
  <c r="AG525" i="3" l="1"/>
  <c r="D525" i="3"/>
  <c r="E525" i="3"/>
  <c r="H525" i="3" s="1"/>
  <c r="F525" i="3" l="1"/>
  <c r="G525" i="3"/>
  <c r="K525" i="3"/>
  <c r="AE525" i="3" s="1"/>
  <c r="I525" i="3" l="1"/>
  <c r="J525" i="3"/>
  <c r="M525" i="3"/>
  <c r="N525" i="3" s="1"/>
  <c r="V525" i="3"/>
  <c r="A526" i="3"/>
  <c r="B526" i="3" s="1"/>
  <c r="L525" i="3" l="1"/>
  <c r="W525" i="3"/>
  <c r="AA526" i="3"/>
  <c r="P526" i="3"/>
  <c r="Q526" i="3" s="1"/>
  <c r="R526" i="3" s="1"/>
  <c r="S526" i="3" s="1"/>
  <c r="Z526" i="3"/>
  <c r="AD526" i="3"/>
  <c r="AC526" i="3"/>
  <c r="T526" i="3" l="1"/>
  <c r="U525" i="3"/>
  <c r="Y524" i="3"/>
  <c r="D526" i="3" l="1"/>
  <c r="G526" i="3" s="1"/>
  <c r="AH526" i="3"/>
  <c r="E526" i="3"/>
  <c r="H526" i="3" s="1"/>
  <c r="K526" i="3" s="1"/>
  <c r="AE526" i="3" s="1"/>
  <c r="AG526" i="3"/>
  <c r="F526" i="3" l="1"/>
  <c r="V526" i="3"/>
  <c r="A527" i="3"/>
  <c r="B527" i="3" s="1"/>
  <c r="I526" i="3"/>
  <c r="J526" i="3"/>
  <c r="M526" i="3"/>
  <c r="N526" i="3" s="1"/>
  <c r="W526" i="3" l="1"/>
  <c r="L526" i="3"/>
  <c r="AD527" i="3"/>
  <c r="Z527" i="3"/>
  <c r="AC527" i="3"/>
  <c r="P527" i="3"/>
  <c r="Q527" i="3" s="1"/>
  <c r="R527" i="3" s="1"/>
  <c r="S527" i="3" s="1"/>
  <c r="AA527" i="3"/>
  <c r="U526" i="3" l="1"/>
  <c r="Y525" i="3"/>
  <c r="T527" i="3"/>
  <c r="D527" i="3" l="1"/>
  <c r="G527" i="3" s="1"/>
  <c r="E527" i="3"/>
  <c r="H527" i="3" s="1"/>
  <c r="AG527" i="3"/>
  <c r="AH527" i="3"/>
  <c r="F527" i="3" l="1"/>
  <c r="I527" i="3"/>
  <c r="J527" i="3"/>
  <c r="M527" i="3"/>
  <c r="N527" i="3" s="1"/>
  <c r="K527" i="3"/>
  <c r="AE527" i="3" s="1"/>
  <c r="V527" i="3" l="1"/>
  <c r="W527" i="3" s="1"/>
  <c r="A528" i="3"/>
  <c r="B528" i="3" s="1"/>
  <c r="L527" i="3"/>
  <c r="U527" i="3" l="1"/>
  <c r="Y526" i="3"/>
  <c r="Z528" i="3"/>
  <c r="P528" i="3"/>
  <c r="Q528" i="3" s="1"/>
  <c r="R528" i="3" s="1"/>
  <c r="S528" i="3" s="1"/>
  <c r="AC528" i="3"/>
  <c r="AD528" i="3"/>
  <c r="AA528" i="3"/>
  <c r="T528" i="3" l="1"/>
  <c r="AH528" i="3" s="1"/>
  <c r="D528" i="3" l="1"/>
  <c r="E528" i="3"/>
  <c r="H528" i="3" s="1"/>
  <c r="K528" i="3" s="1"/>
  <c r="AE528" i="3" s="1"/>
  <c r="AG528" i="3"/>
  <c r="F528" i="3" l="1"/>
  <c r="G528" i="3"/>
  <c r="M528" i="3" s="1"/>
  <c r="N528" i="3" s="1"/>
  <c r="V528" i="3"/>
  <c r="A529" i="3"/>
  <c r="B529" i="3" s="1"/>
  <c r="I528" i="3" l="1"/>
  <c r="W528" i="3" s="1"/>
  <c r="J528" i="3"/>
  <c r="L528" i="3" s="1"/>
  <c r="Z529" i="3"/>
  <c r="AC529" i="3"/>
  <c r="AD529" i="3"/>
  <c r="P529" i="3"/>
  <c r="Q529" i="3" s="1"/>
  <c r="R529" i="3" s="1"/>
  <c r="S529" i="3" s="1"/>
  <c r="AA529" i="3"/>
  <c r="U528" i="3" l="1"/>
  <c r="Y527" i="3"/>
  <c r="T529" i="3"/>
  <c r="AG529" i="3" s="1"/>
  <c r="D529" i="3" l="1"/>
  <c r="G529" i="3" s="1"/>
  <c r="AH529" i="3"/>
  <c r="E529" i="3"/>
  <c r="H529" i="3" s="1"/>
  <c r="K529" i="3" s="1"/>
  <c r="AE529" i="3" s="1"/>
  <c r="F529" i="3" l="1"/>
  <c r="I529" i="3"/>
  <c r="J529" i="3"/>
  <c r="M529" i="3"/>
  <c r="N529" i="3" s="1"/>
  <c r="V529" i="3"/>
  <c r="A530" i="3"/>
  <c r="B530" i="3" s="1"/>
  <c r="W529" i="3" l="1"/>
  <c r="L529" i="3"/>
  <c r="Z530" i="3"/>
  <c r="AD530" i="3"/>
  <c r="P530" i="3"/>
  <c r="Q530" i="3" s="1"/>
  <c r="R530" i="3" s="1"/>
  <c r="S530" i="3" s="1"/>
  <c r="AC530" i="3"/>
  <c r="AA530" i="3"/>
  <c r="T530" i="3" l="1"/>
  <c r="AG530" i="3" s="1"/>
  <c r="U529" i="3"/>
  <c r="Y528" i="3"/>
  <c r="D530" i="3" l="1"/>
  <c r="G530" i="3" s="1"/>
  <c r="AH530" i="3"/>
  <c r="E530" i="3"/>
  <c r="H530" i="3" s="1"/>
  <c r="F530" i="3" l="1"/>
  <c r="I530" i="3"/>
  <c r="J530" i="3"/>
  <c r="M530" i="3"/>
  <c r="N530" i="3" s="1"/>
  <c r="K530" i="3"/>
  <c r="AE530" i="3" s="1"/>
  <c r="V530" i="3" l="1"/>
  <c r="W530" i="3" s="1"/>
  <c r="A531" i="3"/>
  <c r="B531" i="3" s="1"/>
  <c r="L530" i="3"/>
  <c r="U530" i="3" l="1"/>
  <c r="Y529" i="3"/>
  <c r="Z531" i="3"/>
  <c r="AD531" i="3"/>
  <c r="AC531" i="3"/>
  <c r="AA531" i="3"/>
  <c r="P531" i="3"/>
  <c r="Q531" i="3" s="1"/>
  <c r="R531" i="3" s="1"/>
  <c r="S531" i="3" s="1"/>
  <c r="T531" i="3" l="1"/>
  <c r="AG531" i="3" s="1"/>
  <c r="AH531" i="3" l="1"/>
  <c r="D531" i="3"/>
  <c r="E531" i="3"/>
  <c r="H531" i="3" s="1"/>
  <c r="K531" i="3" l="1"/>
  <c r="AE531" i="3" s="1"/>
  <c r="F531" i="3"/>
  <c r="G531" i="3"/>
  <c r="I531" i="3" l="1"/>
  <c r="J531" i="3"/>
  <c r="M531" i="3"/>
  <c r="N531" i="3" s="1"/>
  <c r="V531" i="3"/>
  <c r="A532" i="3"/>
  <c r="B532" i="3" s="1"/>
  <c r="W531" i="3" l="1"/>
  <c r="L531" i="3"/>
  <c r="AD532" i="3"/>
  <c r="AC532" i="3"/>
  <c r="Z532" i="3"/>
  <c r="P532" i="3"/>
  <c r="Q532" i="3" s="1"/>
  <c r="R532" i="3" s="1"/>
  <c r="S532" i="3" s="1"/>
  <c r="AA532" i="3"/>
  <c r="U531" i="3" l="1"/>
  <c r="Y530" i="3"/>
  <c r="T532" i="3"/>
  <c r="AH532" i="3" s="1"/>
  <c r="D532" i="3" l="1"/>
  <c r="G532" i="3" s="1"/>
  <c r="AG532" i="3"/>
  <c r="E532" i="3"/>
  <c r="H532" i="3" s="1"/>
  <c r="K532" i="3" s="1"/>
  <c r="AE532" i="3" s="1"/>
  <c r="F532" i="3" l="1"/>
  <c r="V532" i="3"/>
  <c r="A533" i="3"/>
  <c r="B533" i="3" s="1"/>
  <c r="I532" i="3"/>
  <c r="J532" i="3"/>
  <c r="M532" i="3"/>
  <c r="N532" i="3" s="1"/>
  <c r="W532" i="3" l="1"/>
  <c r="L532" i="3"/>
  <c r="P533" i="3"/>
  <c r="Q533" i="3" s="1"/>
  <c r="R533" i="3" s="1"/>
  <c r="S533" i="3" s="1"/>
  <c r="AD533" i="3"/>
  <c r="AA533" i="3"/>
  <c r="Z533" i="3"/>
  <c r="AC533" i="3"/>
  <c r="T533" i="3" l="1"/>
  <c r="U532" i="3"/>
  <c r="Y531" i="3"/>
  <c r="E533" i="3" l="1"/>
  <c r="H533" i="3" s="1"/>
  <c r="K533" i="3" s="1"/>
  <c r="AE533" i="3" s="1"/>
  <c r="AH533" i="3"/>
  <c r="AG533" i="3"/>
  <c r="D533" i="3"/>
  <c r="F533" i="3" l="1"/>
  <c r="G533" i="3"/>
  <c r="V533" i="3"/>
  <c r="A534" i="3"/>
  <c r="B534" i="3" s="1"/>
  <c r="Z534" i="3" l="1"/>
  <c r="AC534" i="3"/>
  <c r="AA534" i="3"/>
  <c r="P534" i="3"/>
  <c r="Q534" i="3" s="1"/>
  <c r="R534" i="3" s="1"/>
  <c r="S534" i="3" s="1"/>
  <c r="I533" i="3"/>
  <c r="W533" i="3" s="1"/>
  <c r="J533" i="3"/>
  <c r="M533" i="3"/>
  <c r="N533" i="3" s="1"/>
  <c r="L533" i="3" l="1"/>
  <c r="T534" i="3"/>
  <c r="U533" i="3" l="1"/>
  <c r="D534" i="3" s="1"/>
  <c r="AG534" i="3"/>
  <c r="AH534" i="3"/>
  <c r="Y532" i="3"/>
  <c r="E534" i="3" l="1"/>
  <c r="H534" i="3" s="1"/>
  <c r="K534" i="3" s="1"/>
  <c r="AE534" i="3" s="1"/>
  <c r="G534" i="3"/>
  <c r="F534" i="3" l="1"/>
  <c r="V534" i="3"/>
  <c r="A535" i="3"/>
  <c r="B535" i="3" s="1"/>
  <c r="I534" i="3"/>
  <c r="J534" i="3"/>
  <c r="AD534" i="3" s="1"/>
  <c r="M534" i="3"/>
  <c r="N534" i="3" s="1"/>
  <c r="W534" i="3" l="1"/>
  <c r="L534" i="3"/>
  <c r="AA535" i="3"/>
  <c r="AC535" i="3"/>
  <c r="AD535" i="3"/>
  <c r="Z535" i="3"/>
  <c r="P535" i="3"/>
  <c r="Q535" i="3" s="1"/>
  <c r="R535" i="3" s="1"/>
  <c r="S535" i="3" s="1"/>
  <c r="T535" i="3" l="1"/>
  <c r="U534" i="3"/>
  <c r="Y533" i="3"/>
  <c r="D535" i="3" l="1"/>
  <c r="G535" i="3" s="1"/>
  <c r="E535" i="3"/>
  <c r="H535" i="3" s="1"/>
  <c r="K535" i="3" s="1"/>
  <c r="AE535" i="3" s="1"/>
  <c r="AG535" i="3"/>
  <c r="AH535" i="3"/>
  <c r="F535" i="3" l="1"/>
  <c r="V535" i="3"/>
  <c r="A536" i="3"/>
  <c r="B536" i="3" s="1"/>
  <c r="I535" i="3"/>
  <c r="J535" i="3"/>
  <c r="M535" i="3"/>
  <c r="N535" i="3" s="1"/>
  <c r="W535" i="3" l="1"/>
  <c r="L535" i="3"/>
  <c r="AC536" i="3"/>
  <c r="AA536" i="3"/>
  <c r="Z536" i="3"/>
  <c r="P536" i="3"/>
  <c r="Q536" i="3" s="1"/>
  <c r="R536" i="3" s="1"/>
  <c r="S536" i="3" s="1"/>
  <c r="AD536" i="3"/>
  <c r="U535" i="3" l="1"/>
  <c r="Y534" i="3"/>
  <c r="T536" i="3"/>
  <c r="AH536" i="3" s="1"/>
  <c r="AG536" i="3" l="1"/>
  <c r="E536" i="3"/>
  <c r="H536" i="3" s="1"/>
  <c r="D536" i="3"/>
  <c r="K536" i="3" l="1"/>
  <c r="AE536" i="3" s="1"/>
  <c r="F536" i="3"/>
  <c r="G536" i="3"/>
  <c r="I536" i="3" l="1"/>
  <c r="J536" i="3"/>
  <c r="M536" i="3"/>
  <c r="N536" i="3" s="1"/>
  <c r="V536" i="3"/>
  <c r="A537" i="3"/>
  <c r="B537" i="3" s="1"/>
  <c r="W536" i="3" l="1"/>
  <c r="L536" i="3"/>
  <c r="AC537" i="3"/>
  <c r="P537" i="3"/>
  <c r="Q537" i="3" s="1"/>
  <c r="R537" i="3" s="1"/>
  <c r="S537" i="3" s="1"/>
  <c r="Z537" i="3"/>
  <c r="AD537" i="3"/>
  <c r="AA537" i="3"/>
  <c r="U536" i="3" l="1"/>
  <c r="Y535" i="3"/>
  <c r="T537" i="3"/>
  <c r="AH537" i="3" s="1"/>
  <c r="AG537" i="3" l="1"/>
  <c r="E537" i="3"/>
  <c r="H537" i="3" s="1"/>
  <c r="D537" i="3"/>
  <c r="K537" i="3" l="1"/>
  <c r="AE537" i="3" s="1"/>
  <c r="F537" i="3"/>
  <c r="G537" i="3"/>
  <c r="I537" i="3" l="1"/>
  <c r="J537" i="3"/>
  <c r="M537" i="3"/>
  <c r="N537" i="3" s="1"/>
  <c r="V537" i="3"/>
  <c r="A538" i="3"/>
  <c r="B538" i="3" s="1"/>
  <c r="W537" i="3" l="1"/>
  <c r="L537" i="3"/>
  <c r="AA538" i="3"/>
  <c r="AC538" i="3"/>
  <c r="AD538" i="3"/>
  <c r="Z538" i="3"/>
  <c r="P538" i="3"/>
  <c r="Q538" i="3" s="1"/>
  <c r="R538" i="3" s="1"/>
  <c r="S538" i="3" s="1"/>
  <c r="T538" i="3" l="1"/>
  <c r="U537" i="3"/>
  <c r="Y536" i="3"/>
  <c r="D538" i="3" l="1"/>
  <c r="G538" i="3" s="1"/>
  <c r="AH538" i="3"/>
  <c r="AG538" i="3"/>
  <c r="E538" i="3"/>
  <c r="H538" i="3" s="1"/>
  <c r="F538" i="3" l="1"/>
  <c r="I538" i="3"/>
  <c r="J538" i="3"/>
  <c r="M538" i="3"/>
  <c r="N538" i="3" s="1"/>
  <c r="K538" i="3"/>
  <c r="AE538" i="3" s="1"/>
  <c r="V538" i="3" l="1"/>
  <c r="W538" i="3" s="1"/>
  <c r="A539" i="3"/>
  <c r="B539" i="3" s="1"/>
  <c r="L538" i="3"/>
  <c r="U538" i="3" l="1"/>
  <c r="Y537" i="3"/>
  <c r="Z539" i="3"/>
  <c r="P539" i="3"/>
  <c r="Q539" i="3" s="1"/>
  <c r="R539" i="3" s="1"/>
  <c r="S539" i="3" s="1"/>
  <c r="AD539" i="3"/>
  <c r="AA539" i="3"/>
  <c r="AC539" i="3"/>
  <c r="T539" i="3" l="1"/>
  <c r="AH539" i="3" s="1"/>
  <c r="AG539" i="3" l="1"/>
  <c r="E539" i="3"/>
  <c r="H539" i="3" s="1"/>
  <c r="K539" i="3" s="1"/>
  <c r="AE539" i="3" s="1"/>
  <c r="D539" i="3"/>
  <c r="G539" i="3" s="1"/>
  <c r="F539" i="3" l="1"/>
  <c r="V539" i="3"/>
  <c r="A540" i="3"/>
  <c r="B540" i="3" s="1"/>
  <c r="I539" i="3"/>
  <c r="J539" i="3"/>
  <c r="M539" i="3"/>
  <c r="N539" i="3" s="1"/>
  <c r="W539" i="3" l="1"/>
  <c r="L539" i="3"/>
  <c r="AA540" i="3"/>
  <c r="AC540" i="3"/>
  <c r="Z540" i="3"/>
  <c r="AD540" i="3"/>
  <c r="P540" i="3"/>
  <c r="Q540" i="3" s="1"/>
  <c r="R540" i="3" s="1"/>
  <c r="S540" i="3" s="1"/>
  <c r="U539" i="3" l="1"/>
  <c r="Y538" i="3"/>
  <c r="T540" i="3"/>
  <c r="AG540" i="3" s="1"/>
  <c r="E540" i="3" l="1"/>
  <c r="H540" i="3" s="1"/>
  <c r="D540" i="3"/>
  <c r="AH540" i="3"/>
  <c r="K540" i="3" l="1"/>
  <c r="AE540" i="3" s="1"/>
  <c r="F540" i="3"/>
  <c r="G540" i="3"/>
  <c r="V540" i="3" l="1"/>
  <c r="A541" i="3"/>
  <c r="B541" i="3" s="1"/>
  <c r="I540" i="3"/>
  <c r="J540" i="3"/>
  <c r="M540" i="3"/>
  <c r="N540" i="3" s="1"/>
  <c r="W540" i="3" l="1"/>
  <c r="L540" i="3"/>
  <c r="P541" i="3"/>
  <c r="Q541" i="3" s="1"/>
  <c r="R541" i="3" s="1"/>
  <c r="S541" i="3" s="1"/>
  <c r="AA541" i="3"/>
  <c r="AD541" i="3"/>
  <c r="Z541" i="3"/>
  <c r="AC541" i="3"/>
  <c r="U540" i="3" l="1"/>
  <c r="Y539" i="3"/>
  <c r="T541" i="3"/>
  <c r="AG541" i="3" s="1"/>
  <c r="AH541" i="3" l="1"/>
  <c r="E541" i="3"/>
  <c r="H541" i="3" s="1"/>
  <c r="D541" i="3"/>
  <c r="K541" i="3" l="1"/>
  <c r="AE541" i="3" s="1"/>
  <c r="F541" i="3"/>
  <c r="G541" i="3"/>
  <c r="I541" i="3" l="1"/>
  <c r="J541" i="3"/>
  <c r="M541" i="3"/>
  <c r="N541" i="3" s="1"/>
  <c r="V541" i="3"/>
  <c r="A542" i="3"/>
  <c r="B542" i="3" s="1"/>
  <c r="W541" i="3" l="1"/>
  <c r="L541" i="3"/>
  <c r="AC542" i="3"/>
  <c r="P542" i="3"/>
  <c r="Q542" i="3" s="1"/>
  <c r="R542" i="3" s="1"/>
  <c r="S542" i="3" s="1"/>
  <c r="AA542" i="3"/>
  <c r="Z542" i="3"/>
  <c r="AD542" i="3"/>
  <c r="T542" i="3" l="1"/>
  <c r="AH542" i="3" s="1"/>
  <c r="U541" i="3"/>
  <c r="Y540" i="3"/>
  <c r="E542" i="3" l="1"/>
  <c r="H542" i="3" s="1"/>
  <c r="K542" i="3" s="1"/>
  <c r="AE542" i="3" s="1"/>
  <c r="AG542" i="3"/>
  <c r="D542" i="3"/>
  <c r="F542" i="3" l="1"/>
  <c r="G542" i="3"/>
  <c r="V542" i="3"/>
  <c r="A543" i="3"/>
  <c r="B543" i="3" s="1"/>
  <c r="P543" i="3" l="1"/>
  <c r="Q543" i="3" s="1"/>
  <c r="R543" i="3" s="1"/>
  <c r="S543" i="3" s="1"/>
  <c r="AD543" i="3"/>
  <c r="Z543" i="3"/>
  <c r="AA543" i="3"/>
  <c r="AC543" i="3"/>
  <c r="I542" i="3"/>
  <c r="W542" i="3" s="1"/>
  <c r="J542" i="3"/>
  <c r="M542" i="3"/>
  <c r="N542" i="3" s="1"/>
  <c r="T543" i="3" l="1"/>
  <c r="L542" i="3"/>
  <c r="AH543" i="3" l="1"/>
  <c r="U542" i="3"/>
  <c r="E543" i="3" s="1"/>
  <c r="H543" i="3" s="1"/>
  <c r="AG543" i="3"/>
  <c r="Y541" i="3"/>
  <c r="D543" i="3" l="1"/>
  <c r="G543" i="3" s="1"/>
  <c r="K543" i="3"/>
  <c r="AE543" i="3" s="1"/>
  <c r="F543" i="3" l="1"/>
  <c r="I543" i="3"/>
  <c r="J543" i="3"/>
  <c r="M543" i="3"/>
  <c r="N543" i="3" s="1"/>
  <c r="V543" i="3"/>
  <c r="A544" i="3"/>
  <c r="B544" i="3" s="1"/>
  <c r="W543" i="3" l="1"/>
  <c r="L543" i="3"/>
  <c r="P544" i="3"/>
  <c r="Q544" i="3" s="1"/>
  <c r="R544" i="3" s="1"/>
  <c r="S544" i="3" s="1"/>
  <c r="Z544" i="3"/>
  <c r="AC544" i="3"/>
  <c r="AA544" i="3"/>
  <c r="U543" i="3" l="1"/>
  <c r="Y542" i="3"/>
  <c r="T544" i="3"/>
  <c r="AG544" i="3" s="1"/>
  <c r="E544" i="3" l="1"/>
  <c r="H544" i="3" s="1"/>
  <c r="D544" i="3"/>
  <c r="AH544" i="3"/>
  <c r="K544" i="3" l="1"/>
  <c r="AE544" i="3" s="1"/>
  <c r="F544" i="3"/>
  <c r="G544" i="3"/>
  <c r="I544" i="3" l="1"/>
  <c r="J544" i="3"/>
  <c r="AD544" i="3" s="1"/>
  <c r="M544" i="3"/>
  <c r="N544" i="3" s="1"/>
  <c r="V544" i="3"/>
  <c r="A545" i="3"/>
  <c r="B545" i="3" s="1"/>
  <c r="W544" i="3" l="1"/>
  <c r="L544" i="3"/>
  <c r="Z545" i="3"/>
  <c r="AA545" i="3"/>
  <c r="AD545" i="3"/>
  <c r="AC545" i="3"/>
  <c r="P545" i="3"/>
  <c r="Q545" i="3" s="1"/>
  <c r="R545" i="3" s="1"/>
  <c r="S545" i="3" s="1"/>
  <c r="U544" i="3" l="1"/>
  <c r="Y543" i="3"/>
  <c r="T545" i="3"/>
  <c r="AH545" i="3" s="1"/>
  <c r="E545" i="3" l="1"/>
  <c r="H545" i="3" s="1"/>
  <c r="K545" i="3" s="1"/>
  <c r="AE545" i="3" s="1"/>
  <c r="D545" i="3"/>
  <c r="AG545" i="3"/>
  <c r="V545" i="3" l="1"/>
  <c r="A546" i="3"/>
  <c r="B546" i="3" s="1"/>
  <c r="F545" i="3"/>
  <c r="G545" i="3"/>
  <c r="I545" i="3" l="1"/>
  <c r="W545" i="3" s="1"/>
  <c r="J545" i="3"/>
  <c r="M545" i="3"/>
  <c r="N545" i="3" s="1"/>
  <c r="AC546" i="3"/>
  <c r="P546" i="3"/>
  <c r="Q546" i="3" s="1"/>
  <c r="R546" i="3" s="1"/>
  <c r="S546" i="3" s="1"/>
  <c r="Z546" i="3"/>
  <c r="AA546" i="3"/>
  <c r="AD546" i="3"/>
  <c r="T546" i="3" l="1"/>
  <c r="L545" i="3"/>
  <c r="U545" i="3" l="1"/>
  <c r="D546" i="3" s="1"/>
  <c r="AG546" i="3"/>
  <c r="AH546" i="3"/>
  <c r="Y544" i="3"/>
  <c r="E546" i="3" l="1"/>
  <c r="H546" i="3" s="1"/>
  <c r="K546" i="3" s="1"/>
  <c r="AE546" i="3" s="1"/>
  <c r="G546" i="3"/>
  <c r="F546" i="3" l="1"/>
  <c r="V546" i="3"/>
  <c r="A547" i="3"/>
  <c r="B547" i="3" s="1"/>
  <c r="I546" i="3"/>
  <c r="J546" i="3"/>
  <c r="M546" i="3"/>
  <c r="N546" i="3" s="1"/>
  <c r="W546" i="3" l="1"/>
  <c r="L546" i="3"/>
  <c r="AC547" i="3"/>
  <c r="AD547" i="3"/>
  <c r="P547" i="3"/>
  <c r="Q547" i="3" s="1"/>
  <c r="R547" i="3" s="1"/>
  <c r="S547" i="3" s="1"/>
  <c r="AA547" i="3"/>
  <c r="Z547" i="3"/>
  <c r="U546" i="3" l="1"/>
  <c r="Y545" i="3"/>
  <c r="T547" i="3"/>
  <c r="AG547" i="3" s="1"/>
  <c r="E547" i="3" l="1"/>
  <c r="H547" i="3" s="1"/>
  <c r="K547" i="3" s="1"/>
  <c r="AE547" i="3" s="1"/>
  <c r="D547" i="3"/>
  <c r="G547" i="3" s="1"/>
  <c r="AH547" i="3"/>
  <c r="F547" i="3" l="1"/>
  <c r="I547" i="3"/>
  <c r="J547" i="3"/>
  <c r="M547" i="3"/>
  <c r="N547" i="3" s="1"/>
  <c r="V547" i="3"/>
  <c r="A548" i="3"/>
  <c r="B548" i="3" s="1"/>
  <c r="W547" i="3" l="1"/>
  <c r="L547" i="3"/>
  <c r="Z548" i="3"/>
  <c r="AA548" i="3"/>
  <c r="P548" i="3"/>
  <c r="Q548" i="3" s="1"/>
  <c r="R548" i="3" s="1"/>
  <c r="S548" i="3" s="1"/>
  <c r="AC548" i="3"/>
  <c r="AD548" i="3"/>
  <c r="U547" i="3" l="1"/>
  <c r="Y546" i="3"/>
  <c r="T548" i="3"/>
  <c r="E548" i="3" l="1"/>
  <c r="H548" i="3" s="1"/>
  <c r="K548" i="3" s="1"/>
  <c r="AE548" i="3" s="1"/>
  <c r="D548" i="3"/>
  <c r="AG548" i="3"/>
  <c r="AH548" i="3"/>
  <c r="V548" i="3" l="1"/>
  <c r="A549" i="3"/>
  <c r="B549" i="3" s="1"/>
  <c r="F548" i="3"/>
  <c r="G548" i="3"/>
  <c r="I548" i="3" l="1"/>
  <c r="W548" i="3" s="1"/>
  <c r="J548" i="3"/>
  <c r="M548" i="3"/>
  <c r="N548" i="3" s="1"/>
  <c r="P549" i="3"/>
  <c r="Q549" i="3" s="1"/>
  <c r="R549" i="3" s="1"/>
  <c r="S549" i="3" s="1"/>
  <c r="AC549" i="3"/>
  <c r="AA549" i="3"/>
  <c r="Z549" i="3"/>
  <c r="AD549" i="3"/>
  <c r="T549" i="3" l="1"/>
  <c r="L548" i="3"/>
  <c r="AH549" i="3" l="1"/>
  <c r="U548" i="3"/>
  <c r="E549" i="3" s="1"/>
  <c r="H549" i="3" s="1"/>
  <c r="AG549" i="3"/>
  <c r="Y547" i="3"/>
  <c r="K549" i="3" l="1"/>
  <c r="AE549" i="3" s="1"/>
  <c r="D549" i="3"/>
  <c r="V549" i="3" l="1"/>
  <c r="A550" i="3"/>
  <c r="B550" i="3" s="1"/>
  <c r="F549" i="3"/>
  <c r="G549" i="3"/>
  <c r="I549" i="3" l="1"/>
  <c r="W549" i="3" s="1"/>
  <c r="J549" i="3"/>
  <c r="M549" i="3"/>
  <c r="N549" i="3" s="1"/>
  <c r="P550" i="3"/>
  <c r="Q550" i="3" s="1"/>
  <c r="R550" i="3" s="1"/>
  <c r="S550" i="3" s="1"/>
  <c r="AA550" i="3"/>
  <c r="AC550" i="3"/>
  <c r="Z550" i="3"/>
  <c r="AD550" i="3"/>
  <c r="T550" i="3" l="1"/>
  <c r="L549" i="3"/>
  <c r="U549" i="3" l="1"/>
  <c r="D550" i="3" s="1"/>
  <c r="AH550" i="3"/>
  <c r="AG550" i="3"/>
  <c r="Y548" i="3"/>
  <c r="E550" i="3" l="1"/>
  <c r="H550" i="3" s="1"/>
  <c r="K550" i="3" s="1"/>
  <c r="AE550" i="3" s="1"/>
  <c r="G550" i="3"/>
  <c r="F550" i="3" l="1"/>
  <c r="I550" i="3"/>
  <c r="J550" i="3"/>
  <c r="M550" i="3"/>
  <c r="N550" i="3" s="1"/>
  <c r="V550" i="3"/>
  <c r="A551" i="3"/>
  <c r="B551" i="3" s="1"/>
  <c r="W550" i="3" l="1"/>
  <c r="L550" i="3"/>
  <c r="AD551" i="3"/>
  <c r="P551" i="3"/>
  <c r="Q551" i="3" s="1"/>
  <c r="R551" i="3" s="1"/>
  <c r="S551" i="3" s="1"/>
  <c r="AC551" i="3"/>
  <c r="AA551" i="3"/>
  <c r="Z551" i="3"/>
  <c r="T551" i="3" l="1"/>
  <c r="AG551" i="3" s="1"/>
  <c r="U550" i="3"/>
  <c r="Y549" i="3"/>
  <c r="D551" i="3" l="1"/>
  <c r="G551" i="3" s="1"/>
  <c r="AH551" i="3"/>
  <c r="E551" i="3"/>
  <c r="H551" i="3" s="1"/>
  <c r="F551" i="3" l="1"/>
  <c r="I551" i="3"/>
  <c r="J551" i="3"/>
  <c r="M551" i="3"/>
  <c r="N551" i="3" s="1"/>
  <c r="K551" i="3"/>
  <c r="AE551" i="3" s="1"/>
  <c r="V551" i="3" l="1"/>
  <c r="W551" i="3" s="1"/>
  <c r="A552" i="3"/>
  <c r="B552" i="3" s="1"/>
  <c r="L551" i="3"/>
  <c r="U551" i="3" l="1"/>
  <c r="Y550" i="3"/>
  <c r="AA552" i="3"/>
  <c r="P552" i="3"/>
  <c r="Q552" i="3" s="1"/>
  <c r="R552" i="3" s="1"/>
  <c r="S552" i="3" s="1"/>
  <c r="AC552" i="3"/>
  <c r="Z552" i="3"/>
  <c r="AD552" i="3"/>
  <c r="T552" i="3" l="1"/>
  <c r="D552" i="3" s="1"/>
  <c r="AG552" i="3" l="1"/>
  <c r="AH552" i="3"/>
  <c r="E552" i="3"/>
  <c r="H552" i="3" s="1"/>
  <c r="K552" i="3" s="1"/>
  <c r="AE552" i="3" s="1"/>
  <c r="G552" i="3"/>
  <c r="F552" i="3" l="1"/>
  <c r="I552" i="3"/>
  <c r="J552" i="3"/>
  <c r="M552" i="3"/>
  <c r="N552" i="3" s="1"/>
  <c r="V552" i="3"/>
  <c r="A553" i="3"/>
  <c r="B553" i="3" s="1"/>
  <c r="W552" i="3" l="1"/>
  <c r="L552" i="3"/>
  <c r="P553" i="3"/>
  <c r="Q553" i="3" s="1"/>
  <c r="R553" i="3" s="1"/>
  <c r="S553" i="3" s="1"/>
  <c r="Z553" i="3"/>
  <c r="AC553" i="3"/>
  <c r="AA553" i="3"/>
  <c r="AD553" i="3"/>
  <c r="T553" i="3" l="1"/>
  <c r="U552" i="3"/>
  <c r="Y551" i="3"/>
  <c r="D553" i="3" l="1"/>
  <c r="G553" i="3" s="1"/>
  <c r="AH553" i="3"/>
  <c r="AG553" i="3"/>
  <c r="E553" i="3"/>
  <c r="H553" i="3" s="1"/>
  <c r="K553" i="3" l="1"/>
  <c r="AE553" i="3" s="1"/>
  <c r="F553" i="3"/>
  <c r="I553" i="3"/>
  <c r="J553" i="3"/>
  <c r="M553" i="3"/>
  <c r="N553" i="3" s="1"/>
  <c r="V553" i="3" l="1"/>
  <c r="W553" i="3" s="1"/>
  <c r="A554" i="3"/>
  <c r="B554" i="3" s="1"/>
  <c r="L553" i="3"/>
  <c r="U553" i="3" l="1"/>
  <c r="Y552" i="3"/>
  <c r="AA554" i="3"/>
  <c r="AC554" i="3"/>
  <c r="P554" i="3"/>
  <c r="Q554" i="3" s="1"/>
  <c r="R554" i="3" s="1"/>
  <c r="S554" i="3" s="1"/>
  <c r="Z554" i="3"/>
  <c r="T554" i="3" l="1"/>
  <c r="AH554" i="3" s="1"/>
  <c r="E554" i="3" l="1"/>
  <c r="H554" i="3" s="1"/>
  <c r="K554" i="3" s="1"/>
  <c r="AE554" i="3" s="1"/>
  <c r="AG554" i="3"/>
  <c r="D554" i="3"/>
  <c r="V554" i="3" l="1"/>
  <c r="A555" i="3"/>
  <c r="B555" i="3" s="1"/>
  <c r="F554" i="3"/>
  <c r="G554" i="3"/>
  <c r="I554" i="3" l="1"/>
  <c r="W554" i="3" s="1"/>
  <c r="J554" i="3"/>
  <c r="AD554" i="3" s="1"/>
  <c r="M554" i="3"/>
  <c r="N554" i="3" s="1"/>
  <c r="AA555" i="3"/>
  <c r="Z555" i="3"/>
  <c r="AC555" i="3"/>
  <c r="P555" i="3"/>
  <c r="Q555" i="3" s="1"/>
  <c r="R555" i="3" s="1"/>
  <c r="S555" i="3" s="1"/>
  <c r="AD555" i="3"/>
  <c r="L554" i="3" l="1"/>
  <c r="T555" i="3"/>
  <c r="U554" i="3" l="1"/>
  <c r="E555" i="3" s="1"/>
  <c r="H555" i="3" s="1"/>
  <c r="AG555" i="3"/>
  <c r="AH555" i="3"/>
  <c r="Y553" i="3"/>
  <c r="K555" i="3" l="1"/>
  <c r="AE555" i="3" s="1"/>
  <c r="D555" i="3"/>
  <c r="F555" i="3" l="1"/>
  <c r="G555" i="3"/>
  <c r="V555" i="3"/>
  <c r="A556" i="3"/>
  <c r="B556" i="3" s="1"/>
  <c r="P556" i="3" l="1"/>
  <c r="Q556" i="3" s="1"/>
  <c r="R556" i="3" s="1"/>
  <c r="S556" i="3" s="1"/>
  <c r="AA556" i="3"/>
  <c r="AD556" i="3"/>
  <c r="Z556" i="3"/>
  <c r="AC556" i="3"/>
  <c r="I555" i="3"/>
  <c r="W555" i="3" s="1"/>
  <c r="J555" i="3"/>
  <c r="M555" i="3"/>
  <c r="N555" i="3" s="1"/>
  <c r="T556" i="3" l="1"/>
  <c r="L555" i="3"/>
  <c r="AH556" i="3" l="1"/>
  <c r="U555" i="3"/>
  <c r="D556" i="3" s="1"/>
  <c r="AG556" i="3"/>
  <c r="Y554" i="3"/>
  <c r="E556" i="3" l="1"/>
  <c r="H556" i="3" s="1"/>
  <c r="K556" i="3" s="1"/>
  <c r="AE556" i="3" s="1"/>
  <c r="G556" i="3"/>
  <c r="F556" i="3" l="1"/>
  <c r="I556" i="3"/>
  <c r="J556" i="3"/>
  <c r="M556" i="3"/>
  <c r="N556" i="3" s="1"/>
  <c r="V556" i="3"/>
  <c r="A557" i="3"/>
  <c r="B557" i="3" s="1"/>
  <c r="W556" i="3" l="1"/>
  <c r="L556" i="3"/>
  <c r="AD557" i="3"/>
  <c r="P557" i="3"/>
  <c r="Q557" i="3" s="1"/>
  <c r="R557" i="3" s="1"/>
  <c r="S557" i="3" s="1"/>
  <c r="AA557" i="3"/>
  <c r="AC557" i="3"/>
  <c r="Z557" i="3"/>
  <c r="U556" i="3" l="1"/>
  <c r="Y555" i="3"/>
  <c r="T557" i="3"/>
  <c r="AH557" i="3" s="1"/>
  <c r="D557" i="3" l="1"/>
  <c r="G557" i="3" s="1"/>
  <c r="AG557" i="3"/>
  <c r="E557" i="3"/>
  <c r="H557" i="3" s="1"/>
  <c r="K557" i="3" s="1"/>
  <c r="AE557" i="3" s="1"/>
  <c r="F557" i="3" l="1"/>
  <c r="I557" i="3"/>
  <c r="J557" i="3"/>
  <c r="M557" i="3"/>
  <c r="N557" i="3" s="1"/>
  <c r="V557" i="3"/>
  <c r="A558" i="3"/>
  <c r="B558" i="3" s="1"/>
  <c r="W557" i="3" l="1"/>
  <c r="L557" i="3"/>
  <c r="AA558" i="3"/>
  <c r="AD558" i="3"/>
  <c r="P558" i="3"/>
  <c r="Q558" i="3" s="1"/>
  <c r="R558" i="3" s="1"/>
  <c r="S558" i="3" s="1"/>
  <c r="Z558" i="3"/>
  <c r="AC558" i="3"/>
  <c r="T558" i="3" l="1"/>
  <c r="AG558" i="3" s="1"/>
  <c r="U557" i="3"/>
  <c r="Y556" i="3"/>
  <c r="E558" i="3" l="1"/>
  <c r="H558" i="3" s="1"/>
  <c r="AH558" i="3"/>
  <c r="D558" i="3"/>
  <c r="F558" i="3" l="1"/>
  <c r="G558" i="3"/>
  <c r="K558" i="3"/>
  <c r="AE558" i="3" s="1"/>
  <c r="I558" i="3" l="1"/>
  <c r="J558" i="3"/>
  <c r="M558" i="3"/>
  <c r="N558" i="3" s="1"/>
  <c r="V558" i="3"/>
  <c r="A559" i="3"/>
  <c r="B559" i="3" s="1"/>
  <c r="W558" i="3" l="1"/>
  <c r="L558" i="3"/>
  <c r="AC559" i="3"/>
  <c r="P559" i="3"/>
  <c r="Q559" i="3" s="1"/>
  <c r="R559" i="3" s="1"/>
  <c r="S559" i="3" s="1"/>
  <c r="AA559" i="3"/>
  <c r="Z559" i="3"/>
  <c r="AD559" i="3"/>
  <c r="T559" i="3" l="1"/>
  <c r="U558" i="3"/>
  <c r="Y557" i="3"/>
  <c r="E559" i="3" l="1"/>
  <c r="H559" i="3" s="1"/>
  <c r="K559" i="3" s="1"/>
  <c r="AE559" i="3" s="1"/>
  <c r="AH559" i="3"/>
  <c r="AG559" i="3"/>
  <c r="D559" i="3"/>
  <c r="V559" i="3" l="1"/>
  <c r="A560" i="3"/>
  <c r="B560" i="3" s="1"/>
  <c r="F559" i="3"/>
  <c r="G559" i="3"/>
  <c r="I559" i="3" l="1"/>
  <c r="W559" i="3" s="1"/>
  <c r="J559" i="3"/>
  <c r="M559" i="3"/>
  <c r="N559" i="3" s="1"/>
  <c r="AD560" i="3"/>
  <c r="Z560" i="3"/>
  <c r="AC560" i="3"/>
  <c r="AA560" i="3"/>
  <c r="P560" i="3"/>
  <c r="Q560" i="3" s="1"/>
  <c r="R560" i="3" s="1"/>
  <c r="S560" i="3" s="1"/>
  <c r="T560" i="3" l="1"/>
  <c r="L559" i="3"/>
  <c r="AG560" i="3" l="1"/>
  <c r="U559" i="3"/>
  <c r="D560" i="3" s="1"/>
  <c r="AH560" i="3"/>
  <c r="Y558" i="3"/>
  <c r="E560" i="3" l="1"/>
  <c r="H560" i="3" s="1"/>
  <c r="K560" i="3" s="1"/>
  <c r="AE560" i="3" s="1"/>
  <c r="G560" i="3"/>
  <c r="F560" i="3" l="1"/>
  <c r="V560" i="3"/>
  <c r="A561" i="3"/>
  <c r="B561" i="3" s="1"/>
  <c r="I560" i="3"/>
  <c r="J560" i="3"/>
  <c r="M560" i="3"/>
  <c r="N560" i="3" s="1"/>
  <c r="W560" i="3" l="1"/>
  <c r="L560" i="3"/>
  <c r="AA561" i="3"/>
  <c r="P561" i="3"/>
  <c r="Q561" i="3" s="1"/>
  <c r="R561" i="3" s="1"/>
  <c r="S561" i="3" s="1"/>
  <c r="Z561" i="3"/>
  <c r="AD561" i="3"/>
  <c r="AC561" i="3"/>
  <c r="U560" i="3" l="1"/>
  <c r="Y559" i="3"/>
  <c r="T561" i="3"/>
  <c r="E561" i="3" l="1"/>
  <c r="H561" i="3" s="1"/>
  <c r="K561" i="3" s="1"/>
  <c r="AE561" i="3" s="1"/>
  <c r="D561" i="3"/>
  <c r="AH561" i="3"/>
  <c r="AG561" i="3"/>
  <c r="F561" i="3" l="1"/>
  <c r="G561" i="3"/>
  <c r="M561" i="3" s="1"/>
  <c r="N561" i="3" s="1"/>
  <c r="V561" i="3"/>
  <c r="A562" i="3"/>
  <c r="B562" i="3" s="1"/>
  <c r="I561" i="3" l="1"/>
  <c r="W561" i="3" s="1"/>
  <c r="J561" i="3"/>
  <c r="L561" i="3" s="1"/>
  <c r="Z562" i="3"/>
  <c r="AA562" i="3"/>
  <c r="AD562" i="3"/>
  <c r="P562" i="3"/>
  <c r="Q562" i="3" s="1"/>
  <c r="R562" i="3" s="1"/>
  <c r="S562" i="3" s="1"/>
  <c r="AC562" i="3"/>
  <c r="U561" i="3" l="1"/>
  <c r="Y560" i="3"/>
  <c r="T562" i="3"/>
  <c r="AH562" i="3" s="1"/>
  <c r="AG562" i="3" l="1"/>
  <c r="E562" i="3"/>
  <c r="H562" i="3" s="1"/>
  <c r="K562" i="3" s="1"/>
  <c r="AE562" i="3" s="1"/>
  <c r="D562" i="3"/>
  <c r="F562" i="3" l="1"/>
  <c r="G562" i="3"/>
  <c r="J562" i="3" s="1"/>
  <c r="V562" i="3"/>
  <c r="A563" i="3"/>
  <c r="B563" i="3" s="1"/>
  <c r="M562" i="3" l="1"/>
  <c r="N562" i="3" s="1"/>
  <c r="I562" i="3"/>
  <c r="W562" i="3" s="1"/>
  <c r="L562" i="3"/>
  <c r="Z563" i="3"/>
  <c r="P563" i="3"/>
  <c r="Q563" i="3" s="1"/>
  <c r="R563" i="3" s="1"/>
  <c r="S563" i="3" s="1"/>
  <c r="AC563" i="3"/>
  <c r="AA563" i="3"/>
  <c r="AD563" i="3"/>
  <c r="U562" i="3" l="1"/>
  <c r="Y561" i="3"/>
  <c r="T563" i="3"/>
  <c r="AH563" i="3" s="1"/>
  <c r="AG563" i="3" l="1"/>
  <c r="D563" i="3"/>
  <c r="E563" i="3"/>
  <c r="H563" i="3" s="1"/>
  <c r="K563" i="3" s="1"/>
  <c r="AE563" i="3" s="1"/>
  <c r="F563" i="3" l="1"/>
  <c r="G563" i="3"/>
  <c r="M563" i="3" s="1"/>
  <c r="N563" i="3" s="1"/>
  <c r="V563" i="3"/>
  <c r="A564" i="3"/>
  <c r="B564" i="3" s="1"/>
  <c r="I563" i="3" l="1"/>
  <c r="W563" i="3" s="1"/>
  <c r="J563" i="3"/>
  <c r="L563" i="3" s="1"/>
  <c r="Z564" i="3"/>
  <c r="P564" i="3"/>
  <c r="Q564" i="3" s="1"/>
  <c r="R564" i="3" s="1"/>
  <c r="S564" i="3" s="1"/>
  <c r="AC564" i="3"/>
  <c r="AA564" i="3"/>
  <c r="U563" i="3" l="1"/>
  <c r="Y562" i="3"/>
  <c r="T564" i="3"/>
  <c r="AH564" i="3" s="1"/>
  <c r="D564" i="3" l="1"/>
  <c r="E564" i="3"/>
  <c r="H564" i="3" s="1"/>
  <c r="AG564" i="3"/>
  <c r="K564" i="3" l="1"/>
  <c r="AE564" i="3" s="1"/>
  <c r="F564" i="3"/>
  <c r="G564" i="3"/>
  <c r="V564" i="3" l="1"/>
  <c r="A565" i="3"/>
  <c r="B565" i="3" s="1"/>
  <c r="I564" i="3"/>
  <c r="J564" i="3"/>
  <c r="AD564" i="3" s="1"/>
  <c r="M564" i="3"/>
  <c r="N564" i="3" s="1"/>
  <c r="W564" i="3" l="1"/>
  <c r="L564" i="3"/>
  <c r="Z565" i="3"/>
  <c r="AC565" i="3"/>
  <c r="P565" i="3"/>
  <c r="Q565" i="3" s="1"/>
  <c r="R565" i="3" s="1"/>
  <c r="S565" i="3" s="1"/>
  <c r="AA565" i="3"/>
  <c r="AD565" i="3"/>
  <c r="U564" i="3" l="1"/>
  <c r="Y563" i="3"/>
  <c r="T565" i="3"/>
  <c r="E565" i="3" l="1"/>
  <c r="H565" i="3" s="1"/>
  <c r="K565" i="3" s="1"/>
  <c r="AE565" i="3" s="1"/>
  <c r="D565" i="3"/>
  <c r="AG565" i="3"/>
  <c r="AH565" i="3"/>
  <c r="V565" i="3" l="1"/>
  <c r="A566" i="3"/>
  <c r="B566" i="3" s="1"/>
  <c r="F565" i="3"/>
  <c r="G565" i="3"/>
  <c r="I565" i="3" l="1"/>
  <c r="W565" i="3" s="1"/>
  <c r="J565" i="3"/>
  <c r="M565" i="3"/>
  <c r="N565" i="3" s="1"/>
  <c r="AD566" i="3"/>
  <c r="Z566" i="3"/>
  <c r="AA566" i="3"/>
  <c r="P566" i="3"/>
  <c r="Q566" i="3" s="1"/>
  <c r="R566" i="3" s="1"/>
  <c r="S566" i="3" s="1"/>
  <c r="AC566" i="3"/>
  <c r="L565" i="3" l="1"/>
  <c r="T566" i="3"/>
  <c r="AG566" i="3" l="1"/>
  <c r="AH566" i="3"/>
  <c r="U565" i="3"/>
  <c r="D566" i="3" s="1"/>
  <c r="Y564" i="3"/>
  <c r="G566" i="3" l="1"/>
  <c r="E566" i="3"/>
  <c r="H566" i="3" s="1"/>
  <c r="F566" i="3" l="1"/>
  <c r="I566" i="3"/>
  <c r="J566" i="3"/>
  <c r="M566" i="3"/>
  <c r="N566" i="3" s="1"/>
  <c r="K566" i="3"/>
  <c r="AE566" i="3" s="1"/>
  <c r="V566" i="3" l="1"/>
  <c r="W566" i="3" s="1"/>
  <c r="A567" i="3"/>
  <c r="B567" i="3" s="1"/>
  <c r="L566" i="3"/>
  <c r="U566" i="3" l="1"/>
  <c r="Y565" i="3"/>
  <c r="P567" i="3"/>
  <c r="Q567" i="3" s="1"/>
  <c r="R567" i="3" s="1"/>
  <c r="S567" i="3" s="1"/>
  <c r="AA567" i="3"/>
  <c r="AD567" i="3"/>
  <c r="Z567" i="3"/>
  <c r="AC567" i="3"/>
  <c r="T567" i="3" l="1"/>
  <c r="AG567" i="3" s="1"/>
  <c r="AH567" i="3" l="1"/>
  <c r="E567" i="3"/>
  <c r="H567" i="3" s="1"/>
  <c r="K567" i="3" s="1"/>
  <c r="AE567" i="3" s="1"/>
  <c r="D567" i="3"/>
  <c r="G567" i="3" s="1"/>
  <c r="F567" i="3" l="1"/>
  <c r="I567" i="3"/>
  <c r="J567" i="3"/>
  <c r="M567" i="3"/>
  <c r="N567" i="3" s="1"/>
  <c r="V567" i="3"/>
  <c r="A568" i="3"/>
  <c r="B568" i="3" s="1"/>
  <c r="W567" i="3" l="1"/>
  <c r="L567" i="3"/>
  <c r="AC568" i="3"/>
  <c r="AD568" i="3"/>
  <c r="P568" i="3"/>
  <c r="Q568" i="3" s="1"/>
  <c r="R568" i="3" s="1"/>
  <c r="S568" i="3" s="1"/>
  <c r="AA568" i="3"/>
  <c r="Z568" i="3"/>
  <c r="U567" i="3" l="1"/>
  <c r="Y566" i="3"/>
  <c r="T568" i="3"/>
  <c r="AG568" i="3" s="1"/>
  <c r="D568" i="3" l="1"/>
  <c r="G568" i="3" s="1"/>
  <c r="E568" i="3"/>
  <c r="H568" i="3" s="1"/>
  <c r="K568" i="3" s="1"/>
  <c r="AE568" i="3" s="1"/>
  <c r="AH568" i="3"/>
  <c r="F568" i="3" l="1"/>
  <c r="V568" i="3"/>
  <c r="A569" i="3"/>
  <c r="B569" i="3" s="1"/>
  <c r="I568" i="3"/>
  <c r="J568" i="3"/>
  <c r="M568" i="3"/>
  <c r="N568" i="3" s="1"/>
  <c r="L568" i="3" l="1"/>
  <c r="W568" i="3"/>
  <c r="AA569" i="3"/>
  <c r="AD569" i="3"/>
  <c r="P569" i="3"/>
  <c r="Q569" i="3" s="1"/>
  <c r="R569" i="3" s="1"/>
  <c r="S569" i="3" s="1"/>
  <c r="AC569" i="3"/>
  <c r="Z569" i="3"/>
  <c r="T569" i="3" l="1"/>
  <c r="AH569" i="3" s="1"/>
  <c r="U568" i="3"/>
  <c r="Y567" i="3"/>
  <c r="D569" i="3" l="1"/>
  <c r="G569" i="3" s="1"/>
  <c r="AG569" i="3"/>
  <c r="E569" i="3"/>
  <c r="H569" i="3" s="1"/>
  <c r="F569" i="3" l="1"/>
  <c r="I569" i="3"/>
  <c r="J569" i="3"/>
  <c r="M569" i="3"/>
  <c r="N569" i="3" s="1"/>
  <c r="K569" i="3"/>
  <c r="AE569" i="3" s="1"/>
  <c r="L569" i="3" l="1"/>
  <c r="V569" i="3"/>
  <c r="W569" i="3" s="1"/>
  <c r="A570" i="3"/>
  <c r="B570" i="3" s="1"/>
  <c r="AC570" i="3" l="1"/>
  <c r="P570" i="3"/>
  <c r="Q570" i="3" s="1"/>
  <c r="R570" i="3" s="1"/>
  <c r="S570" i="3" s="1"/>
  <c r="AD570" i="3"/>
  <c r="Z570" i="3"/>
  <c r="AA570" i="3"/>
  <c r="U569" i="3"/>
  <c r="Y568" i="3"/>
  <c r="T570" i="3" l="1"/>
  <c r="D570" i="3" l="1"/>
  <c r="E570" i="3"/>
  <c r="H570" i="3" s="1"/>
  <c r="AG570" i="3"/>
  <c r="AH570" i="3"/>
  <c r="F570" i="3" l="1"/>
  <c r="G570" i="3"/>
  <c r="K570" i="3"/>
  <c r="AE570" i="3" s="1"/>
  <c r="V570" i="3" l="1"/>
  <c r="A571" i="3"/>
  <c r="B571" i="3" s="1"/>
  <c r="I570" i="3"/>
  <c r="J570" i="3"/>
  <c r="M570" i="3"/>
  <c r="N570" i="3" s="1"/>
  <c r="W570" i="3" l="1"/>
  <c r="L570" i="3"/>
  <c r="P571" i="3"/>
  <c r="Q571" i="3" s="1"/>
  <c r="R571" i="3" s="1"/>
  <c r="S571" i="3" s="1"/>
  <c r="AD571" i="3"/>
  <c r="AA571" i="3"/>
  <c r="Z571" i="3"/>
  <c r="AC571" i="3"/>
  <c r="U570" i="3" l="1"/>
  <c r="Y569" i="3"/>
  <c r="T571" i="3"/>
  <c r="D571" i="3" l="1"/>
  <c r="G571" i="3" s="1"/>
  <c r="AG571" i="3"/>
  <c r="AH571" i="3"/>
  <c r="E571" i="3"/>
  <c r="H571" i="3" s="1"/>
  <c r="K571" i="3" s="1"/>
  <c r="AE571" i="3" s="1"/>
  <c r="F571" i="3" l="1"/>
  <c r="V571" i="3"/>
  <c r="A572" i="3"/>
  <c r="B572" i="3" s="1"/>
  <c r="I571" i="3"/>
  <c r="J571" i="3"/>
  <c r="M571" i="3"/>
  <c r="N571" i="3" s="1"/>
  <c r="W571" i="3" l="1"/>
  <c r="L571" i="3"/>
  <c r="AC572" i="3"/>
  <c r="AD572" i="3"/>
  <c r="P572" i="3"/>
  <c r="Q572" i="3" s="1"/>
  <c r="R572" i="3" s="1"/>
  <c r="S572" i="3" s="1"/>
  <c r="AA572" i="3"/>
  <c r="Z572" i="3"/>
  <c r="T572" i="3" l="1"/>
  <c r="AH572" i="3" s="1"/>
  <c r="U571" i="3"/>
  <c r="Y570" i="3"/>
  <c r="E572" i="3" l="1"/>
  <c r="H572" i="3" s="1"/>
  <c r="AG572" i="3"/>
  <c r="D572" i="3"/>
  <c r="F572" i="3" l="1"/>
  <c r="G572" i="3"/>
  <c r="K572" i="3"/>
  <c r="AE572" i="3" s="1"/>
  <c r="V572" i="3" l="1"/>
  <c r="A573" i="3"/>
  <c r="B573" i="3" s="1"/>
  <c r="I572" i="3"/>
  <c r="J572" i="3"/>
  <c r="M572" i="3"/>
  <c r="N572" i="3" s="1"/>
  <c r="W572" i="3" l="1"/>
  <c r="L572" i="3"/>
  <c r="P573" i="3"/>
  <c r="Q573" i="3" s="1"/>
  <c r="R573" i="3" s="1"/>
  <c r="S573" i="3" s="1"/>
  <c r="Z573" i="3"/>
  <c r="AC573" i="3"/>
  <c r="AA573" i="3"/>
  <c r="AD573" i="3"/>
  <c r="U572" i="3" l="1"/>
  <c r="Y571" i="3"/>
  <c r="T573" i="3"/>
  <c r="E573" i="3" l="1"/>
  <c r="H573" i="3" s="1"/>
  <c r="K573" i="3" s="1"/>
  <c r="AE573" i="3" s="1"/>
  <c r="D573" i="3"/>
  <c r="AH573" i="3"/>
  <c r="AG573" i="3"/>
  <c r="F573" i="3" l="1"/>
  <c r="G573" i="3"/>
  <c r="I573" i="3" s="1"/>
  <c r="V573" i="3"/>
  <c r="A574" i="3"/>
  <c r="B574" i="3" s="1"/>
  <c r="J573" i="3" l="1"/>
  <c r="L573" i="3" s="1"/>
  <c r="M573" i="3"/>
  <c r="N573" i="3" s="1"/>
  <c r="W573" i="3"/>
  <c r="AA574" i="3"/>
  <c r="Z574" i="3"/>
  <c r="P574" i="3"/>
  <c r="Q574" i="3" s="1"/>
  <c r="R574" i="3" s="1"/>
  <c r="S574" i="3" s="1"/>
  <c r="AC574" i="3"/>
  <c r="U573" i="3" l="1"/>
  <c r="Y572" i="3"/>
  <c r="T574" i="3"/>
  <c r="AH574" i="3" s="1"/>
  <c r="D574" i="3" l="1"/>
  <c r="G574" i="3" s="1"/>
  <c r="AG574" i="3"/>
  <c r="E574" i="3"/>
  <c r="H574" i="3" s="1"/>
  <c r="K574" i="3" l="1"/>
  <c r="AE574" i="3" s="1"/>
  <c r="I574" i="3"/>
  <c r="J574" i="3"/>
  <c r="AD574" i="3" s="1"/>
  <c r="M574" i="3"/>
  <c r="N574" i="3" s="1"/>
  <c r="F574" i="3"/>
  <c r="V574" i="3" l="1"/>
  <c r="W574" i="3" s="1"/>
  <c r="A575" i="3"/>
  <c r="B575" i="3" s="1"/>
  <c r="L574" i="3"/>
  <c r="U574" i="3" l="1"/>
  <c r="Y573" i="3"/>
  <c r="P575" i="3"/>
  <c r="Q575" i="3" s="1"/>
  <c r="R575" i="3" s="1"/>
  <c r="S575" i="3" s="1"/>
  <c r="Z575" i="3"/>
  <c r="AC575" i="3"/>
  <c r="AA575" i="3"/>
  <c r="AD575" i="3"/>
  <c r="T575" i="3" l="1"/>
  <c r="AH575" i="3" s="1"/>
  <c r="AG575" i="3" l="1"/>
  <c r="E575" i="3"/>
  <c r="H575" i="3" s="1"/>
  <c r="D575" i="3"/>
  <c r="K575" i="3" l="1"/>
  <c r="AE575" i="3" s="1"/>
  <c r="F575" i="3"/>
  <c r="G575" i="3"/>
  <c r="V575" i="3" l="1"/>
  <c r="A576" i="3"/>
  <c r="B576" i="3" s="1"/>
  <c r="I575" i="3"/>
  <c r="J575" i="3"/>
  <c r="M575" i="3"/>
  <c r="N575" i="3" s="1"/>
  <c r="W575" i="3" l="1"/>
  <c r="L575" i="3"/>
  <c r="AA576" i="3"/>
  <c r="P576" i="3"/>
  <c r="Q576" i="3" s="1"/>
  <c r="R576" i="3" s="1"/>
  <c r="S576" i="3" s="1"/>
  <c r="AD576" i="3"/>
  <c r="Z576" i="3"/>
  <c r="AC576" i="3"/>
  <c r="U575" i="3" l="1"/>
  <c r="Y574" i="3"/>
  <c r="T576" i="3"/>
  <c r="E576" i="3" l="1"/>
  <c r="H576" i="3" s="1"/>
  <c r="K576" i="3" s="1"/>
  <c r="AE576" i="3" s="1"/>
  <c r="AH576" i="3"/>
  <c r="D576" i="3"/>
  <c r="G576" i="3" s="1"/>
  <c r="AG576" i="3"/>
  <c r="F576" i="3" l="1"/>
  <c r="V576" i="3"/>
  <c r="A577" i="3"/>
  <c r="B577" i="3" s="1"/>
  <c r="I576" i="3"/>
  <c r="J576" i="3"/>
  <c r="M576" i="3"/>
  <c r="N576" i="3" s="1"/>
  <c r="W576" i="3" l="1"/>
  <c r="L576" i="3"/>
  <c r="P577" i="3"/>
  <c r="Q577" i="3" s="1"/>
  <c r="R577" i="3" s="1"/>
  <c r="S577" i="3" s="1"/>
  <c r="AD577" i="3"/>
  <c r="AC577" i="3"/>
  <c r="AA577" i="3"/>
  <c r="Z577" i="3"/>
  <c r="U576" i="3" l="1"/>
  <c r="Y575" i="3"/>
  <c r="T577" i="3"/>
  <c r="AH577" i="3" s="1"/>
  <c r="E577" i="3" l="1"/>
  <c r="H577" i="3" s="1"/>
  <c r="K577" i="3" s="1"/>
  <c r="AE577" i="3" s="1"/>
  <c r="AG577" i="3"/>
  <c r="D577" i="3"/>
  <c r="F577" i="3" l="1"/>
  <c r="G577" i="3"/>
  <c r="J577" i="3" s="1"/>
  <c r="V577" i="3"/>
  <c r="A578" i="3"/>
  <c r="B578" i="3" s="1"/>
  <c r="M577" i="3" l="1"/>
  <c r="N577" i="3" s="1"/>
  <c r="I577" i="3"/>
  <c r="W577" i="3" s="1"/>
  <c r="L577" i="3"/>
  <c r="AC578" i="3"/>
  <c r="AD578" i="3"/>
  <c r="P578" i="3"/>
  <c r="Q578" i="3" s="1"/>
  <c r="R578" i="3" s="1"/>
  <c r="S578" i="3" s="1"/>
  <c r="Z578" i="3"/>
  <c r="AA578" i="3"/>
  <c r="U577" i="3" l="1"/>
  <c r="Y576" i="3"/>
  <c r="T578" i="3"/>
  <c r="AG578" i="3" s="1"/>
  <c r="D578" i="3" l="1"/>
  <c r="G578" i="3" s="1"/>
  <c r="AH578" i="3"/>
  <c r="E578" i="3"/>
  <c r="H578" i="3" s="1"/>
  <c r="K578" i="3" s="1"/>
  <c r="AE578" i="3" s="1"/>
  <c r="F578" i="3" l="1"/>
  <c r="I578" i="3"/>
  <c r="J578" i="3"/>
  <c r="M578" i="3"/>
  <c r="N578" i="3" s="1"/>
  <c r="V578" i="3"/>
  <c r="A579" i="3"/>
  <c r="B579" i="3" s="1"/>
  <c r="W578" i="3" l="1"/>
  <c r="L578" i="3"/>
  <c r="AC579" i="3"/>
  <c r="Z579" i="3"/>
  <c r="P579" i="3"/>
  <c r="Q579" i="3" s="1"/>
  <c r="R579" i="3" s="1"/>
  <c r="S579" i="3" s="1"/>
  <c r="AD579" i="3"/>
  <c r="AA579" i="3"/>
  <c r="U578" i="3" l="1"/>
  <c r="Y577" i="3"/>
  <c r="T579" i="3"/>
  <c r="AG579" i="3" s="1"/>
  <c r="E579" i="3" l="1"/>
  <c r="H579" i="3" s="1"/>
  <c r="K579" i="3" s="1"/>
  <c r="AE579" i="3" s="1"/>
  <c r="AH579" i="3"/>
  <c r="D579" i="3"/>
  <c r="F579" i="3" l="1"/>
  <c r="G579" i="3"/>
  <c r="M579" i="3" s="1"/>
  <c r="N579" i="3" s="1"/>
  <c r="V579" i="3"/>
  <c r="A580" i="3"/>
  <c r="B580" i="3" s="1"/>
  <c r="I579" i="3" l="1"/>
  <c r="W579" i="3" s="1"/>
  <c r="J579" i="3"/>
  <c r="L579" i="3" s="1"/>
  <c r="AD580" i="3"/>
  <c r="P580" i="3"/>
  <c r="Q580" i="3" s="1"/>
  <c r="R580" i="3" s="1"/>
  <c r="S580" i="3" s="1"/>
  <c r="AA580" i="3"/>
  <c r="AC580" i="3"/>
  <c r="Z580" i="3"/>
  <c r="U579" i="3" l="1"/>
  <c r="Y578" i="3"/>
  <c r="T580" i="3"/>
  <c r="AH580" i="3" s="1"/>
  <c r="E580" i="3" l="1"/>
  <c r="H580" i="3" s="1"/>
  <c r="D580" i="3"/>
  <c r="AG580" i="3"/>
  <c r="K580" i="3" l="1"/>
  <c r="AE580" i="3" s="1"/>
  <c r="F580" i="3"/>
  <c r="G580" i="3"/>
  <c r="I580" i="3" l="1"/>
  <c r="J580" i="3"/>
  <c r="M580" i="3"/>
  <c r="N580" i="3" s="1"/>
  <c r="V580" i="3"/>
  <c r="A581" i="3"/>
  <c r="B581" i="3" s="1"/>
  <c r="W580" i="3" l="1"/>
  <c r="P581" i="3"/>
  <c r="Q581" i="3" s="1"/>
  <c r="R581" i="3" s="1"/>
  <c r="S581" i="3" s="1"/>
  <c r="Z581" i="3"/>
  <c r="AA581" i="3"/>
  <c r="AC581" i="3"/>
  <c r="AD581" i="3"/>
  <c r="L580" i="3"/>
  <c r="T581" i="3" l="1"/>
  <c r="AH581" i="3" s="1"/>
  <c r="U580" i="3"/>
  <c r="Y579" i="3"/>
  <c r="D581" i="3" l="1"/>
  <c r="G581" i="3" s="1"/>
  <c r="AG581" i="3"/>
  <c r="E581" i="3"/>
  <c r="H581" i="3" s="1"/>
  <c r="I581" i="3" l="1"/>
  <c r="J581" i="3"/>
  <c r="M581" i="3"/>
  <c r="N581" i="3" s="1"/>
  <c r="F581" i="3"/>
  <c r="K581" i="3"/>
  <c r="AE581" i="3" s="1"/>
  <c r="L581" i="3" l="1"/>
  <c r="V581" i="3"/>
  <c r="W581" i="3" s="1"/>
  <c r="A582" i="3"/>
  <c r="B582" i="3" s="1"/>
  <c r="P582" i="3" l="1"/>
  <c r="Q582" i="3" s="1"/>
  <c r="R582" i="3" s="1"/>
  <c r="S582" i="3" s="1"/>
  <c r="Z582" i="3"/>
  <c r="AD582" i="3"/>
  <c r="AC582" i="3"/>
  <c r="AA582" i="3"/>
  <c r="U581" i="3"/>
  <c r="Y580" i="3"/>
  <c r="T582" i="3" l="1"/>
  <c r="AH582" i="3" s="1"/>
  <c r="E582" i="3" l="1"/>
  <c r="H582" i="3" s="1"/>
  <c r="K582" i="3" s="1"/>
  <c r="AE582" i="3" s="1"/>
  <c r="AG582" i="3"/>
  <c r="D582" i="3"/>
  <c r="V582" i="3" l="1"/>
  <c r="A583" i="3"/>
  <c r="B583" i="3" s="1"/>
  <c r="F582" i="3"/>
  <c r="G582" i="3"/>
  <c r="I582" i="3" l="1"/>
  <c r="W582" i="3" s="1"/>
  <c r="J582" i="3"/>
  <c r="M582" i="3"/>
  <c r="N582" i="3" s="1"/>
  <c r="AD583" i="3"/>
  <c r="AA583" i="3"/>
  <c r="Z583" i="3"/>
  <c r="P583" i="3"/>
  <c r="Q583" i="3" s="1"/>
  <c r="R583" i="3" s="1"/>
  <c r="S583" i="3" s="1"/>
  <c r="AC583" i="3"/>
  <c r="T583" i="3" l="1"/>
  <c r="L582" i="3"/>
  <c r="U582" i="3" l="1"/>
  <c r="E583" i="3" s="1"/>
  <c r="H583" i="3" s="1"/>
  <c r="AG583" i="3"/>
  <c r="AH583" i="3"/>
  <c r="Y581" i="3"/>
  <c r="D583" i="3" l="1"/>
  <c r="G583" i="3" s="1"/>
  <c r="K583" i="3"/>
  <c r="AE583" i="3" s="1"/>
  <c r="F583" i="3" l="1"/>
  <c r="V583" i="3"/>
  <c r="A584" i="3"/>
  <c r="B584" i="3" s="1"/>
  <c r="I583" i="3"/>
  <c r="J583" i="3"/>
  <c r="M583" i="3"/>
  <c r="N583" i="3" s="1"/>
  <c r="W583" i="3" l="1"/>
  <c r="L583" i="3"/>
  <c r="AC584" i="3"/>
  <c r="P584" i="3"/>
  <c r="Q584" i="3" s="1"/>
  <c r="R584" i="3" s="1"/>
  <c r="S584" i="3" s="1"/>
  <c r="AA584" i="3"/>
  <c r="Z584" i="3"/>
  <c r="U583" i="3" l="1"/>
  <c r="Y582" i="3"/>
  <c r="T584" i="3"/>
  <c r="AG584" i="3" s="1"/>
  <c r="E584" i="3" l="1"/>
  <c r="H584" i="3" s="1"/>
  <c r="K584" i="3" s="1"/>
  <c r="AE584" i="3" s="1"/>
  <c r="AH584" i="3"/>
  <c r="D584" i="3"/>
  <c r="V584" i="3" l="1"/>
  <c r="A585" i="3"/>
  <c r="B585" i="3" s="1"/>
  <c r="F584" i="3"/>
  <c r="G584" i="3"/>
  <c r="Z585" i="3" l="1"/>
  <c r="AA585" i="3"/>
  <c r="P585" i="3"/>
  <c r="Q585" i="3" s="1"/>
  <c r="R585" i="3" s="1"/>
  <c r="S585" i="3" s="1"/>
  <c r="AD585" i="3"/>
  <c r="AC585" i="3"/>
  <c r="I584" i="3"/>
  <c r="W584" i="3" s="1"/>
  <c r="J584" i="3"/>
  <c r="AD584" i="3" s="1"/>
  <c r="M584" i="3"/>
  <c r="N584" i="3" s="1"/>
  <c r="T585" i="3" l="1"/>
  <c r="L584" i="3"/>
  <c r="AG585" i="3" l="1"/>
  <c r="U584" i="3"/>
  <c r="D585" i="3" s="1"/>
  <c r="AH585" i="3"/>
  <c r="Y583" i="3"/>
  <c r="G585" i="3" l="1"/>
  <c r="E585" i="3"/>
  <c r="H585" i="3" s="1"/>
  <c r="F585" i="3" l="1"/>
  <c r="I585" i="3"/>
  <c r="J585" i="3"/>
  <c r="M585" i="3"/>
  <c r="N585" i="3" s="1"/>
  <c r="K585" i="3"/>
  <c r="AE585" i="3" s="1"/>
  <c r="V585" i="3" l="1"/>
  <c r="W585" i="3" s="1"/>
  <c r="A586" i="3"/>
  <c r="B586" i="3" s="1"/>
  <c r="L585" i="3"/>
  <c r="U585" i="3" l="1"/>
  <c r="Y584" i="3"/>
  <c r="P586" i="3"/>
  <c r="Q586" i="3" s="1"/>
  <c r="R586" i="3" s="1"/>
  <c r="S586" i="3" s="1"/>
  <c r="AA586" i="3"/>
  <c r="Z586" i="3"/>
  <c r="AD586" i="3"/>
  <c r="AC586" i="3"/>
  <c r="T586" i="3" l="1"/>
  <c r="E586" i="3" s="1"/>
  <c r="H586" i="3" s="1"/>
  <c r="AH586" i="3" l="1"/>
  <c r="K586" i="3"/>
  <c r="AE586" i="3" s="1"/>
  <c r="AG586" i="3"/>
  <c r="D586" i="3"/>
  <c r="F586" i="3" l="1"/>
  <c r="G586" i="3"/>
  <c r="V586" i="3"/>
  <c r="A587" i="3"/>
  <c r="B587" i="3" s="1"/>
  <c r="AA587" i="3" l="1"/>
  <c r="AD587" i="3"/>
  <c r="Z587" i="3"/>
  <c r="AC587" i="3"/>
  <c r="P587" i="3"/>
  <c r="Q587" i="3" s="1"/>
  <c r="R587" i="3" s="1"/>
  <c r="S587" i="3" s="1"/>
  <c r="I586" i="3"/>
  <c r="W586" i="3" s="1"/>
  <c r="J586" i="3"/>
  <c r="M586" i="3"/>
  <c r="N586" i="3" s="1"/>
  <c r="T587" i="3" l="1"/>
  <c r="L586" i="3"/>
  <c r="AH587" i="3" l="1"/>
  <c r="U586" i="3"/>
  <c r="D587" i="3" s="1"/>
  <c r="AG587" i="3"/>
  <c r="Y585" i="3"/>
  <c r="G587" i="3" l="1"/>
  <c r="E587" i="3"/>
  <c r="H587" i="3" s="1"/>
  <c r="F587" i="3" l="1"/>
  <c r="K587" i="3"/>
  <c r="AE587" i="3" s="1"/>
  <c r="I587" i="3"/>
  <c r="J587" i="3"/>
  <c r="M587" i="3"/>
  <c r="N587" i="3" s="1"/>
  <c r="L587" i="3" l="1"/>
  <c r="V587" i="3"/>
  <c r="W587" i="3" s="1"/>
  <c r="A588" i="3"/>
  <c r="B588" i="3" s="1"/>
  <c r="U587" i="3" l="1"/>
  <c r="Y586" i="3"/>
  <c r="P588" i="3"/>
  <c r="Q588" i="3" s="1"/>
  <c r="R588" i="3" s="1"/>
  <c r="S588" i="3" s="1"/>
  <c r="AD588" i="3"/>
  <c r="Z588" i="3"/>
  <c r="AC588" i="3"/>
  <c r="AA588" i="3"/>
  <c r="T588" i="3" l="1"/>
  <c r="AH588" i="3" s="1"/>
  <c r="E588" i="3" l="1"/>
  <c r="H588" i="3" s="1"/>
  <c r="K588" i="3" s="1"/>
  <c r="AE588" i="3" s="1"/>
  <c r="AG588" i="3"/>
  <c r="D588" i="3"/>
  <c r="G588" i="3" s="1"/>
  <c r="F588" i="3" l="1"/>
  <c r="I588" i="3"/>
  <c r="J588" i="3"/>
  <c r="M588" i="3"/>
  <c r="N588" i="3" s="1"/>
  <c r="V588" i="3"/>
  <c r="A589" i="3"/>
  <c r="B589" i="3" s="1"/>
  <c r="W588" i="3" l="1"/>
  <c r="L588" i="3"/>
  <c r="AA589" i="3"/>
  <c r="Z589" i="3"/>
  <c r="AC589" i="3"/>
  <c r="P589" i="3"/>
  <c r="Q589" i="3" s="1"/>
  <c r="R589" i="3" s="1"/>
  <c r="S589" i="3" s="1"/>
  <c r="AD589" i="3"/>
  <c r="T589" i="3" l="1"/>
  <c r="AG589" i="3" s="1"/>
  <c r="U588" i="3"/>
  <c r="Y587" i="3"/>
  <c r="AH589" i="3" l="1"/>
  <c r="D589" i="3"/>
  <c r="E589" i="3"/>
  <c r="H589" i="3" s="1"/>
  <c r="F589" i="3" l="1"/>
  <c r="G589" i="3"/>
  <c r="K589" i="3"/>
  <c r="AE589" i="3" s="1"/>
  <c r="I589" i="3" l="1"/>
  <c r="J589" i="3"/>
  <c r="M589" i="3"/>
  <c r="N589" i="3" s="1"/>
  <c r="V589" i="3"/>
  <c r="A590" i="3"/>
  <c r="B590" i="3" s="1"/>
  <c r="W589" i="3" l="1"/>
  <c r="L589" i="3"/>
  <c r="P590" i="3"/>
  <c r="Q590" i="3" s="1"/>
  <c r="R590" i="3" s="1"/>
  <c r="S590" i="3" s="1"/>
  <c r="AC590" i="3"/>
  <c r="AA590" i="3"/>
  <c r="Z590" i="3"/>
  <c r="AD590" i="3"/>
  <c r="U589" i="3" l="1"/>
  <c r="Y588" i="3"/>
  <c r="T590" i="3"/>
  <c r="AH590" i="3" s="1"/>
  <c r="D590" i="3" l="1"/>
  <c r="G590" i="3" s="1"/>
  <c r="E590" i="3"/>
  <c r="H590" i="3" s="1"/>
  <c r="K590" i="3" s="1"/>
  <c r="AE590" i="3" s="1"/>
  <c r="AG590" i="3"/>
  <c r="F590" i="3" l="1"/>
  <c r="V590" i="3"/>
  <c r="A591" i="3"/>
  <c r="B591" i="3" s="1"/>
  <c r="I590" i="3"/>
  <c r="J590" i="3"/>
  <c r="M590" i="3"/>
  <c r="N590" i="3" s="1"/>
  <c r="W590" i="3" l="1"/>
  <c r="L590" i="3"/>
  <c r="AC591" i="3"/>
  <c r="P591" i="3"/>
  <c r="Q591" i="3" s="1"/>
  <c r="R591" i="3" s="1"/>
  <c r="S591" i="3" s="1"/>
  <c r="Z591" i="3"/>
  <c r="AA591" i="3"/>
  <c r="AD591" i="3"/>
  <c r="U590" i="3" l="1"/>
  <c r="Y589" i="3"/>
  <c r="T591" i="3"/>
  <c r="AG591" i="3" s="1"/>
  <c r="D591" i="3" l="1"/>
  <c r="G591" i="3" s="1"/>
  <c r="E591" i="3"/>
  <c r="H591" i="3" s="1"/>
  <c r="K591" i="3" s="1"/>
  <c r="AE591" i="3" s="1"/>
  <c r="AH591" i="3"/>
  <c r="F591" i="3" l="1"/>
  <c r="I591" i="3"/>
  <c r="J591" i="3"/>
  <c r="M591" i="3"/>
  <c r="N591" i="3" s="1"/>
  <c r="V591" i="3"/>
  <c r="A592" i="3"/>
  <c r="B592" i="3" s="1"/>
  <c r="W591" i="3" l="1"/>
  <c r="L591" i="3"/>
  <c r="AA592" i="3"/>
  <c r="AC592" i="3"/>
  <c r="Z592" i="3"/>
  <c r="AD592" i="3"/>
  <c r="P592" i="3"/>
  <c r="Q592" i="3" s="1"/>
  <c r="R592" i="3" s="1"/>
  <c r="S592" i="3" s="1"/>
  <c r="U591" i="3" l="1"/>
  <c r="Y590" i="3"/>
  <c r="T592" i="3"/>
  <c r="D592" i="3" l="1"/>
  <c r="G592" i="3" s="1"/>
  <c r="AH592" i="3"/>
  <c r="AG592" i="3"/>
  <c r="E592" i="3"/>
  <c r="H592" i="3" s="1"/>
  <c r="K592" i="3" s="1"/>
  <c r="AE592" i="3" s="1"/>
  <c r="F592" i="3" l="1"/>
  <c r="I592" i="3"/>
  <c r="J592" i="3"/>
  <c r="M592" i="3"/>
  <c r="N592" i="3" s="1"/>
  <c r="V592" i="3"/>
  <c r="A593" i="3"/>
  <c r="B593" i="3" s="1"/>
  <c r="W592" i="3" l="1"/>
  <c r="L592" i="3"/>
  <c r="Z593" i="3"/>
  <c r="P593" i="3"/>
  <c r="Q593" i="3" s="1"/>
  <c r="R593" i="3" s="1"/>
  <c r="S593" i="3" s="1"/>
  <c r="AD593" i="3"/>
  <c r="AA593" i="3"/>
  <c r="AC593" i="3"/>
  <c r="U592" i="3" l="1"/>
  <c r="Y591" i="3"/>
  <c r="T593" i="3"/>
  <c r="E593" i="3" l="1"/>
  <c r="H593" i="3" s="1"/>
  <c r="K593" i="3" s="1"/>
  <c r="AE593" i="3" s="1"/>
  <c r="D593" i="3"/>
  <c r="G593" i="3" s="1"/>
  <c r="AH593" i="3"/>
  <c r="AG593" i="3"/>
  <c r="F593" i="3" l="1"/>
  <c r="I593" i="3"/>
  <c r="J593" i="3"/>
  <c r="M593" i="3"/>
  <c r="N593" i="3" s="1"/>
  <c r="V593" i="3"/>
  <c r="A594" i="3"/>
  <c r="B594" i="3" s="1"/>
  <c r="W593" i="3" l="1"/>
  <c r="L593" i="3"/>
  <c r="Z594" i="3"/>
  <c r="AA594" i="3"/>
  <c r="P594" i="3"/>
  <c r="Q594" i="3" s="1"/>
  <c r="R594" i="3" s="1"/>
  <c r="S594" i="3" s="1"/>
  <c r="AC594" i="3"/>
  <c r="U593" i="3" l="1"/>
  <c r="Y592" i="3"/>
  <c r="T594" i="3"/>
  <c r="AG594" i="3" s="1"/>
  <c r="AH594" i="3" l="1"/>
  <c r="E594" i="3"/>
  <c r="H594" i="3" s="1"/>
  <c r="K594" i="3" s="1"/>
  <c r="AE594" i="3" s="1"/>
  <c r="D594" i="3"/>
  <c r="V594" i="3" l="1"/>
  <c r="A595" i="3"/>
  <c r="B595" i="3" s="1"/>
  <c r="F594" i="3"/>
  <c r="G594" i="3"/>
  <c r="I594" i="3" l="1"/>
  <c r="W594" i="3" s="1"/>
  <c r="J594" i="3"/>
  <c r="AD594" i="3" s="1"/>
  <c r="M594" i="3"/>
  <c r="N594" i="3" s="1"/>
  <c r="AC595" i="3"/>
  <c r="AA595" i="3"/>
  <c r="P595" i="3"/>
  <c r="Q595" i="3" s="1"/>
  <c r="R595" i="3" s="1"/>
  <c r="S595" i="3" s="1"/>
  <c r="Z595" i="3"/>
  <c r="AD595" i="3"/>
  <c r="T595" i="3" l="1"/>
  <c r="L594" i="3"/>
  <c r="AH595" i="3" l="1"/>
  <c r="U594" i="3"/>
  <c r="E595" i="3" s="1"/>
  <c r="H595" i="3" s="1"/>
  <c r="AG595" i="3"/>
  <c r="Y593" i="3"/>
  <c r="D595" i="3" l="1"/>
  <c r="G595" i="3" s="1"/>
  <c r="K595" i="3"/>
  <c r="AE595" i="3" s="1"/>
  <c r="F595" i="3" l="1"/>
  <c r="V595" i="3"/>
  <c r="A596" i="3"/>
  <c r="B596" i="3" s="1"/>
  <c r="I595" i="3"/>
  <c r="J595" i="3"/>
  <c r="M595" i="3"/>
  <c r="N595" i="3" s="1"/>
  <c r="W595" i="3" l="1"/>
  <c r="L595" i="3"/>
  <c r="P596" i="3"/>
  <c r="Q596" i="3" s="1"/>
  <c r="R596" i="3" s="1"/>
  <c r="S596" i="3" s="1"/>
  <c r="AA596" i="3"/>
  <c r="AC596" i="3"/>
  <c r="AD596" i="3"/>
  <c r="Z596" i="3"/>
  <c r="T596" i="3" l="1"/>
  <c r="AG596" i="3" s="1"/>
  <c r="U595" i="3"/>
  <c r="Y594" i="3"/>
  <c r="D596" i="3" l="1"/>
  <c r="E596" i="3"/>
  <c r="H596" i="3" s="1"/>
  <c r="AH596" i="3"/>
  <c r="F596" i="3" l="1"/>
  <c r="G596" i="3"/>
  <c r="K596" i="3"/>
  <c r="AE596" i="3" s="1"/>
  <c r="V596" i="3" l="1"/>
  <c r="A597" i="3"/>
  <c r="B597" i="3" s="1"/>
  <c r="I596" i="3"/>
  <c r="J596" i="3"/>
  <c r="M596" i="3"/>
  <c r="N596" i="3" s="1"/>
  <c r="W596" i="3" l="1"/>
  <c r="L596" i="3"/>
  <c r="Z597" i="3"/>
  <c r="P597" i="3"/>
  <c r="Q597" i="3" s="1"/>
  <c r="R597" i="3" s="1"/>
  <c r="S597" i="3" s="1"/>
  <c r="AA597" i="3"/>
  <c r="AC597" i="3"/>
  <c r="AD597" i="3"/>
  <c r="U596" i="3" l="1"/>
  <c r="Y595" i="3"/>
  <c r="T597" i="3"/>
  <c r="E597" i="3" l="1"/>
  <c r="H597" i="3" s="1"/>
  <c r="K597" i="3" s="1"/>
  <c r="AE597" i="3" s="1"/>
  <c r="AH597" i="3"/>
  <c r="AG597" i="3"/>
  <c r="D597" i="3"/>
  <c r="G597" i="3" s="1"/>
  <c r="F597" i="3" l="1"/>
  <c r="I597" i="3"/>
  <c r="J597" i="3"/>
  <c r="M597" i="3"/>
  <c r="N597" i="3" s="1"/>
  <c r="V597" i="3"/>
  <c r="A598" i="3"/>
  <c r="B598" i="3" s="1"/>
  <c r="W597" i="3" l="1"/>
  <c r="L597" i="3"/>
  <c r="AC598" i="3"/>
  <c r="P598" i="3"/>
  <c r="Q598" i="3" s="1"/>
  <c r="R598" i="3" s="1"/>
  <c r="S598" i="3" s="1"/>
  <c r="Z598" i="3"/>
  <c r="AA598" i="3"/>
  <c r="AD598" i="3"/>
  <c r="U597" i="3" l="1"/>
  <c r="Y596" i="3"/>
  <c r="T598" i="3"/>
  <c r="AG598" i="3" s="1"/>
  <c r="AH598" i="3" l="1"/>
  <c r="E598" i="3"/>
  <c r="H598" i="3" s="1"/>
  <c r="K598" i="3" s="1"/>
  <c r="AE598" i="3" s="1"/>
  <c r="D598" i="3"/>
  <c r="V598" i="3" l="1"/>
  <c r="A599" i="3"/>
  <c r="B599" i="3" s="1"/>
  <c r="F598" i="3"/>
  <c r="G598" i="3"/>
  <c r="I598" i="3" l="1"/>
  <c r="W598" i="3" s="1"/>
  <c r="J598" i="3"/>
  <c r="M598" i="3"/>
  <c r="N598" i="3" s="1"/>
  <c r="AC599" i="3"/>
  <c r="AA599" i="3"/>
  <c r="P599" i="3"/>
  <c r="Q599" i="3" s="1"/>
  <c r="R599" i="3" s="1"/>
  <c r="S599" i="3" s="1"/>
  <c r="AD599" i="3"/>
  <c r="Z599" i="3"/>
  <c r="T599" i="3" l="1"/>
  <c r="L598" i="3"/>
  <c r="U598" i="3" l="1"/>
  <c r="D599" i="3" s="1"/>
  <c r="AG599" i="3"/>
  <c r="AH599" i="3"/>
  <c r="Y597" i="3"/>
  <c r="G599" i="3" l="1"/>
  <c r="E599" i="3"/>
  <c r="H599" i="3" s="1"/>
  <c r="I599" i="3" l="1"/>
  <c r="J599" i="3"/>
  <c r="M599" i="3"/>
  <c r="N599" i="3" s="1"/>
  <c r="K599" i="3"/>
  <c r="AE599" i="3" s="1"/>
  <c r="F599" i="3"/>
  <c r="V599" i="3" l="1"/>
  <c r="W599" i="3" s="1"/>
  <c r="A600" i="3"/>
  <c r="B600" i="3" s="1"/>
  <c r="L599" i="3"/>
  <c r="U599" i="3" l="1"/>
  <c r="Y598" i="3"/>
  <c r="AC600" i="3"/>
  <c r="P600" i="3"/>
  <c r="Q600" i="3" s="1"/>
  <c r="R600" i="3" s="1"/>
  <c r="S600" i="3" s="1"/>
  <c r="Z600" i="3"/>
  <c r="AA600" i="3"/>
  <c r="AD600" i="3"/>
  <c r="T600" i="3" l="1"/>
  <c r="E600" i="3" s="1"/>
  <c r="H600" i="3" s="1"/>
  <c r="AH600" i="3" l="1"/>
  <c r="K600" i="3"/>
  <c r="AE600" i="3" s="1"/>
  <c r="AG600" i="3"/>
  <c r="D600" i="3"/>
  <c r="V600" i="3" l="1"/>
  <c r="A601" i="3"/>
  <c r="B601" i="3" s="1"/>
  <c r="F600" i="3"/>
  <c r="G600" i="3"/>
  <c r="I600" i="3" l="1"/>
  <c r="W600" i="3" s="1"/>
  <c r="J600" i="3"/>
  <c r="M600" i="3"/>
  <c r="N600" i="3" s="1"/>
  <c r="P601" i="3"/>
  <c r="Q601" i="3" s="1"/>
  <c r="R601" i="3" s="1"/>
  <c r="S601" i="3" s="1"/>
  <c r="AA601" i="3"/>
  <c r="AC601" i="3"/>
  <c r="Z601" i="3"/>
  <c r="AD601" i="3"/>
  <c r="T601" i="3" l="1"/>
  <c r="L600" i="3"/>
  <c r="AH601" i="3" l="1"/>
  <c r="U600" i="3"/>
  <c r="D601" i="3" s="1"/>
  <c r="AG601" i="3"/>
  <c r="Y599" i="3"/>
  <c r="E601" i="3" l="1"/>
  <c r="H601" i="3" s="1"/>
  <c r="K601" i="3" s="1"/>
  <c r="AE601" i="3" s="1"/>
  <c r="G601" i="3"/>
  <c r="F601" i="3" l="1"/>
  <c r="I601" i="3"/>
  <c r="J601" i="3"/>
  <c r="M601" i="3"/>
  <c r="N601" i="3" s="1"/>
  <c r="V601" i="3"/>
  <c r="A602" i="3"/>
  <c r="B602" i="3" s="1"/>
  <c r="W601" i="3" l="1"/>
  <c r="L601" i="3"/>
  <c r="P602" i="3"/>
  <c r="Q602" i="3" s="1"/>
  <c r="R602" i="3" s="1"/>
  <c r="S602" i="3" s="1"/>
  <c r="Z602" i="3"/>
  <c r="AC602" i="3"/>
  <c r="AD602" i="3"/>
  <c r="AA602" i="3"/>
  <c r="U601" i="3" l="1"/>
  <c r="Y600" i="3"/>
  <c r="T602" i="3"/>
  <c r="AG602" i="3" s="1"/>
  <c r="D602" i="3" l="1"/>
  <c r="E602" i="3"/>
  <c r="H602" i="3" s="1"/>
  <c r="AH602" i="3"/>
  <c r="K602" i="3" l="1"/>
  <c r="AE602" i="3" s="1"/>
  <c r="F602" i="3"/>
  <c r="G602" i="3"/>
  <c r="I602" i="3" l="1"/>
  <c r="J602" i="3"/>
  <c r="M602" i="3"/>
  <c r="N602" i="3" s="1"/>
  <c r="V602" i="3"/>
  <c r="A603" i="3"/>
  <c r="B603" i="3" s="1"/>
  <c r="W602" i="3" l="1"/>
  <c r="L602" i="3"/>
  <c r="AA603" i="3"/>
  <c r="AC603" i="3"/>
  <c r="AD603" i="3"/>
  <c r="Z603" i="3"/>
  <c r="P603" i="3"/>
  <c r="Q603" i="3" s="1"/>
  <c r="R603" i="3" s="1"/>
  <c r="S603" i="3" s="1"/>
  <c r="U602" i="3" l="1"/>
  <c r="Y601" i="3"/>
  <c r="T603" i="3"/>
  <c r="AG603" i="3" s="1"/>
  <c r="AH603" i="3" l="1"/>
  <c r="D603" i="3"/>
  <c r="G603" i="3" s="1"/>
  <c r="E603" i="3"/>
  <c r="H603" i="3" s="1"/>
  <c r="K603" i="3" s="1"/>
  <c r="AE603" i="3" s="1"/>
  <c r="F603" i="3" l="1"/>
  <c r="I603" i="3"/>
  <c r="J603" i="3"/>
  <c r="M603" i="3"/>
  <c r="N603" i="3" s="1"/>
  <c r="V603" i="3"/>
  <c r="A604" i="3"/>
  <c r="B604" i="3" s="1"/>
  <c r="W603" i="3" l="1"/>
  <c r="L603" i="3"/>
  <c r="AC604" i="3"/>
  <c r="Z604" i="3"/>
  <c r="AA604" i="3"/>
  <c r="P604" i="3"/>
  <c r="Q604" i="3" s="1"/>
  <c r="R604" i="3" s="1"/>
  <c r="S604" i="3" s="1"/>
  <c r="U603" i="3" l="1"/>
  <c r="Y602" i="3"/>
  <c r="T604" i="3"/>
  <c r="AH604" i="3" s="1"/>
  <c r="D604" i="3" l="1"/>
  <c r="E604" i="3"/>
  <c r="H604" i="3" s="1"/>
  <c r="AG604" i="3"/>
  <c r="F604" i="3" l="1"/>
  <c r="G604" i="3"/>
  <c r="K604" i="3"/>
  <c r="AE604" i="3" s="1"/>
  <c r="V604" i="3" l="1"/>
  <c r="A605" i="3"/>
  <c r="B605" i="3" s="1"/>
  <c r="I604" i="3"/>
  <c r="J604" i="3"/>
  <c r="AD604" i="3" s="1"/>
  <c r="M604" i="3"/>
  <c r="N604" i="3" s="1"/>
  <c r="W604" i="3" l="1"/>
  <c r="L604" i="3"/>
  <c r="P605" i="3"/>
  <c r="Q605" i="3" s="1"/>
  <c r="R605" i="3" s="1"/>
  <c r="S605" i="3" s="1"/>
  <c r="Z605" i="3"/>
  <c r="AA605" i="3"/>
  <c r="AD605" i="3"/>
  <c r="AC605" i="3"/>
  <c r="U604" i="3" l="1"/>
  <c r="Y603" i="3"/>
  <c r="T605" i="3"/>
  <c r="AG605" i="3" s="1"/>
  <c r="AH605" i="3" l="1"/>
  <c r="D605" i="3"/>
  <c r="E605" i="3"/>
  <c r="H605" i="3" s="1"/>
  <c r="K605" i="3" s="1"/>
  <c r="AE605" i="3" s="1"/>
  <c r="F605" i="3" l="1"/>
  <c r="G605" i="3"/>
  <c r="M605" i="3" s="1"/>
  <c r="N605" i="3" s="1"/>
  <c r="V605" i="3"/>
  <c r="A606" i="3"/>
  <c r="B606" i="3" s="1"/>
  <c r="I605" i="3" l="1"/>
  <c r="W605" i="3" s="1"/>
  <c r="J605" i="3"/>
  <c r="L605" i="3" s="1"/>
  <c r="P606" i="3"/>
  <c r="Q606" i="3" s="1"/>
  <c r="R606" i="3" s="1"/>
  <c r="S606" i="3" s="1"/>
  <c r="AC606" i="3"/>
  <c r="AD606" i="3"/>
  <c r="AA606" i="3"/>
  <c r="Z606" i="3"/>
  <c r="U605" i="3" l="1"/>
  <c r="Y604" i="3"/>
  <c r="T606" i="3"/>
  <c r="AG606" i="3" s="1"/>
  <c r="E606" i="3" l="1"/>
  <c r="H606" i="3" s="1"/>
  <c r="AH606" i="3"/>
  <c r="D606" i="3"/>
  <c r="F606" i="3" l="1"/>
  <c r="G606" i="3"/>
  <c r="K606" i="3"/>
  <c r="AE606" i="3" s="1"/>
  <c r="I606" i="3" l="1"/>
  <c r="J606" i="3"/>
  <c r="M606" i="3"/>
  <c r="N606" i="3" s="1"/>
  <c r="V606" i="3"/>
  <c r="A607" i="3"/>
  <c r="B607" i="3" s="1"/>
  <c r="W606" i="3" l="1"/>
  <c r="L606" i="3"/>
  <c r="Z607" i="3"/>
  <c r="AD607" i="3"/>
  <c r="AC607" i="3"/>
  <c r="P607" i="3"/>
  <c r="Q607" i="3" s="1"/>
  <c r="R607" i="3" s="1"/>
  <c r="S607" i="3" s="1"/>
  <c r="AA607" i="3"/>
  <c r="U606" i="3" l="1"/>
  <c r="Y605" i="3"/>
  <c r="T607" i="3"/>
  <c r="AH607" i="3" s="1"/>
  <c r="E607" i="3" l="1"/>
  <c r="H607" i="3" s="1"/>
  <c r="K607" i="3" s="1"/>
  <c r="AE607" i="3" s="1"/>
  <c r="D607" i="3"/>
  <c r="AG607" i="3"/>
  <c r="V607" i="3" l="1"/>
  <c r="A608" i="3"/>
  <c r="B608" i="3" s="1"/>
  <c r="F607" i="3"/>
  <c r="G607" i="3"/>
  <c r="I607" i="3" l="1"/>
  <c r="W607" i="3" s="1"/>
  <c r="J607" i="3"/>
  <c r="M607" i="3"/>
  <c r="N607" i="3" s="1"/>
  <c r="AD608" i="3"/>
  <c r="AA608" i="3"/>
  <c r="P608" i="3"/>
  <c r="Q608" i="3" s="1"/>
  <c r="R608" i="3" s="1"/>
  <c r="S608" i="3" s="1"/>
  <c r="Z608" i="3"/>
  <c r="AC608" i="3"/>
  <c r="T608" i="3" l="1"/>
  <c r="L607" i="3"/>
  <c r="AH608" i="3" l="1"/>
  <c r="AG608" i="3"/>
  <c r="U607" i="3"/>
  <c r="E608" i="3" s="1"/>
  <c r="H608" i="3" s="1"/>
  <c r="Y606" i="3"/>
  <c r="D608" i="3" l="1"/>
  <c r="G608" i="3" s="1"/>
  <c r="K608" i="3"/>
  <c r="AE608" i="3" s="1"/>
  <c r="F608" i="3" l="1"/>
  <c r="I608" i="3"/>
  <c r="J608" i="3"/>
  <c r="M608" i="3"/>
  <c r="N608" i="3" s="1"/>
  <c r="V608" i="3"/>
  <c r="A609" i="3"/>
  <c r="B609" i="3" s="1"/>
  <c r="L608" i="3" l="1"/>
  <c r="W608" i="3"/>
  <c r="Z609" i="3"/>
  <c r="P609" i="3"/>
  <c r="Q609" i="3" s="1"/>
  <c r="R609" i="3" s="1"/>
  <c r="S609" i="3" s="1"/>
  <c r="AC609" i="3"/>
  <c r="AA609" i="3"/>
  <c r="AD609" i="3"/>
  <c r="U608" i="3" l="1"/>
  <c r="Y607" i="3"/>
  <c r="T609" i="3"/>
  <c r="AG609" i="3" s="1"/>
  <c r="E609" i="3" l="1"/>
  <c r="H609" i="3" s="1"/>
  <c r="D609" i="3"/>
  <c r="AH609" i="3"/>
  <c r="K609" i="3" l="1"/>
  <c r="AE609" i="3" s="1"/>
  <c r="F609" i="3"/>
  <c r="G609" i="3"/>
  <c r="I609" i="3" l="1"/>
  <c r="J609" i="3"/>
  <c r="M609" i="3"/>
  <c r="N609" i="3" s="1"/>
  <c r="V609" i="3"/>
  <c r="A610" i="3"/>
  <c r="B610" i="3" s="1"/>
  <c r="L609" i="3" l="1"/>
  <c r="W609" i="3"/>
  <c r="AA610" i="3"/>
  <c r="P610" i="3"/>
  <c r="Q610" i="3" s="1"/>
  <c r="R610" i="3" s="1"/>
  <c r="S610" i="3" s="1"/>
  <c r="Z610" i="3"/>
  <c r="AC610" i="3"/>
  <c r="AD610" i="3"/>
  <c r="U609" i="3" l="1"/>
  <c r="Y608" i="3"/>
  <c r="T610" i="3"/>
  <c r="AG610" i="3" s="1"/>
  <c r="AH610" i="3" l="1"/>
  <c r="D610" i="3"/>
  <c r="G610" i="3" s="1"/>
  <c r="E610" i="3"/>
  <c r="H610" i="3" s="1"/>
  <c r="K610" i="3" s="1"/>
  <c r="AE610" i="3" s="1"/>
  <c r="F610" i="3" l="1"/>
  <c r="I610" i="3"/>
  <c r="J610" i="3"/>
  <c r="M610" i="3"/>
  <c r="N610" i="3" s="1"/>
  <c r="V610" i="3"/>
  <c r="A611" i="3"/>
  <c r="B611" i="3" s="1"/>
  <c r="W610" i="3" l="1"/>
  <c r="L610" i="3"/>
  <c r="AA611" i="3"/>
  <c r="P611" i="3"/>
  <c r="Q611" i="3" s="1"/>
  <c r="R611" i="3" s="1"/>
  <c r="S611" i="3" s="1"/>
  <c r="AC611" i="3"/>
  <c r="AD611" i="3"/>
  <c r="Z611" i="3"/>
  <c r="T611" i="3" l="1"/>
  <c r="U610" i="3"/>
  <c r="Y609" i="3"/>
  <c r="E611" i="3" l="1"/>
  <c r="H611" i="3" s="1"/>
  <c r="K611" i="3" s="1"/>
  <c r="AE611" i="3" s="1"/>
  <c r="AH611" i="3"/>
  <c r="AG611" i="3"/>
  <c r="D611" i="3"/>
  <c r="V611" i="3" l="1"/>
  <c r="A612" i="3"/>
  <c r="B612" i="3" s="1"/>
  <c r="F611" i="3"/>
  <c r="G611" i="3"/>
  <c r="I611" i="3" l="1"/>
  <c r="W611" i="3" s="1"/>
  <c r="J611" i="3"/>
  <c r="M611" i="3"/>
  <c r="N611" i="3" s="1"/>
  <c r="Z612" i="3"/>
  <c r="P612" i="3"/>
  <c r="Q612" i="3" s="1"/>
  <c r="R612" i="3" s="1"/>
  <c r="S612" i="3" s="1"/>
  <c r="AD612" i="3"/>
  <c r="AC612" i="3"/>
  <c r="AA612" i="3"/>
  <c r="T612" i="3" l="1"/>
  <c r="L611" i="3"/>
  <c r="U611" i="3" l="1"/>
  <c r="E612" i="3" s="1"/>
  <c r="H612" i="3" s="1"/>
  <c r="AH612" i="3"/>
  <c r="AG612" i="3"/>
  <c r="Y610" i="3"/>
  <c r="D612" i="3" l="1"/>
  <c r="G612" i="3" s="1"/>
  <c r="K612" i="3"/>
  <c r="AE612" i="3" s="1"/>
  <c r="F612" i="3" l="1"/>
  <c r="V612" i="3"/>
  <c r="A613" i="3"/>
  <c r="B613" i="3" s="1"/>
  <c r="I612" i="3"/>
  <c r="J612" i="3"/>
  <c r="M612" i="3"/>
  <c r="N612" i="3" s="1"/>
  <c r="W612" i="3" l="1"/>
  <c r="L612" i="3"/>
  <c r="P613" i="3"/>
  <c r="Q613" i="3" s="1"/>
  <c r="R613" i="3" s="1"/>
  <c r="S613" i="3" s="1"/>
  <c r="AD613" i="3"/>
  <c r="AA613" i="3"/>
  <c r="Z613" i="3"/>
  <c r="AC613" i="3"/>
  <c r="U612" i="3" l="1"/>
  <c r="Y611" i="3"/>
  <c r="T613" i="3"/>
  <c r="AG613" i="3" s="1"/>
  <c r="D613" i="3" l="1"/>
  <c r="AH613" i="3"/>
  <c r="E613" i="3"/>
  <c r="H613" i="3" s="1"/>
  <c r="F613" i="3" l="1"/>
  <c r="G613" i="3"/>
  <c r="K613" i="3"/>
  <c r="AE613" i="3" s="1"/>
  <c r="V613" i="3" l="1"/>
  <c r="A614" i="3"/>
  <c r="B614" i="3" s="1"/>
  <c r="I613" i="3"/>
  <c r="J613" i="3"/>
  <c r="M613" i="3"/>
  <c r="N613" i="3" s="1"/>
  <c r="W613" i="3" l="1"/>
  <c r="L613" i="3"/>
  <c r="AC614" i="3"/>
  <c r="AA614" i="3"/>
  <c r="Z614" i="3"/>
  <c r="P614" i="3"/>
  <c r="Q614" i="3" s="1"/>
  <c r="R614" i="3" s="1"/>
  <c r="S614" i="3" s="1"/>
  <c r="U613" i="3" l="1"/>
  <c r="Y612" i="3"/>
  <c r="T614" i="3"/>
  <c r="AG614" i="3" s="1"/>
  <c r="D614" i="3" l="1"/>
  <c r="G614" i="3" s="1"/>
  <c r="E614" i="3"/>
  <c r="H614" i="3" s="1"/>
  <c r="K614" i="3" s="1"/>
  <c r="AE614" i="3" s="1"/>
  <c r="AH614" i="3"/>
  <c r="F614" i="3" l="1"/>
  <c r="I614" i="3"/>
  <c r="J614" i="3"/>
  <c r="AD614" i="3" s="1"/>
  <c r="M614" i="3"/>
  <c r="N614" i="3" s="1"/>
  <c r="V614" i="3"/>
  <c r="A615" i="3"/>
  <c r="B615" i="3" s="1"/>
  <c r="L614" i="3" l="1"/>
  <c r="W614" i="3"/>
  <c r="P615" i="3"/>
  <c r="Q615" i="3" s="1"/>
  <c r="R615" i="3" s="1"/>
  <c r="S615" i="3" s="1"/>
  <c r="AC615" i="3"/>
  <c r="Z615" i="3"/>
  <c r="AA615" i="3"/>
  <c r="AD615" i="3"/>
  <c r="U614" i="3" l="1"/>
  <c r="Y613" i="3"/>
  <c r="T615" i="3"/>
  <c r="AH615" i="3" s="1"/>
  <c r="E615" i="3" l="1"/>
  <c r="H615" i="3" s="1"/>
  <c r="K615" i="3" s="1"/>
  <c r="AE615" i="3" s="1"/>
  <c r="AG615" i="3"/>
  <c r="D615" i="3"/>
  <c r="F615" i="3" l="1"/>
  <c r="G615" i="3"/>
  <c r="V615" i="3"/>
  <c r="A616" i="3"/>
  <c r="B616" i="3" s="1"/>
  <c r="AD616" i="3" l="1"/>
  <c r="P616" i="3"/>
  <c r="Q616" i="3" s="1"/>
  <c r="R616" i="3" s="1"/>
  <c r="S616" i="3" s="1"/>
  <c r="Z616" i="3"/>
  <c r="AC616" i="3"/>
  <c r="AA616" i="3"/>
  <c r="I615" i="3"/>
  <c r="W615" i="3" s="1"/>
  <c r="J615" i="3"/>
  <c r="M615" i="3"/>
  <c r="N615" i="3" s="1"/>
  <c r="L615" i="3" l="1"/>
  <c r="T616" i="3"/>
  <c r="U615" i="3" l="1"/>
  <c r="D616" i="3" s="1"/>
  <c r="AH616" i="3"/>
  <c r="AG616" i="3"/>
  <c r="Y614" i="3"/>
  <c r="E616" i="3" l="1"/>
  <c r="H616" i="3" s="1"/>
  <c r="K616" i="3" s="1"/>
  <c r="AE616" i="3" s="1"/>
  <c r="G616" i="3"/>
  <c r="F616" i="3" l="1"/>
  <c r="I616" i="3"/>
  <c r="J616" i="3"/>
  <c r="M616" i="3"/>
  <c r="N616" i="3" s="1"/>
  <c r="V616" i="3"/>
  <c r="A617" i="3"/>
  <c r="B617" i="3" s="1"/>
  <c r="W616" i="3" l="1"/>
  <c r="L616" i="3"/>
  <c r="Z617" i="3"/>
  <c r="AC617" i="3"/>
  <c r="AD617" i="3"/>
  <c r="P617" i="3"/>
  <c r="Q617" i="3" s="1"/>
  <c r="R617" i="3" s="1"/>
  <c r="S617" i="3" s="1"/>
  <c r="AA617" i="3"/>
  <c r="U616" i="3" l="1"/>
  <c r="Y615" i="3"/>
  <c r="T617" i="3"/>
  <c r="AG617" i="3" s="1"/>
  <c r="D617" i="3" l="1"/>
  <c r="G617" i="3" s="1"/>
  <c r="E617" i="3"/>
  <c r="H617" i="3" s="1"/>
  <c r="K617" i="3" s="1"/>
  <c r="AE617" i="3" s="1"/>
  <c r="AH617" i="3"/>
  <c r="F617" i="3" l="1"/>
  <c r="I617" i="3"/>
  <c r="J617" i="3"/>
  <c r="M617" i="3"/>
  <c r="N617" i="3" s="1"/>
  <c r="V617" i="3"/>
  <c r="A618" i="3"/>
  <c r="B618" i="3" s="1"/>
  <c r="W617" i="3" l="1"/>
  <c r="L617" i="3"/>
  <c r="P618" i="3"/>
  <c r="Q618" i="3" s="1"/>
  <c r="R618" i="3" s="1"/>
  <c r="S618" i="3" s="1"/>
  <c r="AD618" i="3"/>
  <c r="Z618" i="3"/>
  <c r="AC618" i="3"/>
  <c r="AA618" i="3"/>
  <c r="U617" i="3" l="1"/>
  <c r="Y616" i="3"/>
  <c r="T618" i="3"/>
  <c r="E618" i="3" l="1"/>
  <c r="H618" i="3" s="1"/>
  <c r="K618" i="3" s="1"/>
  <c r="AE618" i="3" s="1"/>
  <c r="AG618" i="3"/>
  <c r="D618" i="3"/>
  <c r="AH618" i="3"/>
  <c r="F618" i="3" l="1"/>
  <c r="G618" i="3"/>
  <c r="V618" i="3"/>
  <c r="A619" i="3"/>
  <c r="B619" i="3" s="1"/>
  <c r="P619" i="3" l="1"/>
  <c r="Q619" i="3" s="1"/>
  <c r="R619" i="3" s="1"/>
  <c r="S619" i="3" s="1"/>
  <c r="AD619" i="3"/>
  <c r="AA619" i="3"/>
  <c r="AC619" i="3"/>
  <c r="Z619" i="3"/>
  <c r="I618" i="3"/>
  <c r="W618" i="3" s="1"/>
  <c r="J618" i="3"/>
  <c r="M618" i="3"/>
  <c r="N618" i="3" s="1"/>
  <c r="T619" i="3" l="1"/>
  <c r="L618" i="3"/>
  <c r="AH619" i="3" l="1"/>
  <c r="AG619" i="3"/>
  <c r="U618" i="3"/>
  <c r="D619" i="3" s="1"/>
  <c r="Y617" i="3"/>
  <c r="E619" i="3" l="1"/>
  <c r="H619" i="3" s="1"/>
  <c r="K619" i="3" s="1"/>
  <c r="AE619" i="3" s="1"/>
  <c r="G619" i="3"/>
  <c r="F619" i="3" l="1"/>
  <c r="I619" i="3"/>
  <c r="J619" i="3"/>
  <c r="M619" i="3"/>
  <c r="N619" i="3" s="1"/>
  <c r="V619" i="3"/>
  <c r="A620" i="3"/>
  <c r="B620" i="3" s="1"/>
  <c r="W619" i="3" l="1"/>
  <c r="L619" i="3"/>
  <c r="AC620" i="3"/>
  <c r="AD620" i="3"/>
  <c r="P620" i="3"/>
  <c r="Q620" i="3" s="1"/>
  <c r="R620" i="3" s="1"/>
  <c r="S620" i="3" s="1"/>
  <c r="AA620" i="3"/>
  <c r="Z620" i="3"/>
  <c r="T620" i="3" l="1"/>
  <c r="AH620" i="3" s="1"/>
  <c r="U619" i="3"/>
  <c r="Y618" i="3"/>
  <c r="E620" i="3" l="1"/>
  <c r="H620" i="3" s="1"/>
  <c r="K620" i="3" s="1"/>
  <c r="AE620" i="3" s="1"/>
  <c r="D620" i="3"/>
  <c r="G620" i="3" s="1"/>
  <c r="AG620" i="3"/>
  <c r="F620" i="3" l="1"/>
  <c r="I620" i="3"/>
  <c r="J620" i="3"/>
  <c r="M620" i="3"/>
  <c r="N620" i="3" s="1"/>
  <c r="V620" i="3"/>
  <c r="A621" i="3"/>
  <c r="B621" i="3" s="1"/>
  <c r="W620" i="3" l="1"/>
  <c r="L620" i="3"/>
  <c r="AD621" i="3"/>
  <c r="AC621" i="3"/>
  <c r="AA621" i="3"/>
  <c r="P621" i="3"/>
  <c r="Q621" i="3" s="1"/>
  <c r="R621" i="3" s="1"/>
  <c r="S621" i="3" s="1"/>
  <c r="Z621" i="3"/>
  <c r="U620" i="3" l="1"/>
  <c r="Y619" i="3"/>
  <c r="T621" i="3"/>
  <c r="D621" i="3" l="1"/>
  <c r="G621" i="3" s="1"/>
  <c r="AH621" i="3"/>
  <c r="E621" i="3"/>
  <c r="H621" i="3" s="1"/>
  <c r="AG621" i="3"/>
  <c r="F621" i="3" l="1"/>
  <c r="I621" i="3"/>
  <c r="J621" i="3"/>
  <c r="M621" i="3"/>
  <c r="N621" i="3" s="1"/>
  <c r="K621" i="3"/>
  <c r="AE621" i="3" s="1"/>
  <c r="V621" i="3" l="1"/>
  <c r="W621" i="3" s="1"/>
  <c r="A622" i="3"/>
  <c r="B622" i="3" s="1"/>
  <c r="L621" i="3"/>
  <c r="U621" i="3" l="1"/>
  <c r="Y620" i="3"/>
  <c r="AA622" i="3"/>
  <c r="AC622" i="3"/>
  <c r="P622" i="3"/>
  <c r="Q622" i="3" s="1"/>
  <c r="R622" i="3" s="1"/>
  <c r="S622" i="3" s="1"/>
  <c r="Z622" i="3"/>
  <c r="AD622" i="3"/>
  <c r="T622" i="3" l="1"/>
  <c r="AG622" i="3" s="1"/>
  <c r="D622" i="3" l="1"/>
  <c r="E622" i="3"/>
  <c r="H622" i="3" s="1"/>
  <c r="K622" i="3" s="1"/>
  <c r="AE622" i="3" s="1"/>
  <c r="AH622" i="3"/>
  <c r="F622" i="3" l="1"/>
  <c r="G622" i="3"/>
  <c r="I622" i="3" s="1"/>
  <c r="V622" i="3"/>
  <c r="A623" i="3"/>
  <c r="B623" i="3" s="1"/>
  <c r="M622" i="3" l="1"/>
  <c r="N622" i="3" s="1"/>
  <c r="J622" i="3"/>
  <c r="L622" i="3" s="1"/>
  <c r="W622" i="3"/>
  <c r="P623" i="3"/>
  <c r="Q623" i="3" s="1"/>
  <c r="R623" i="3" s="1"/>
  <c r="S623" i="3" s="1"/>
  <c r="Z623" i="3"/>
  <c r="AD623" i="3"/>
  <c r="AA623" i="3"/>
  <c r="AC623" i="3"/>
  <c r="U622" i="3" l="1"/>
  <c r="Y621" i="3"/>
  <c r="T623" i="3"/>
  <c r="D623" i="3" l="1"/>
  <c r="G623" i="3" s="1"/>
  <c r="AH623" i="3"/>
  <c r="AG623" i="3"/>
  <c r="E623" i="3"/>
  <c r="H623" i="3" s="1"/>
  <c r="K623" i="3" l="1"/>
  <c r="AE623" i="3" s="1"/>
  <c r="I623" i="3"/>
  <c r="J623" i="3"/>
  <c r="M623" i="3"/>
  <c r="N623" i="3" s="1"/>
  <c r="F623" i="3"/>
  <c r="L623" i="3" l="1"/>
  <c r="V623" i="3"/>
  <c r="W623" i="3" s="1"/>
  <c r="A624" i="3"/>
  <c r="B624" i="3" s="1"/>
  <c r="U623" i="3" l="1"/>
  <c r="Y622" i="3"/>
  <c r="AA624" i="3"/>
  <c r="Z624" i="3"/>
  <c r="AC624" i="3"/>
  <c r="P624" i="3"/>
  <c r="Q624" i="3" s="1"/>
  <c r="R624" i="3" s="1"/>
  <c r="S624" i="3" s="1"/>
  <c r="T624" i="3" l="1"/>
  <c r="D624" i="3" s="1"/>
  <c r="AG624" i="3" l="1"/>
  <c r="AH624" i="3"/>
  <c r="E624" i="3"/>
  <c r="H624" i="3" s="1"/>
  <c r="K624" i="3" s="1"/>
  <c r="AE624" i="3" s="1"/>
  <c r="G624" i="3"/>
  <c r="F624" i="3" l="1"/>
  <c r="I624" i="3"/>
  <c r="J624" i="3"/>
  <c r="AD624" i="3" s="1"/>
  <c r="M624" i="3"/>
  <c r="N624" i="3" s="1"/>
  <c r="V624" i="3"/>
  <c r="A625" i="3"/>
  <c r="B625" i="3" s="1"/>
  <c r="W624" i="3" l="1"/>
  <c r="L624" i="3"/>
  <c r="P625" i="3"/>
  <c r="Q625" i="3" s="1"/>
  <c r="R625" i="3" s="1"/>
  <c r="S625" i="3" s="1"/>
  <c r="AD625" i="3"/>
  <c r="AA625" i="3"/>
  <c r="Z625" i="3"/>
  <c r="AC625" i="3"/>
  <c r="U624" i="3" l="1"/>
  <c r="Y623" i="3"/>
  <c r="T625" i="3"/>
  <c r="D625" i="3" l="1"/>
  <c r="G625" i="3" s="1"/>
  <c r="E625" i="3"/>
  <c r="H625" i="3" s="1"/>
  <c r="AH625" i="3"/>
  <c r="AG625" i="3"/>
  <c r="F625" i="3" l="1"/>
  <c r="I625" i="3"/>
  <c r="J625" i="3"/>
  <c r="M625" i="3"/>
  <c r="N625" i="3" s="1"/>
  <c r="K625" i="3"/>
  <c r="AE625" i="3" s="1"/>
  <c r="V625" i="3" l="1"/>
  <c r="W625" i="3" s="1"/>
  <c r="A626" i="3"/>
  <c r="B626" i="3" s="1"/>
  <c r="L625" i="3"/>
  <c r="U625" i="3" l="1"/>
  <c r="Y624" i="3"/>
  <c r="AD626" i="3"/>
  <c r="Z626" i="3"/>
  <c r="AC626" i="3"/>
  <c r="P626" i="3"/>
  <c r="Q626" i="3" s="1"/>
  <c r="R626" i="3" s="1"/>
  <c r="S626" i="3" s="1"/>
  <c r="AA626" i="3"/>
  <c r="T626" i="3" l="1"/>
  <c r="E626" i="3" s="1"/>
  <c r="H626" i="3" s="1"/>
  <c r="AG626" i="3" l="1"/>
  <c r="K626" i="3"/>
  <c r="AE626" i="3" s="1"/>
  <c r="D626" i="3"/>
  <c r="AH626" i="3"/>
  <c r="V626" i="3" l="1"/>
  <c r="A627" i="3"/>
  <c r="B627" i="3" s="1"/>
  <c r="F626" i="3"/>
  <c r="G626" i="3"/>
  <c r="I626" i="3" l="1"/>
  <c r="W626" i="3" s="1"/>
  <c r="J626" i="3"/>
  <c r="M626" i="3"/>
  <c r="N626" i="3" s="1"/>
  <c r="Z627" i="3"/>
  <c r="AD627" i="3"/>
  <c r="P627" i="3"/>
  <c r="Q627" i="3" s="1"/>
  <c r="R627" i="3" s="1"/>
  <c r="S627" i="3" s="1"/>
  <c r="AC627" i="3"/>
  <c r="AA627" i="3"/>
  <c r="L626" i="3" l="1"/>
  <c r="T627" i="3"/>
  <c r="AG627" i="3" l="1"/>
  <c r="U626" i="3"/>
  <c r="D627" i="3" s="1"/>
  <c r="AH627" i="3"/>
  <c r="Y625" i="3"/>
  <c r="G627" i="3" l="1"/>
  <c r="E627" i="3"/>
  <c r="H627" i="3" s="1"/>
  <c r="K627" i="3" l="1"/>
  <c r="AE627" i="3" s="1"/>
  <c r="I627" i="3"/>
  <c r="J627" i="3"/>
  <c r="M627" i="3"/>
  <c r="N627" i="3" s="1"/>
  <c r="F627" i="3"/>
  <c r="L627" i="3" l="1"/>
  <c r="V627" i="3"/>
  <c r="W627" i="3" s="1"/>
  <c r="A628" i="3"/>
  <c r="B628" i="3" s="1"/>
  <c r="Z628" i="3" l="1"/>
  <c r="AA628" i="3"/>
  <c r="P628" i="3"/>
  <c r="Q628" i="3" s="1"/>
  <c r="R628" i="3" s="1"/>
  <c r="S628" i="3" s="1"/>
  <c r="AC628" i="3"/>
  <c r="AD628" i="3"/>
  <c r="U627" i="3"/>
  <c r="Y626" i="3"/>
  <c r="T628" i="3" l="1"/>
  <c r="D628" i="3" l="1"/>
  <c r="E628" i="3"/>
  <c r="H628" i="3" s="1"/>
  <c r="AG628" i="3"/>
  <c r="AH628" i="3"/>
  <c r="F628" i="3" l="1"/>
  <c r="G628" i="3"/>
  <c r="K628" i="3"/>
  <c r="AE628" i="3" s="1"/>
  <c r="I628" i="3" l="1"/>
  <c r="J628" i="3"/>
  <c r="M628" i="3"/>
  <c r="N628" i="3" s="1"/>
  <c r="V628" i="3"/>
  <c r="A629" i="3"/>
  <c r="B629" i="3" s="1"/>
  <c r="W628" i="3" l="1"/>
  <c r="L628" i="3"/>
  <c r="AC629" i="3"/>
  <c r="AA629" i="3"/>
  <c r="P629" i="3"/>
  <c r="Q629" i="3" s="1"/>
  <c r="R629" i="3" s="1"/>
  <c r="S629" i="3" s="1"/>
  <c r="AD629" i="3"/>
  <c r="Z629" i="3"/>
  <c r="T629" i="3" l="1"/>
  <c r="U628" i="3"/>
  <c r="Y627" i="3"/>
  <c r="E629" i="3" l="1"/>
  <c r="H629" i="3" s="1"/>
  <c r="K629" i="3" s="1"/>
  <c r="AE629" i="3" s="1"/>
  <c r="AH629" i="3"/>
  <c r="AG629" i="3"/>
  <c r="D629" i="3"/>
  <c r="F629" i="3" l="1"/>
  <c r="G629" i="3"/>
  <c r="V629" i="3"/>
  <c r="A630" i="3"/>
  <c r="B630" i="3" s="1"/>
  <c r="I629" i="3" l="1"/>
  <c r="W629" i="3" s="1"/>
  <c r="J629" i="3"/>
  <c r="M629" i="3"/>
  <c r="N629" i="3" s="1"/>
  <c r="AD630" i="3"/>
  <c r="P630" i="3"/>
  <c r="Q630" i="3" s="1"/>
  <c r="R630" i="3" s="1"/>
  <c r="S630" i="3" s="1"/>
  <c r="AC630" i="3"/>
  <c r="AA630" i="3"/>
  <c r="Z630" i="3"/>
  <c r="T630" i="3" l="1"/>
  <c r="L629" i="3"/>
  <c r="U629" i="3" l="1"/>
  <c r="D630" i="3" s="1"/>
  <c r="AH630" i="3"/>
  <c r="AG630" i="3"/>
  <c r="Y628" i="3"/>
  <c r="G630" i="3" l="1"/>
  <c r="E630" i="3"/>
  <c r="H630" i="3" s="1"/>
  <c r="F630" i="3" l="1"/>
  <c r="K630" i="3"/>
  <c r="AE630" i="3" s="1"/>
  <c r="I630" i="3"/>
  <c r="J630" i="3"/>
  <c r="M630" i="3"/>
  <c r="N630" i="3" s="1"/>
  <c r="V630" i="3" l="1"/>
  <c r="W630" i="3" s="1"/>
  <c r="A631" i="3"/>
  <c r="B631" i="3" s="1"/>
  <c r="L630" i="3"/>
  <c r="U630" i="3" l="1"/>
  <c r="Y629" i="3"/>
  <c r="AD631" i="3"/>
  <c r="P631" i="3"/>
  <c r="Q631" i="3" s="1"/>
  <c r="R631" i="3" s="1"/>
  <c r="S631" i="3" s="1"/>
  <c r="AC631" i="3"/>
  <c r="AA631" i="3"/>
  <c r="Z631" i="3"/>
  <c r="T631" i="3" l="1"/>
  <c r="D631" i="3" s="1"/>
  <c r="AH631" i="3" l="1"/>
  <c r="E631" i="3"/>
  <c r="H631" i="3" s="1"/>
  <c r="K631" i="3" s="1"/>
  <c r="AE631" i="3" s="1"/>
  <c r="G631" i="3"/>
  <c r="AG631" i="3"/>
  <c r="F631" i="3" l="1"/>
  <c r="I631" i="3"/>
  <c r="J631" i="3"/>
  <c r="M631" i="3"/>
  <c r="N631" i="3" s="1"/>
  <c r="V631" i="3"/>
  <c r="A632" i="3"/>
  <c r="B632" i="3" s="1"/>
  <c r="L631" i="3" l="1"/>
  <c r="W631" i="3"/>
  <c r="AC632" i="3"/>
  <c r="AA632" i="3"/>
  <c r="Z632" i="3"/>
  <c r="P632" i="3"/>
  <c r="Q632" i="3" s="1"/>
  <c r="R632" i="3" s="1"/>
  <c r="S632" i="3" s="1"/>
  <c r="AD632" i="3"/>
  <c r="T632" i="3" l="1"/>
  <c r="U631" i="3"/>
  <c r="Y630" i="3"/>
  <c r="D632" i="3" l="1"/>
  <c r="G632" i="3" s="1"/>
  <c r="E632" i="3"/>
  <c r="H632" i="3" s="1"/>
  <c r="K632" i="3" s="1"/>
  <c r="AE632" i="3" s="1"/>
  <c r="AG632" i="3"/>
  <c r="AH632" i="3"/>
  <c r="F632" i="3" l="1"/>
  <c r="I632" i="3"/>
  <c r="J632" i="3"/>
  <c r="M632" i="3"/>
  <c r="N632" i="3" s="1"/>
  <c r="V632" i="3"/>
  <c r="A633" i="3"/>
  <c r="B633" i="3" s="1"/>
  <c r="W632" i="3" l="1"/>
  <c r="L632" i="3"/>
  <c r="AD633" i="3"/>
  <c r="Z633" i="3"/>
  <c r="AC633" i="3"/>
  <c r="P633" i="3"/>
  <c r="Q633" i="3" s="1"/>
  <c r="R633" i="3" s="1"/>
  <c r="S633" i="3" s="1"/>
  <c r="AA633" i="3"/>
  <c r="U632" i="3" l="1"/>
  <c r="Y631" i="3"/>
  <c r="T633" i="3"/>
  <c r="AG633" i="3" s="1"/>
  <c r="D633" i="3" l="1"/>
  <c r="G633" i="3" s="1"/>
  <c r="E633" i="3"/>
  <c r="H633" i="3" s="1"/>
  <c r="K633" i="3" s="1"/>
  <c r="AE633" i="3" s="1"/>
  <c r="AH633" i="3"/>
  <c r="F633" i="3" l="1"/>
  <c r="V633" i="3"/>
  <c r="A634" i="3"/>
  <c r="B634" i="3" s="1"/>
  <c r="I633" i="3"/>
  <c r="J633" i="3"/>
  <c r="M633" i="3"/>
  <c r="N633" i="3" s="1"/>
  <c r="L633" i="3" l="1"/>
  <c r="W633" i="3"/>
  <c r="P634" i="3"/>
  <c r="Q634" i="3" s="1"/>
  <c r="R634" i="3" s="1"/>
  <c r="S634" i="3" s="1"/>
  <c r="AA634" i="3"/>
  <c r="AC634" i="3"/>
  <c r="Z634" i="3"/>
  <c r="U633" i="3" l="1"/>
  <c r="Y632" i="3"/>
  <c r="T634" i="3"/>
  <c r="AH634" i="3" s="1"/>
  <c r="E634" i="3" l="1"/>
  <c r="H634" i="3" s="1"/>
  <c r="K634" i="3" s="1"/>
  <c r="AE634" i="3" s="1"/>
  <c r="AG634" i="3"/>
  <c r="D634" i="3"/>
  <c r="F634" i="3" l="1"/>
  <c r="G634" i="3"/>
  <c r="V634" i="3"/>
  <c r="A635" i="3"/>
  <c r="B635" i="3" s="1"/>
  <c r="Z635" i="3" l="1"/>
  <c r="AA635" i="3"/>
  <c r="P635" i="3"/>
  <c r="Q635" i="3" s="1"/>
  <c r="R635" i="3" s="1"/>
  <c r="S635" i="3" s="1"/>
  <c r="AD635" i="3"/>
  <c r="AC635" i="3"/>
  <c r="I634" i="3"/>
  <c r="W634" i="3" s="1"/>
  <c r="J634" i="3"/>
  <c r="AD634" i="3" s="1"/>
  <c r="M634" i="3"/>
  <c r="N634" i="3" s="1"/>
  <c r="T635" i="3" l="1"/>
  <c r="L634" i="3"/>
  <c r="AH635" i="3" l="1"/>
  <c r="U634" i="3"/>
  <c r="D635" i="3" s="1"/>
  <c r="AG635" i="3"/>
  <c r="Y633" i="3"/>
  <c r="E635" i="3" l="1"/>
  <c r="H635" i="3" s="1"/>
  <c r="K635" i="3" s="1"/>
  <c r="AE635" i="3" s="1"/>
  <c r="G635" i="3"/>
  <c r="F635" i="3" l="1"/>
  <c r="I635" i="3"/>
  <c r="J635" i="3"/>
  <c r="M635" i="3"/>
  <c r="N635" i="3" s="1"/>
  <c r="V635" i="3"/>
  <c r="A636" i="3"/>
  <c r="B636" i="3" s="1"/>
  <c r="W635" i="3" l="1"/>
  <c r="L635" i="3"/>
  <c r="AC636" i="3"/>
  <c r="AD636" i="3"/>
  <c r="AA636" i="3"/>
  <c r="P636" i="3"/>
  <c r="Q636" i="3" s="1"/>
  <c r="R636" i="3" s="1"/>
  <c r="S636" i="3" s="1"/>
  <c r="Z636" i="3"/>
  <c r="U635" i="3" l="1"/>
  <c r="Y634" i="3"/>
  <c r="T636" i="3"/>
  <c r="AG636" i="3" s="1"/>
  <c r="AH636" i="3" l="1"/>
  <c r="D636" i="3"/>
  <c r="E636" i="3"/>
  <c r="H636" i="3" s="1"/>
  <c r="F636" i="3" l="1"/>
  <c r="G636" i="3"/>
  <c r="K636" i="3"/>
  <c r="AE636" i="3" s="1"/>
  <c r="I636" i="3" l="1"/>
  <c r="J636" i="3"/>
  <c r="M636" i="3"/>
  <c r="N636" i="3" s="1"/>
  <c r="V636" i="3"/>
  <c r="A637" i="3"/>
  <c r="B637" i="3" s="1"/>
  <c r="W636" i="3" l="1"/>
  <c r="L636" i="3"/>
  <c r="Z637" i="3"/>
  <c r="P637" i="3"/>
  <c r="Q637" i="3" s="1"/>
  <c r="R637" i="3" s="1"/>
  <c r="S637" i="3" s="1"/>
  <c r="AC637" i="3"/>
  <c r="AD637" i="3"/>
  <c r="AA637" i="3"/>
  <c r="U636" i="3" l="1"/>
  <c r="Y635" i="3"/>
  <c r="T637" i="3"/>
  <c r="AG637" i="3" s="1"/>
  <c r="D637" i="3" l="1"/>
  <c r="AH637" i="3"/>
  <c r="E637" i="3"/>
  <c r="H637" i="3" s="1"/>
  <c r="F637" i="3" l="1"/>
  <c r="G637" i="3"/>
  <c r="K637" i="3"/>
  <c r="AE637" i="3" s="1"/>
  <c r="I637" i="3" l="1"/>
  <c r="J637" i="3"/>
  <c r="M637" i="3"/>
  <c r="N637" i="3" s="1"/>
  <c r="V637" i="3"/>
  <c r="A638" i="3"/>
  <c r="B638" i="3" s="1"/>
  <c r="W637" i="3" l="1"/>
  <c r="L637" i="3"/>
  <c r="P638" i="3"/>
  <c r="Q638" i="3" s="1"/>
  <c r="R638" i="3" s="1"/>
  <c r="S638" i="3" s="1"/>
  <c r="AD638" i="3"/>
  <c r="AC638" i="3"/>
  <c r="AA638" i="3"/>
  <c r="Z638" i="3"/>
  <c r="T638" i="3" l="1"/>
  <c r="AG638" i="3" s="1"/>
  <c r="U637" i="3"/>
  <c r="Y636" i="3"/>
  <c r="D638" i="3" l="1"/>
  <c r="G638" i="3" s="1"/>
  <c r="E638" i="3"/>
  <c r="H638" i="3" s="1"/>
  <c r="AH638" i="3"/>
  <c r="F638" i="3" l="1"/>
  <c r="I638" i="3"/>
  <c r="J638" i="3"/>
  <c r="M638" i="3"/>
  <c r="N638" i="3" s="1"/>
  <c r="K638" i="3"/>
  <c r="AE638" i="3" s="1"/>
  <c r="V638" i="3" l="1"/>
  <c r="W638" i="3" s="1"/>
  <c r="A639" i="3"/>
  <c r="B639" i="3" s="1"/>
  <c r="L638" i="3"/>
  <c r="U638" i="3" l="1"/>
  <c r="Y637" i="3"/>
  <c r="AC639" i="3"/>
  <c r="P639" i="3"/>
  <c r="Q639" i="3" s="1"/>
  <c r="R639" i="3" s="1"/>
  <c r="S639" i="3" s="1"/>
  <c r="AA639" i="3"/>
  <c r="AD639" i="3"/>
  <c r="Z639" i="3"/>
  <c r="T639" i="3" l="1"/>
  <c r="D639" i="3" s="1"/>
  <c r="AG639" i="3" l="1"/>
  <c r="E639" i="3"/>
  <c r="H639" i="3" s="1"/>
  <c r="K639" i="3" s="1"/>
  <c r="AE639" i="3" s="1"/>
  <c r="AH639" i="3"/>
  <c r="G639" i="3"/>
  <c r="F639" i="3" l="1"/>
  <c r="V639" i="3"/>
  <c r="A640" i="3"/>
  <c r="B640" i="3" s="1"/>
  <c r="I639" i="3"/>
  <c r="J639" i="3"/>
  <c r="M639" i="3"/>
  <c r="N639" i="3" s="1"/>
  <c r="W639" i="3" l="1"/>
  <c r="L639" i="3"/>
  <c r="AD640" i="3"/>
  <c r="P640" i="3"/>
  <c r="Q640" i="3" s="1"/>
  <c r="R640" i="3" s="1"/>
  <c r="S640" i="3" s="1"/>
  <c r="AA640" i="3"/>
  <c r="AC640" i="3"/>
  <c r="Z640" i="3"/>
  <c r="U639" i="3" l="1"/>
  <c r="Y638" i="3"/>
  <c r="T640" i="3"/>
  <c r="E640" i="3" l="1"/>
  <c r="H640" i="3" s="1"/>
  <c r="K640" i="3" s="1"/>
  <c r="AE640" i="3" s="1"/>
  <c r="D640" i="3"/>
  <c r="AG640" i="3"/>
  <c r="AH640" i="3"/>
  <c r="F640" i="3" l="1"/>
  <c r="G640" i="3"/>
  <c r="V640" i="3"/>
  <c r="A641" i="3"/>
  <c r="B641" i="3" s="1"/>
  <c r="AC641" i="3" l="1"/>
  <c r="AA641" i="3"/>
  <c r="AD641" i="3"/>
  <c r="Z641" i="3"/>
  <c r="P641" i="3"/>
  <c r="Q641" i="3" s="1"/>
  <c r="R641" i="3" s="1"/>
  <c r="S641" i="3" s="1"/>
  <c r="I640" i="3"/>
  <c r="W640" i="3" s="1"/>
  <c r="J640" i="3"/>
  <c r="M640" i="3"/>
  <c r="N640" i="3" s="1"/>
  <c r="L640" i="3" l="1"/>
  <c r="T641" i="3"/>
  <c r="U640" i="3" l="1"/>
  <c r="E641" i="3" s="1"/>
  <c r="H641" i="3" s="1"/>
  <c r="AG641" i="3"/>
  <c r="AH641" i="3"/>
  <c r="Y639" i="3"/>
  <c r="K641" i="3" l="1"/>
  <c r="AE641" i="3" s="1"/>
  <c r="D641" i="3"/>
  <c r="V641" i="3" l="1"/>
  <c r="A642" i="3"/>
  <c r="B642" i="3" s="1"/>
  <c r="F641" i="3"/>
  <c r="G641" i="3"/>
  <c r="I641" i="3" l="1"/>
  <c r="W641" i="3" s="1"/>
  <c r="J641" i="3"/>
  <c r="M641" i="3"/>
  <c r="N641" i="3" s="1"/>
  <c r="Z642" i="3"/>
  <c r="AD642" i="3"/>
  <c r="P642" i="3"/>
  <c r="Q642" i="3" s="1"/>
  <c r="R642" i="3" s="1"/>
  <c r="S642" i="3" s="1"/>
  <c r="AC642" i="3"/>
  <c r="AA642" i="3"/>
  <c r="T642" i="3" l="1"/>
  <c r="L641" i="3"/>
  <c r="U641" i="3" l="1"/>
  <c r="D642" i="3" s="1"/>
  <c r="AG642" i="3"/>
  <c r="AH642" i="3"/>
  <c r="Y640" i="3"/>
  <c r="E642" i="3" l="1"/>
  <c r="H642" i="3" s="1"/>
  <c r="K642" i="3" s="1"/>
  <c r="AE642" i="3" s="1"/>
  <c r="G642" i="3"/>
  <c r="F642" i="3" l="1"/>
  <c r="I642" i="3"/>
  <c r="J642" i="3"/>
  <c r="M642" i="3"/>
  <c r="N642" i="3" s="1"/>
  <c r="V642" i="3"/>
  <c r="A643" i="3"/>
  <c r="B643" i="3" s="1"/>
  <c r="W642" i="3" l="1"/>
  <c r="L642" i="3"/>
  <c r="AA643" i="3"/>
  <c r="AD643" i="3"/>
  <c r="AC643" i="3"/>
  <c r="P643" i="3"/>
  <c r="Q643" i="3" s="1"/>
  <c r="R643" i="3" s="1"/>
  <c r="S643" i="3" s="1"/>
  <c r="Z643" i="3"/>
  <c r="U642" i="3" l="1"/>
  <c r="Y641" i="3"/>
  <c r="T643" i="3"/>
  <c r="AH643" i="3" s="1"/>
  <c r="AG643" i="3" l="1"/>
  <c r="E643" i="3"/>
  <c r="H643" i="3" s="1"/>
  <c r="K643" i="3" s="1"/>
  <c r="AE643" i="3" s="1"/>
  <c r="D643" i="3"/>
  <c r="F643" i="3" l="1"/>
  <c r="G643" i="3"/>
  <c r="M643" i="3" s="1"/>
  <c r="N643" i="3" s="1"/>
  <c r="V643" i="3"/>
  <c r="A644" i="3"/>
  <c r="B644" i="3" s="1"/>
  <c r="I643" i="3" l="1"/>
  <c r="W643" i="3" s="1"/>
  <c r="J643" i="3"/>
  <c r="L643" i="3" s="1"/>
  <c r="P644" i="3"/>
  <c r="Q644" i="3" s="1"/>
  <c r="R644" i="3" s="1"/>
  <c r="S644" i="3" s="1"/>
  <c r="AA644" i="3"/>
  <c r="AC644" i="3"/>
  <c r="Z644" i="3"/>
  <c r="U643" i="3" l="1"/>
  <c r="Y642" i="3"/>
  <c r="T644" i="3"/>
  <c r="AG644" i="3" s="1"/>
  <c r="AH644" i="3" l="1"/>
  <c r="D644" i="3"/>
  <c r="E644" i="3"/>
  <c r="H644" i="3" s="1"/>
  <c r="K644" i="3" l="1"/>
  <c r="AE644" i="3" s="1"/>
  <c r="F644" i="3"/>
  <c r="G644" i="3"/>
  <c r="I644" i="3" l="1"/>
  <c r="J644" i="3"/>
  <c r="AD644" i="3" s="1"/>
  <c r="M644" i="3"/>
  <c r="N644" i="3" s="1"/>
  <c r="V644" i="3"/>
  <c r="A645" i="3"/>
  <c r="B645" i="3" s="1"/>
  <c r="L644" i="3" l="1"/>
  <c r="W644" i="3"/>
  <c r="Z645" i="3"/>
  <c r="P645" i="3"/>
  <c r="Q645" i="3" s="1"/>
  <c r="R645" i="3" s="1"/>
  <c r="S645" i="3" s="1"/>
  <c r="AD645" i="3"/>
  <c r="AA645" i="3"/>
  <c r="AC645" i="3"/>
  <c r="U644" i="3" l="1"/>
  <c r="Y643" i="3"/>
  <c r="T645" i="3"/>
  <c r="AG645" i="3" s="1"/>
  <c r="D645" i="3" l="1"/>
  <c r="AH645" i="3"/>
  <c r="E645" i="3"/>
  <c r="H645" i="3" s="1"/>
  <c r="F645" i="3" l="1"/>
  <c r="G645" i="3"/>
  <c r="K645" i="3"/>
  <c r="AE645" i="3" s="1"/>
  <c r="I645" i="3" l="1"/>
  <c r="J645" i="3"/>
  <c r="M645" i="3"/>
  <c r="N645" i="3" s="1"/>
  <c r="V645" i="3"/>
  <c r="A646" i="3"/>
  <c r="B646" i="3" s="1"/>
  <c r="W645" i="3" l="1"/>
  <c r="L645" i="3"/>
  <c r="AA646" i="3"/>
  <c r="Z646" i="3"/>
  <c r="AC646" i="3"/>
  <c r="AD646" i="3"/>
  <c r="P646" i="3"/>
  <c r="Q646" i="3" s="1"/>
  <c r="R646" i="3" s="1"/>
  <c r="S646" i="3" s="1"/>
  <c r="U645" i="3" l="1"/>
  <c r="Y644" i="3"/>
  <c r="T646" i="3"/>
  <c r="AG646" i="3" s="1"/>
  <c r="E646" i="3" l="1"/>
  <c r="H646" i="3" s="1"/>
  <c r="D646" i="3"/>
  <c r="AH646" i="3"/>
  <c r="F646" i="3" l="1"/>
  <c r="G646" i="3"/>
  <c r="K646" i="3"/>
  <c r="AE646" i="3" s="1"/>
  <c r="I646" i="3" l="1"/>
  <c r="J646" i="3"/>
  <c r="M646" i="3"/>
  <c r="N646" i="3" s="1"/>
  <c r="V646" i="3"/>
  <c r="A647" i="3"/>
  <c r="B647" i="3" s="1"/>
  <c r="L646" i="3" l="1"/>
  <c r="W646" i="3"/>
  <c r="P647" i="3"/>
  <c r="Q647" i="3" s="1"/>
  <c r="R647" i="3" s="1"/>
  <c r="S647" i="3" s="1"/>
  <c r="AC647" i="3"/>
  <c r="AA647" i="3"/>
  <c r="AD647" i="3"/>
  <c r="Z647" i="3"/>
  <c r="U646" i="3" l="1"/>
  <c r="Y645" i="3"/>
  <c r="T647" i="3"/>
  <c r="AG647" i="3" s="1"/>
  <c r="E647" i="3" l="1"/>
  <c r="H647" i="3" s="1"/>
  <c r="D647" i="3"/>
  <c r="AH647" i="3"/>
  <c r="F647" i="3" l="1"/>
  <c r="G647" i="3"/>
  <c r="K647" i="3"/>
  <c r="AE647" i="3" s="1"/>
  <c r="V647" i="3" l="1"/>
  <c r="A648" i="3"/>
  <c r="B648" i="3" s="1"/>
  <c r="I647" i="3"/>
  <c r="J647" i="3"/>
  <c r="M647" i="3"/>
  <c r="N647" i="3" s="1"/>
  <c r="W647" i="3" l="1"/>
  <c r="L647" i="3"/>
  <c r="AC648" i="3"/>
  <c r="AA648" i="3"/>
  <c r="P648" i="3"/>
  <c r="Q648" i="3" s="1"/>
  <c r="R648" i="3" s="1"/>
  <c r="S648" i="3" s="1"/>
  <c r="Z648" i="3"/>
  <c r="AD648" i="3"/>
  <c r="T648" i="3" l="1"/>
  <c r="AH648" i="3" s="1"/>
  <c r="U647" i="3"/>
  <c r="Y646" i="3"/>
  <c r="D648" i="3" l="1"/>
  <c r="AG648" i="3"/>
  <c r="E648" i="3"/>
  <c r="H648" i="3" s="1"/>
  <c r="F648" i="3" l="1"/>
  <c r="G648" i="3"/>
  <c r="K648" i="3"/>
  <c r="AE648" i="3" s="1"/>
  <c r="I648" i="3" l="1"/>
  <c r="J648" i="3"/>
  <c r="M648" i="3"/>
  <c r="N648" i="3" s="1"/>
  <c r="V648" i="3"/>
  <c r="A649" i="3"/>
  <c r="B649" i="3" s="1"/>
  <c r="W648" i="3" l="1"/>
  <c r="L648" i="3"/>
  <c r="AC649" i="3"/>
  <c r="AA649" i="3"/>
  <c r="AD649" i="3"/>
  <c r="P649" i="3"/>
  <c r="Q649" i="3" s="1"/>
  <c r="R649" i="3" s="1"/>
  <c r="S649" i="3" s="1"/>
  <c r="Z649" i="3"/>
  <c r="U648" i="3" l="1"/>
  <c r="Y647" i="3"/>
  <c r="T649" i="3"/>
  <c r="E649" i="3" l="1"/>
  <c r="H649" i="3" s="1"/>
  <c r="K649" i="3" s="1"/>
  <c r="AE649" i="3" s="1"/>
  <c r="D649" i="3"/>
  <c r="AH649" i="3"/>
  <c r="AG649" i="3"/>
  <c r="V649" i="3" l="1"/>
  <c r="A650" i="3"/>
  <c r="B650" i="3" s="1"/>
  <c r="F649" i="3"/>
  <c r="G649" i="3"/>
  <c r="I649" i="3" l="1"/>
  <c r="W649" i="3" s="1"/>
  <c r="J649" i="3"/>
  <c r="M649" i="3"/>
  <c r="N649" i="3" s="1"/>
  <c r="AA650" i="3"/>
  <c r="P650" i="3"/>
  <c r="Q650" i="3" s="1"/>
  <c r="R650" i="3" s="1"/>
  <c r="S650" i="3" s="1"/>
  <c r="Z650" i="3"/>
  <c r="AD650" i="3"/>
  <c r="AC650" i="3"/>
  <c r="L649" i="3" l="1"/>
  <c r="T650" i="3"/>
  <c r="U649" i="3" l="1"/>
  <c r="E650" i="3" s="1"/>
  <c r="H650" i="3" s="1"/>
  <c r="AG650" i="3"/>
  <c r="AH650" i="3"/>
  <c r="Y648" i="3"/>
  <c r="K650" i="3" l="1"/>
  <c r="AE650" i="3" s="1"/>
  <c r="D650" i="3"/>
  <c r="V650" i="3" l="1"/>
  <c r="A651" i="3"/>
  <c r="B651" i="3" s="1"/>
  <c r="F650" i="3"/>
  <c r="G650" i="3"/>
  <c r="I650" i="3" l="1"/>
  <c r="W650" i="3" s="1"/>
  <c r="J650" i="3"/>
  <c r="M650" i="3"/>
  <c r="N650" i="3" s="1"/>
  <c r="Z651" i="3"/>
  <c r="AC651" i="3"/>
  <c r="P651" i="3"/>
  <c r="Q651" i="3" s="1"/>
  <c r="R651" i="3" s="1"/>
  <c r="S651" i="3" s="1"/>
  <c r="AA651" i="3"/>
  <c r="AD651" i="3"/>
  <c r="T651" i="3" l="1"/>
  <c r="L650" i="3"/>
  <c r="AH651" i="3" l="1"/>
  <c r="U650" i="3"/>
  <c r="E651" i="3" s="1"/>
  <c r="H651" i="3" s="1"/>
  <c r="AG651" i="3"/>
  <c r="Y649" i="3"/>
  <c r="D651" i="3" l="1"/>
  <c r="G651" i="3" s="1"/>
  <c r="K651" i="3"/>
  <c r="AE651" i="3" s="1"/>
  <c r="F651" i="3" l="1"/>
  <c r="I651" i="3"/>
  <c r="J651" i="3"/>
  <c r="M651" i="3"/>
  <c r="N651" i="3" s="1"/>
  <c r="V651" i="3"/>
  <c r="A652" i="3"/>
  <c r="B652" i="3" s="1"/>
  <c r="W651" i="3" l="1"/>
  <c r="L651" i="3"/>
  <c r="P652" i="3"/>
  <c r="Q652" i="3" s="1"/>
  <c r="R652" i="3" s="1"/>
  <c r="S652" i="3" s="1"/>
  <c r="AC652" i="3"/>
  <c r="AA652" i="3"/>
  <c r="Z652" i="3"/>
  <c r="AD652" i="3"/>
  <c r="U651" i="3" l="1"/>
  <c r="Y650" i="3"/>
  <c r="T652" i="3"/>
  <c r="E652" i="3" l="1"/>
  <c r="H652" i="3" s="1"/>
  <c r="K652" i="3" s="1"/>
  <c r="AE652" i="3" s="1"/>
  <c r="AH652" i="3"/>
  <c r="AG652" i="3"/>
  <c r="D652" i="3"/>
  <c r="G652" i="3" s="1"/>
  <c r="F652" i="3" l="1"/>
  <c r="V652" i="3"/>
  <c r="A653" i="3"/>
  <c r="B653" i="3" s="1"/>
  <c r="I652" i="3"/>
  <c r="J652" i="3"/>
  <c r="M652" i="3"/>
  <c r="N652" i="3" s="1"/>
  <c r="W652" i="3" l="1"/>
  <c r="L652" i="3"/>
  <c r="Z653" i="3"/>
  <c r="AA653" i="3"/>
  <c r="P653" i="3"/>
  <c r="Q653" i="3" s="1"/>
  <c r="R653" i="3" s="1"/>
  <c r="S653" i="3" s="1"/>
  <c r="AD653" i="3"/>
  <c r="AC653" i="3"/>
  <c r="T653" i="3" l="1"/>
  <c r="AG653" i="3" s="1"/>
  <c r="U652" i="3"/>
  <c r="Y651" i="3"/>
  <c r="AH653" i="3" l="1"/>
  <c r="E653" i="3"/>
  <c r="H653" i="3" s="1"/>
  <c r="D653" i="3"/>
  <c r="K653" i="3" l="1"/>
  <c r="AE653" i="3" s="1"/>
  <c r="F653" i="3"/>
  <c r="G653" i="3"/>
  <c r="V653" i="3" l="1"/>
  <c r="A654" i="3"/>
  <c r="B654" i="3" s="1"/>
  <c r="I653" i="3"/>
  <c r="J653" i="3"/>
  <c r="M653" i="3"/>
  <c r="N653" i="3" s="1"/>
  <c r="W653" i="3" l="1"/>
  <c r="L653" i="3"/>
  <c r="Z654" i="3"/>
  <c r="P654" i="3"/>
  <c r="Q654" i="3" s="1"/>
  <c r="R654" i="3" s="1"/>
  <c r="S654" i="3" s="1"/>
  <c r="AC654" i="3"/>
  <c r="AA654" i="3"/>
  <c r="T654" i="3" l="1"/>
  <c r="AG654" i="3" s="1"/>
  <c r="U653" i="3"/>
  <c r="Y652" i="3"/>
  <c r="AH654" i="3" l="1"/>
  <c r="E654" i="3"/>
  <c r="H654" i="3" s="1"/>
  <c r="D654" i="3"/>
  <c r="K654" i="3" l="1"/>
  <c r="AE654" i="3" s="1"/>
  <c r="F654" i="3"/>
  <c r="G654" i="3"/>
  <c r="V654" i="3" l="1"/>
  <c r="A655" i="3"/>
  <c r="B655" i="3" s="1"/>
  <c r="I654" i="3"/>
  <c r="J654" i="3"/>
  <c r="AD654" i="3" s="1"/>
  <c r="M654" i="3"/>
  <c r="N654" i="3" s="1"/>
  <c r="L654" i="3" l="1"/>
  <c r="AD655" i="3"/>
  <c r="AC655" i="3"/>
  <c r="P655" i="3"/>
  <c r="Q655" i="3" s="1"/>
  <c r="R655" i="3" s="1"/>
  <c r="S655" i="3" s="1"/>
  <c r="Z655" i="3"/>
  <c r="AA655" i="3"/>
  <c r="W654" i="3"/>
  <c r="U654" i="3" l="1"/>
  <c r="Y653" i="3"/>
  <c r="T655" i="3"/>
  <c r="AH655" i="3" s="1"/>
  <c r="AG655" i="3" l="1"/>
  <c r="D655" i="3"/>
  <c r="E655" i="3"/>
  <c r="H655" i="3" s="1"/>
  <c r="K655" i="3" l="1"/>
  <c r="AE655" i="3" s="1"/>
  <c r="F655" i="3"/>
  <c r="G655" i="3"/>
  <c r="V655" i="3" l="1"/>
  <c r="A656" i="3"/>
  <c r="B656" i="3" s="1"/>
  <c r="I655" i="3"/>
  <c r="J655" i="3"/>
  <c r="M655" i="3"/>
  <c r="N655" i="3" s="1"/>
  <c r="W655" i="3" l="1"/>
  <c r="L655" i="3"/>
  <c r="Z656" i="3"/>
  <c r="AA656" i="3"/>
  <c r="AD656" i="3"/>
  <c r="AC656" i="3"/>
  <c r="P656" i="3"/>
  <c r="Q656" i="3" s="1"/>
  <c r="R656" i="3" s="1"/>
  <c r="S656" i="3" s="1"/>
  <c r="T656" i="3" l="1"/>
  <c r="U655" i="3"/>
  <c r="Y654" i="3"/>
  <c r="E656" i="3" l="1"/>
  <c r="H656" i="3" s="1"/>
  <c r="K656" i="3" s="1"/>
  <c r="AE656" i="3" s="1"/>
  <c r="AH656" i="3"/>
  <c r="D656" i="3"/>
  <c r="AG656" i="3"/>
  <c r="F656" i="3" l="1"/>
  <c r="G656" i="3"/>
  <c r="V656" i="3"/>
  <c r="A657" i="3"/>
  <c r="B657" i="3" s="1"/>
  <c r="I656" i="3" l="1"/>
  <c r="W656" i="3" s="1"/>
  <c r="J656" i="3"/>
  <c r="M656" i="3"/>
  <c r="N656" i="3" s="1"/>
  <c r="AC657" i="3"/>
  <c r="AD657" i="3"/>
  <c r="P657" i="3"/>
  <c r="Q657" i="3" s="1"/>
  <c r="R657" i="3" s="1"/>
  <c r="S657" i="3" s="1"/>
  <c r="AA657" i="3"/>
  <c r="Z657" i="3"/>
  <c r="L656" i="3" l="1"/>
  <c r="T657" i="3"/>
  <c r="AH657" i="3" l="1"/>
  <c r="U656" i="3"/>
  <c r="E657" i="3" s="1"/>
  <c r="H657" i="3" s="1"/>
  <c r="AG657" i="3"/>
  <c r="Y655" i="3"/>
  <c r="D657" i="3" l="1"/>
  <c r="G657" i="3" s="1"/>
  <c r="K657" i="3"/>
  <c r="AE657" i="3" s="1"/>
  <c r="F657" i="3" l="1"/>
  <c r="I657" i="3"/>
  <c r="J657" i="3"/>
  <c r="M657" i="3"/>
  <c r="N657" i="3" s="1"/>
  <c r="V657" i="3"/>
  <c r="A658" i="3"/>
  <c r="B658" i="3" s="1"/>
  <c r="W657" i="3" l="1"/>
  <c r="L657" i="3"/>
  <c r="AC658" i="3"/>
  <c r="Z658" i="3"/>
  <c r="AD658" i="3"/>
  <c r="AA658" i="3"/>
  <c r="P658" i="3"/>
  <c r="Q658" i="3" s="1"/>
  <c r="R658" i="3" s="1"/>
  <c r="S658" i="3" s="1"/>
  <c r="U657" i="3" l="1"/>
  <c r="Y656" i="3"/>
  <c r="T658" i="3"/>
  <c r="AG658" i="3" s="1"/>
  <c r="E658" i="3" l="1"/>
  <c r="H658" i="3" s="1"/>
  <c r="D658" i="3"/>
  <c r="AH658" i="3"/>
  <c r="K658" i="3" l="1"/>
  <c r="AE658" i="3" s="1"/>
  <c r="F658" i="3"/>
  <c r="G658" i="3"/>
  <c r="I658" i="3" l="1"/>
  <c r="J658" i="3"/>
  <c r="M658" i="3"/>
  <c r="N658" i="3" s="1"/>
  <c r="V658" i="3"/>
  <c r="A659" i="3"/>
  <c r="B659" i="3" s="1"/>
  <c r="W658" i="3" l="1"/>
  <c r="L658" i="3"/>
  <c r="AA659" i="3"/>
  <c r="P659" i="3"/>
  <c r="Q659" i="3" s="1"/>
  <c r="R659" i="3" s="1"/>
  <c r="S659" i="3" s="1"/>
  <c r="Z659" i="3"/>
  <c r="AD659" i="3"/>
  <c r="AC659" i="3"/>
  <c r="U658" i="3" l="1"/>
  <c r="Y657" i="3"/>
  <c r="T659" i="3"/>
  <c r="AH659" i="3" s="1"/>
  <c r="E659" i="3" l="1"/>
  <c r="H659" i="3" s="1"/>
  <c r="K659" i="3" s="1"/>
  <c r="AE659" i="3" s="1"/>
  <c r="AG659" i="3"/>
  <c r="D659" i="3"/>
  <c r="G659" i="3" s="1"/>
  <c r="F659" i="3" l="1"/>
  <c r="I659" i="3"/>
  <c r="J659" i="3"/>
  <c r="M659" i="3"/>
  <c r="N659" i="3" s="1"/>
  <c r="V659" i="3"/>
  <c r="A660" i="3"/>
  <c r="B660" i="3" s="1"/>
  <c r="W659" i="3" l="1"/>
  <c r="L659" i="3"/>
  <c r="AA660" i="3"/>
  <c r="P660" i="3"/>
  <c r="Q660" i="3" s="1"/>
  <c r="R660" i="3" s="1"/>
  <c r="S660" i="3" s="1"/>
  <c r="AC660" i="3"/>
  <c r="AD660" i="3"/>
  <c r="Z660" i="3"/>
  <c r="T660" i="3" l="1"/>
  <c r="AH660" i="3" s="1"/>
  <c r="U659" i="3"/>
  <c r="Y658" i="3"/>
  <c r="AG660" i="3" l="1"/>
  <c r="D660" i="3"/>
  <c r="E660" i="3"/>
  <c r="H660" i="3" s="1"/>
  <c r="K660" i="3" l="1"/>
  <c r="AE660" i="3" s="1"/>
  <c r="F660" i="3"/>
  <c r="G660" i="3"/>
  <c r="I660" i="3" l="1"/>
  <c r="J660" i="3"/>
  <c r="M660" i="3"/>
  <c r="N660" i="3" s="1"/>
  <c r="V660" i="3"/>
  <c r="A661" i="3"/>
  <c r="B661" i="3" s="1"/>
  <c r="L660" i="3" l="1"/>
  <c r="W660" i="3"/>
  <c r="Z661" i="3"/>
  <c r="P661" i="3"/>
  <c r="Q661" i="3" s="1"/>
  <c r="R661" i="3" s="1"/>
  <c r="S661" i="3" s="1"/>
  <c r="AA661" i="3"/>
  <c r="AD661" i="3"/>
  <c r="AC661" i="3"/>
  <c r="T661" i="3" l="1"/>
  <c r="U660" i="3"/>
  <c r="Y659" i="3"/>
  <c r="E661" i="3" l="1"/>
  <c r="H661" i="3" s="1"/>
  <c r="K661" i="3" s="1"/>
  <c r="AE661" i="3" s="1"/>
  <c r="D661" i="3"/>
  <c r="AH661" i="3"/>
  <c r="AG661" i="3"/>
  <c r="V661" i="3" l="1"/>
  <c r="A662" i="3"/>
  <c r="B662" i="3" s="1"/>
  <c r="F661" i="3"/>
  <c r="G661" i="3"/>
  <c r="I661" i="3" l="1"/>
  <c r="W661" i="3" s="1"/>
  <c r="J661" i="3"/>
  <c r="M661" i="3"/>
  <c r="N661" i="3" s="1"/>
  <c r="P662" i="3"/>
  <c r="Q662" i="3" s="1"/>
  <c r="R662" i="3" s="1"/>
  <c r="S662" i="3" s="1"/>
  <c r="Z662" i="3"/>
  <c r="AD662" i="3"/>
  <c r="AA662" i="3"/>
  <c r="AC662" i="3"/>
  <c r="T662" i="3" l="1"/>
  <c r="L661" i="3"/>
  <c r="AH662" i="3" l="1"/>
  <c r="AG662" i="3"/>
  <c r="U661" i="3"/>
  <c r="E662" i="3" s="1"/>
  <c r="H662" i="3" s="1"/>
  <c r="Y660" i="3"/>
  <c r="D662" i="3" l="1"/>
  <c r="F662" i="3" s="1"/>
  <c r="K662" i="3"/>
  <c r="AE662" i="3" s="1"/>
  <c r="G662" i="3" l="1"/>
  <c r="I662" i="3" s="1"/>
  <c r="V662" i="3"/>
  <c r="A663" i="3"/>
  <c r="B663" i="3" s="1"/>
  <c r="J662" i="3" l="1"/>
  <c r="L662" i="3" s="1"/>
  <c r="M662" i="3"/>
  <c r="N662" i="3" s="1"/>
  <c r="W662" i="3"/>
  <c r="AA663" i="3"/>
  <c r="Z663" i="3"/>
  <c r="P663" i="3"/>
  <c r="Q663" i="3" s="1"/>
  <c r="R663" i="3" s="1"/>
  <c r="S663" i="3" s="1"/>
  <c r="AC663" i="3"/>
  <c r="AD663" i="3"/>
  <c r="U662" i="3" l="1"/>
  <c r="Y661" i="3"/>
  <c r="T663" i="3"/>
  <c r="E663" i="3" l="1"/>
  <c r="H663" i="3" s="1"/>
  <c r="K663" i="3" s="1"/>
  <c r="AE663" i="3" s="1"/>
  <c r="AG663" i="3"/>
  <c r="AH663" i="3"/>
  <c r="D663" i="3"/>
  <c r="F663" i="3" l="1"/>
  <c r="G663" i="3"/>
  <c r="V663" i="3"/>
  <c r="A664" i="3"/>
  <c r="B664" i="3" s="1"/>
  <c r="P664" i="3" l="1"/>
  <c r="Q664" i="3" s="1"/>
  <c r="R664" i="3" s="1"/>
  <c r="S664" i="3" s="1"/>
  <c r="AA664" i="3"/>
  <c r="AC664" i="3"/>
  <c r="Z664" i="3"/>
  <c r="I663" i="3"/>
  <c r="W663" i="3" s="1"/>
  <c r="J663" i="3"/>
  <c r="M663" i="3"/>
  <c r="N663" i="3" s="1"/>
  <c r="T664" i="3" l="1"/>
  <c r="L663" i="3"/>
  <c r="AH664" i="3" l="1"/>
  <c r="U663" i="3"/>
  <c r="E664" i="3" s="1"/>
  <c r="H664" i="3" s="1"/>
  <c r="AG664" i="3"/>
  <c r="Y662" i="3"/>
  <c r="D664" i="3" l="1"/>
  <c r="G664" i="3" s="1"/>
  <c r="K664" i="3"/>
  <c r="AE664" i="3" s="1"/>
  <c r="F664" i="3" l="1"/>
  <c r="I664" i="3"/>
  <c r="J664" i="3"/>
  <c r="AD664" i="3" s="1"/>
  <c r="M664" i="3"/>
  <c r="N664" i="3" s="1"/>
  <c r="V664" i="3"/>
  <c r="A665" i="3"/>
  <c r="B665" i="3" s="1"/>
  <c r="W664" i="3" l="1"/>
  <c r="L664" i="3"/>
  <c r="AC665" i="3"/>
  <c r="P665" i="3"/>
  <c r="Q665" i="3" s="1"/>
  <c r="R665" i="3" s="1"/>
  <c r="S665" i="3" s="1"/>
  <c r="AA665" i="3"/>
  <c r="Z665" i="3"/>
  <c r="AD665" i="3"/>
  <c r="U664" i="3" l="1"/>
  <c r="Y663" i="3"/>
  <c r="T665" i="3"/>
  <c r="D665" i="3" l="1"/>
  <c r="G665" i="3" s="1"/>
  <c r="AG665" i="3"/>
  <c r="E665" i="3"/>
  <c r="H665" i="3" s="1"/>
  <c r="AH665" i="3"/>
  <c r="F665" i="3" l="1"/>
  <c r="I665" i="3"/>
  <c r="J665" i="3"/>
  <c r="M665" i="3"/>
  <c r="N665" i="3" s="1"/>
  <c r="K665" i="3"/>
  <c r="AE665" i="3" s="1"/>
  <c r="L665" i="3" l="1"/>
  <c r="V665" i="3"/>
  <c r="W665" i="3" s="1"/>
  <c r="A666" i="3"/>
  <c r="B666" i="3" s="1"/>
  <c r="U665" i="3" l="1"/>
  <c r="Y664" i="3"/>
  <c r="AA666" i="3"/>
  <c r="AD666" i="3"/>
  <c r="P666" i="3"/>
  <c r="Q666" i="3" s="1"/>
  <c r="R666" i="3" s="1"/>
  <c r="S666" i="3" s="1"/>
  <c r="Z666" i="3"/>
  <c r="AC666" i="3"/>
  <c r="T666" i="3" l="1"/>
  <c r="D666" i="3" s="1"/>
  <c r="AG666" i="3" l="1"/>
  <c r="E666" i="3"/>
  <c r="H666" i="3" s="1"/>
  <c r="K666" i="3" s="1"/>
  <c r="AE666" i="3" s="1"/>
  <c r="AH666" i="3"/>
  <c r="G666" i="3"/>
  <c r="F666" i="3" l="1"/>
  <c r="I666" i="3"/>
  <c r="J666" i="3"/>
  <c r="M666" i="3"/>
  <c r="N666" i="3" s="1"/>
  <c r="V666" i="3"/>
  <c r="A667" i="3"/>
  <c r="B667" i="3" s="1"/>
  <c r="L666" i="3" l="1"/>
  <c r="W666" i="3"/>
  <c r="AC667" i="3"/>
  <c r="Z667" i="3"/>
  <c r="P667" i="3"/>
  <c r="Q667" i="3" s="1"/>
  <c r="R667" i="3" s="1"/>
  <c r="S667" i="3" s="1"/>
  <c r="AD667" i="3"/>
  <c r="AA667" i="3"/>
  <c r="U666" i="3" l="1"/>
  <c r="Y665" i="3"/>
  <c r="T667" i="3"/>
  <c r="AG667" i="3" s="1"/>
  <c r="D667" i="3" l="1"/>
  <c r="E667" i="3"/>
  <c r="H667" i="3" s="1"/>
  <c r="AH667" i="3"/>
  <c r="F667" i="3" l="1"/>
  <c r="G667" i="3"/>
  <c r="K667" i="3"/>
  <c r="AE667" i="3" s="1"/>
  <c r="I667" i="3" l="1"/>
  <c r="J667" i="3"/>
  <c r="M667" i="3"/>
  <c r="N667" i="3" s="1"/>
  <c r="V667" i="3"/>
  <c r="A668" i="3"/>
  <c r="B668" i="3" s="1"/>
  <c r="W667" i="3" l="1"/>
  <c r="L667" i="3"/>
  <c r="Z668" i="3"/>
  <c r="P668" i="3"/>
  <c r="Q668" i="3" s="1"/>
  <c r="R668" i="3" s="1"/>
  <c r="S668" i="3" s="1"/>
  <c r="AD668" i="3"/>
  <c r="AC668" i="3"/>
  <c r="AA668" i="3"/>
  <c r="T668" i="3" l="1"/>
  <c r="AH668" i="3" s="1"/>
  <c r="U667" i="3"/>
  <c r="Y666" i="3"/>
  <c r="D668" i="3" l="1"/>
  <c r="G668" i="3" s="1"/>
  <c r="AG668" i="3"/>
  <c r="E668" i="3"/>
  <c r="H668" i="3" s="1"/>
  <c r="F668" i="3" l="1"/>
  <c r="I668" i="3"/>
  <c r="J668" i="3"/>
  <c r="M668" i="3"/>
  <c r="N668" i="3" s="1"/>
  <c r="K668" i="3"/>
  <c r="AE668" i="3" s="1"/>
  <c r="L668" i="3" l="1"/>
  <c r="V668" i="3"/>
  <c r="W668" i="3" s="1"/>
  <c r="A669" i="3"/>
  <c r="B669" i="3" s="1"/>
  <c r="AA669" i="3" l="1"/>
  <c r="P669" i="3"/>
  <c r="Q669" i="3" s="1"/>
  <c r="R669" i="3" s="1"/>
  <c r="S669" i="3" s="1"/>
  <c r="AD669" i="3"/>
  <c r="AC669" i="3"/>
  <c r="Z669" i="3"/>
  <c r="U668" i="3"/>
  <c r="Y667" i="3"/>
  <c r="T669" i="3" l="1"/>
  <c r="AH669" i="3" l="1"/>
  <c r="AG669" i="3"/>
  <c r="D669" i="3"/>
  <c r="E669" i="3"/>
  <c r="H669" i="3" s="1"/>
  <c r="F669" i="3" l="1"/>
  <c r="G669" i="3"/>
  <c r="K669" i="3"/>
  <c r="AE669" i="3" s="1"/>
  <c r="V669" i="3" l="1"/>
  <c r="A670" i="3"/>
  <c r="B670" i="3" s="1"/>
  <c r="I669" i="3"/>
  <c r="J669" i="3"/>
  <c r="M669" i="3"/>
  <c r="N669" i="3" s="1"/>
  <c r="L669" i="3" l="1"/>
  <c r="W669" i="3"/>
  <c r="AD670" i="3"/>
  <c r="P670" i="3"/>
  <c r="Q670" i="3" s="1"/>
  <c r="R670" i="3" s="1"/>
  <c r="S670" i="3" s="1"/>
  <c r="AA670" i="3"/>
  <c r="Z670" i="3"/>
  <c r="AC670" i="3"/>
  <c r="T670" i="3" l="1"/>
  <c r="U669" i="3"/>
  <c r="Y668" i="3"/>
  <c r="E670" i="3" l="1"/>
  <c r="H670" i="3" s="1"/>
  <c r="K670" i="3" s="1"/>
  <c r="AE670" i="3" s="1"/>
  <c r="AH670" i="3"/>
  <c r="AG670" i="3"/>
  <c r="D670" i="3"/>
  <c r="V670" i="3" l="1"/>
  <c r="A671" i="3"/>
  <c r="B671" i="3" s="1"/>
  <c r="F670" i="3"/>
  <c r="G670" i="3"/>
  <c r="I670" i="3" l="1"/>
  <c r="W670" i="3" s="1"/>
  <c r="J670" i="3"/>
  <c r="M670" i="3"/>
  <c r="N670" i="3" s="1"/>
  <c r="AC671" i="3"/>
  <c r="Z671" i="3"/>
  <c r="AD671" i="3"/>
  <c r="AA671" i="3"/>
  <c r="P671" i="3"/>
  <c r="Q671" i="3" s="1"/>
  <c r="R671" i="3" s="1"/>
  <c r="S671" i="3" s="1"/>
  <c r="T671" i="3" l="1"/>
  <c r="L670" i="3"/>
  <c r="U670" i="3" l="1"/>
  <c r="E671" i="3" s="1"/>
  <c r="H671" i="3" s="1"/>
  <c r="AG671" i="3"/>
  <c r="AH671" i="3"/>
  <c r="Y669" i="3"/>
  <c r="D671" i="3" l="1"/>
  <c r="G671" i="3" s="1"/>
  <c r="K671" i="3"/>
  <c r="AE671" i="3" s="1"/>
  <c r="F671" i="3" l="1"/>
  <c r="V671" i="3"/>
  <c r="A672" i="3"/>
  <c r="B672" i="3" s="1"/>
  <c r="I671" i="3"/>
  <c r="J671" i="3"/>
  <c r="M671" i="3"/>
  <c r="N671" i="3" s="1"/>
  <c r="W671" i="3" l="1"/>
  <c r="L671" i="3"/>
  <c r="AD672" i="3"/>
  <c r="P672" i="3"/>
  <c r="Q672" i="3" s="1"/>
  <c r="R672" i="3" s="1"/>
  <c r="S672" i="3" s="1"/>
  <c r="AC672" i="3"/>
  <c r="Z672" i="3"/>
  <c r="AA672" i="3"/>
  <c r="T672" i="3" l="1"/>
  <c r="AG672" i="3" s="1"/>
  <c r="U671" i="3"/>
  <c r="Y670" i="3"/>
  <c r="E672" i="3" l="1"/>
  <c r="H672" i="3" s="1"/>
  <c r="K672" i="3" s="1"/>
  <c r="AE672" i="3" s="1"/>
  <c r="D672" i="3"/>
  <c r="AH672" i="3"/>
  <c r="F672" i="3" l="1"/>
  <c r="G672" i="3"/>
  <c r="V672" i="3"/>
  <c r="A673" i="3"/>
  <c r="B673" i="3" s="1"/>
  <c r="AC673" i="3" l="1"/>
  <c r="AA673" i="3"/>
  <c r="P673" i="3"/>
  <c r="Q673" i="3" s="1"/>
  <c r="R673" i="3" s="1"/>
  <c r="S673" i="3" s="1"/>
  <c r="AD673" i="3"/>
  <c r="Z673" i="3"/>
  <c r="I672" i="3"/>
  <c r="W672" i="3" s="1"/>
  <c r="J672" i="3"/>
  <c r="M672" i="3"/>
  <c r="N672" i="3" s="1"/>
  <c r="L672" i="3" l="1"/>
  <c r="T673" i="3"/>
  <c r="AH673" i="3" l="1"/>
  <c r="AG673" i="3"/>
  <c r="U672" i="3"/>
  <c r="E673" i="3" s="1"/>
  <c r="H673" i="3" s="1"/>
  <c r="Y671" i="3"/>
  <c r="K673" i="3" l="1"/>
  <c r="AE673" i="3" s="1"/>
  <c r="D673" i="3"/>
  <c r="V673" i="3" l="1"/>
  <c r="A674" i="3"/>
  <c r="B674" i="3" s="1"/>
  <c r="F673" i="3"/>
  <c r="G673" i="3"/>
  <c r="I673" i="3" l="1"/>
  <c r="W673" i="3" s="1"/>
  <c r="J673" i="3"/>
  <c r="M673" i="3"/>
  <c r="N673" i="3" s="1"/>
  <c r="P674" i="3"/>
  <c r="Q674" i="3" s="1"/>
  <c r="R674" i="3" s="1"/>
  <c r="S674" i="3" s="1"/>
  <c r="AA674" i="3"/>
  <c r="Z674" i="3"/>
  <c r="AC674" i="3"/>
  <c r="T674" i="3" l="1"/>
  <c r="L673" i="3"/>
  <c r="AH674" i="3" l="1"/>
  <c r="U673" i="3"/>
  <c r="E674" i="3" s="1"/>
  <c r="H674" i="3" s="1"/>
  <c r="AG674" i="3"/>
  <c r="Y672" i="3"/>
  <c r="D674" i="3" l="1"/>
  <c r="G674" i="3" s="1"/>
  <c r="K674" i="3"/>
  <c r="AE674" i="3" s="1"/>
  <c r="F674" i="3" l="1"/>
  <c r="I674" i="3"/>
  <c r="J674" i="3"/>
  <c r="AD674" i="3" s="1"/>
  <c r="M674" i="3"/>
  <c r="N674" i="3" s="1"/>
  <c r="V674" i="3"/>
  <c r="A675" i="3"/>
  <c r="B675" i="3" s="1"/>
  <c r="W674" i="3" l="1"/>
  <c r="L674" i="3"/>
  <c r="P675" i="3"/>
  <c r="Q675" i="3" s="1"/>
  <c r="R675" i="3" s="1"/>
  <c r="S675" i="3" s="1"/>
  <c r="AD675" i="3"/>
  <c r="AA675" i="3"/>
  <c r="AC675" i="3"/>
  <c r="Z675" i="3"/>
  <c r="U674" i="3" l="1"/>
  <c r="Y673" i="3"/>
  <c r="T675" i="3"/>
  <c r="AH675" i="3" s="1"/>
  <c r="AG675" i="3" l="1"/>
  <c r="D675" i="3"/>
  <c r="E675" i="3"/>
  <c r="H675" i="3" s="1"/>
  <c r="F675" i="3" l="1"/>
  <c r="G675" i="3"/>
  <c r="K675" i="3"/>
  <c r="AE675" i="3" s="1"/>
  <c r="I675" i="3" l="1"/>
  <c r="J675" i="3"/>
  <c r="M675" i="3"/>
  <c r="N675" i="3" s="1"/>
  <c r="V675" i="3"/>
  <c r="A676" i="3"/>
  <c r="B676" i="3" s="1"/>
  <c r="W675" i="3" l="1"/>
  <c r="L675" i="3"/>
  <c r="AD676" i="3"/>
  <c r="AC676" i="3"/>
  <c r="P676" i="3"/>
  <c r="Q676" i="3" s="1"/>
  <c r="R676" i="3" s="1"/>
  <c r="S676" i="3" s="1"/>
  <c r="Z676" i="3"/>
  <c r="AA676" i="3"/>
  <c r="T676" i="3" l="1"/>
  <c r="U675" i="3"/>
  <c r="Y674" i="3"/>
  <c r="E676" i="3" l="1"/>
  <c r="H676" i="3" s="1"/>
  <c r="K676" i="3" s="1"/>
  <c r="AE676" i="3" s="1"/>
  <c r="AH676" i="3"/>
  <c r="D676" i="3"/>
  <c r="G676" i="3" s="1"/>
  <c r="AG676" i="3"/>
  <c r="F676" i="3" l="1"/>
  <c r="I676" i="3"/>
  <c r="J676" i="3"/>
  <c r="M676" i="3"/>
  <c r="N676" i="3" s="1"/>
  <c r="V676" i="3"/>
  <c r="A677" i="3"/>
  <c r="B677" i="3" s="1"/>
  <c r="W676" i="3" l="1"/>
  <c r="L676" i="3"/>
  <c r="AA677" i="3"/>
  <c r="AC677" i="3"/>
  <c r="Z677" i="3"/>
  <c r="AD677" i="3"/>
  <c r="P677" i="3"/>
  <c r="Q677" i="3" s="1"/>
  <c r="R677" i="3" s="1"/>
  <c r="S677" i="3" s="1"/>
  <c r="U676" i="3" l="1"/>
  <c r="Y675" i="3"/>
  <c r="T677" i="3"/>
  <c r="AG677" i="3" s="1"/>
  <c r="D677" i="3" l="1"/>
  <c r="G677" i="3" s="1"/>
  <c r="AH677" i="3"/>
  <c r="E677" i="3"/>
  <c r="H677" i="3" s="1"/>
  <c r="F677" i="3" l="1"/>
  <c r="I677" i="3"/>
  <c r="J677" i="3"/>
  <c r="M677" i="3"/>
  <c r="N677" i="3" s="1"/>
  <c r="K677" i="3"/>
  <c r="AE677" i="3" s="1"/>
  <c r="V677" i="3" l="1"/>
  <c r="W677" i="3" s="1"/>
  <c r="A678" i="3"/>
  <c r="B678" i="3" s="1"/>
  <c r="L677" i="3"/>
  <c r="U677" i="3" l="1"/>
  <c r="Y676" i="3"/>
  <c r="AD678" i="3"/>
  <c r="P678" i="3"/>
  <c r="Q678" i="3" s="1"/>
  <c r="R678" i="3" s="1"/>
  <c r="S678" i="3" s="1"/>
  <c r="Z678" i="3"/>
  <c r="AC678" i="3"/>
  <c r="AA678" i="3"/>
  <c r="T678" i="3" l="1"/>
  <c r="AH678" i="3" s="1"/>
  <c r="E678" i="3" l="1"/>
  <c r="H678" i="3" s="1"/>
  <c r="K678" i="3" s="1"/>
  <c r="AE678" i="3" s="1"/>
  <c r="D678" i="3"/>
  <c r="AG678" i="3"/>
  <c r="F678" i="3" l="1"/>
  <c r="G678" i="3"/>
  <c r="J678" i="3" s="1"/>
  <c r="V678" i="3"/>
  <c r="A679" i="3"/>
  <c r="B679" i="3" s="1"/>
  <c r="M678" i="3" l="1"/>
  <c r="N678" i="3" s="1"/>
  <c r="I678" i="3"/>
  <c r="W678" i="3" s="1"/>
  <c r="L678" i="3"/>
  <c r="P679" i="3"/>
  <c r="Q679" i="3" s="1"/>
  <c r="R679" i="3" s="1"/>
  <c r="S679" i="3" s="1"/>
  <c r="AA679" i="3"/>
  <c r="Z679" i="3"/>
  <c r="AD679" i="3"/>
  <c r="AC679" i="3"/>
  <c r="T679" i="3" l="1"/>
  <c r="U678" i="3"/>
  <c r="Y677" i="3"/>
  <c r="E679" i="3" l="1"/>
  <c r="H679" i="3" s="1"/>
  <c r="K679" i="3" s="1"/>
  <c r="AE679" i="3" s="1"/>
  <c r="AH679" i="3"/>
  <c r="AG679" i="3"/>
  <c r="D679" i="3"/>
  <c r="F679" i="3" l="1"/>
  <c r="G679" i="3"/>
  <c r="V679" i="3"/>
  <c r="A680" i="3"/>
  <c r="B680" i="3" s="1"/>
  <c r="AC680" i="3" l="1"/>
  <c r="P680" i="3"/>
  <c r="Q680" i="3" s="1"/>
  <c r="R680" i="3" s="1"/>
  <c r="S680" i="3" s="1"/>
  <c r="AA680" i="3"/>
  <c r="Z680" i="3"/>
  <c r="AD680" i="3"/>
  <c r="I679" i="3"/>
  <c r="W679" i="3" s="1"/>
  <c r="J679" i="3"/>
  <c r="M679" i="3"/>
  <c r="N679" i="3" s="1"/>
  <c r="L679" i="3" l="1"/>
  <c r="T680" i="3"/>
  <c r="AH680" i="3" l="1"/>
  <c r="U679" i="3"/>
  <c r="E680" i="3" s="1"/>
  <c r="H680" i="3" s="1"/>
  <c r="AG680" i="3"/>
  <c r="Y678" i="3"/>
  <c r="D680" i="3" l="1"/>
  <c r="G680" i="3" s="1"/>
  <c r="K680" i="3"/>
  <c r="AE680" i="3" s="1"/>
  <c r="F680" i="3" l="1"/>
  <c r="I680" i="3"/>
  <c r="J680" i="3"/>
  <c r="M680" i="3"/>
  <c r="N680" i="3" s="1"/>
  <c r="V680" i="3"/>
  <c r="A681" i="3"/>
  <c r="B681" i="3" s="1"/>
  <c r="W680" i="3" l="1"/>
  <c r="L680" i="3"/>
  <c r="AD681" i="3"/>
  <c r="AA681" i="3"/>
  <c r="P681" i="3"/>
  <c r="Q681" i="3" s="1"/>
  <c r="R681" i="3" s="1"/>
  <c r="S681" i="3" s="1"/>
  <c r="Z681" i="3"/>
  <c r="AC681" i="3"/>
  <c r="U680" i="3" l="1"/>
  <c r="Y679" i="3"/>
  <c r="T681" i="3"/>
  <c r="E681" i="3" l="1"/>
  <c r="H681" i="3" s="1"/>
  <c r="K681" i="3" s="1"/>
  <c r="AE681" i="3" s="1"/>
  <c r="AG681" i="3"/>
  <c r="AH681" i="3"/>
  <c r="D681" i="3"/>
  <c r="F681" i="3" l="1"/>
  <c r="G681" i="3"/>
  <c r="V681" i="3"/>
  <c r="A682" i="3"/>
  <c r="B682" i="3" s="1"/>
  <c r="AD682" i="3" l="1"/>
  <c r="Z682" i="3"/>
  <c r="P682" i="3"/>
  <c r="Q682" i="3" s="1"/>
  <c r="R682" i="3" s="1"/>
  <c r="S682" i="3" s="1"/>
  <c r="AC682" i="3"/>
  <c r="AA682" i="3"/>
  <c r="I681" i="3"/>
  <c r="W681" i="3" s="1"/>
  <c r="J681" i="3"/>
  <c r="M681" i="3"/>
  <c r="N681" i="3" s="1"/>
  <c r="L681" i="3" l="1"/>
  <c r="T682" i="3"/>
  <c r="U681" i="3" l="1"/>
  <c r="E682" i="3" s="1"/>
  <c r="H682" i="3" s="1"/>
  <c r="AG682" i="3"/>
  <c r="AH682" i="3"/>
  <c r="Y680" i="3"/>
  <c r="D682" i="3" l="1"/>
  <c r="G682" i="3" s="1"/>
  <c r="K682" i="3"/>
  <c r="AE682" i="3" s="1"/>
  <c r="F682" i="3" l="1"/>
  <c r="V682" i="3"/>
  <c r="A683" i="3"/>
  <c r="B683" i="3" s="1"/>
  <c r="I682" i="3"/>
  <c r="J682" i="3"/>
  <c r="M682" i="3"/>
  <c r="N682" i="3" s="1"/>
  <c r="W682" i="3" l="1"/>
  <c r="L682" i="3"/>
  <c r="P683" i="3"/>
  <c r="Q683" i="3" s="1"/>
  <c r="R683" i="3" s="1"/>
  <c r="S683" i="3" s="1"/>
  <c r="AC683" i="3"/>
  <c r="AD683" i="3"/>
  <c r="AA683" i="3"/>
  <c r="Z683" i="3"/>
  <c r="U682" i="3" l="1"/>
  <c r="Y681" i="3"/>
  <c r="T683" i="3"/>
  <c r="E683" i="3" l="1"/>
  <c r="H683" i="3" s="1"/>
  <c r="K683" i="3" s="1"/>
  <c r="AE683" i="3" s="1"/>
  <c r="AH683" i="3"/>
  <c r="AG683" i="3"/>
  <c r="D683" i="3"/>
  <c r="F683" i="3" l="1"/>
  <c r="G683" i="3"/>
  <c r="V683" i="3"/>
  <c r="A684" i="3"/>
  <c r="B684" i="3" s="1"/>
  <c r="Z684" i="3" l="1"/>
  <c r="AA684" i="3"/>
  <c r="AC684" i="3"/>
  <c r="P684" i="3"/>
  <c r="Q684" i="3" s="1"/>
  <c r="R684" i="3" s="1"/>
  <c r="S684" i="3" s="1"/>
  <c r="I683" i="3"/>
  <c r="W683" i="3" s="1"/>
  <c r="J683" i="3"/>
  <c r="M683" i="3"/>
  <c r="N683" i="3" s="1"/>
  <c r="T684" i="3" l="1"/>
  <c r="L683" i="3"/>
  <c r="AH684" i="3" l="1"/>
  <c r="AG684" i="3"/>
  <c r="U683" i="3"/>
  <c r="D684" i="3" s="1"/>
  <c r="Y682" i="3"/>
  <c r="E684" i="3" l="1"/>
  <c r="H684" i="3" s="1"/>
  <c r="K684" i="3" s="1"/>
  <c r="AE684" i="3" s="1"/>
  <c r="G684" i="3"/>
  <c r="F684" i="3" l="1"/>
  <c r="V684" i="3"/>
  <c r="A685" i="3"/>
  <c r="B685" i="3" s="1"/>
  <c r="I684" i="3"/>
  <c r="J684" i="3"/>
  <c r="AD684" i="3" s="1"/>
  <c r="M684" i="3"/>
  <c r="N684" i="3" s="1"/>
  <c r="W684" i="3" l="1"/>
  <c r="L684" i="3"/>
  <c r="P685" i="3"/>
  <c r="Q685" i="3" s="1"/>
  <c r="R685" i="3" s="1"/>
  <c r="S685" i="3" s="1"/>
  <c r="Z685" i="3"/>
  <c r="AC685" i="3"/>
  <c r="AD685" i="3"/>
  <c r="AA685" i="3"/>
  <c r="U684" i="3" l="1"/>
  <c r="Y683" i="3"/>
  <c r="T685" i="3"/>
  <c r="AG685" i="3" s="1"/>
  <c r="D685" i="3" l="1"/>
  <c r="G685" i="3" s="1"/>
  <c r="E685" i="3"/>
  <c r="H685" i="3" s="1"/>
  <c r="AH685" i="3"/>
  <c r="F685" i="3" l="1"/>
  <c r="I685" i="3"/>
  <c r="J685" i="3"/>
  <c r="M685" i="3"/>
  <c r="N685" i="3" s="1"/>
  <c r="K685" i="3"/>
  <c r="AE685" i="3" s="1"/>
  <c r="V685" i="3" l="1"/>
  <c r="W685" i="3" s="1"/>
  <c r="A686" i="3"/>
  <c r="B686" i="3" s="1"/>
  <c r="L685" i="3"/>
  <c r="U685" i="3" l="1"/>
  <c r="Y684" i="3"/>
  <c r="AA686" i="3"/>
  <c r="AC686" i="3"/>
  <c r="AD686" i="3"/>
  <c r="P686" i="3"/>
  <c r="Q686" i="3" s="1"/>
  <c r="R686" i="3" s="1"/>
  <c r="S686" i="3" s="1"/>
  <c r="Z686" i="3"/>
  <c r="T686" i="3" l="1"/>
  <c r="D686" i="3" s="1"/>
  <c r="E686" i="3" l="1"/>
  <c r="H686" i="3" s="1"/>
  <c r="K686" i="3" s="1"/>
  <c r="AE686" i="3" s="1"/>
  <c r="AG686" i="3"/>
  <c r="AH686" i="3"/>
  <c r="G686" i="3"/>
  <c r="F686" i="3" l="1"/>
  <c r="V686" i="3"/>
  <c r="A687" i="3"/>
  <c r="B687" i="3" s="1"/>
  <c r="I686" i="3"/>
  <c r="J686" i="3"/>
  <c r="M686" i="3"/>
  <c r="N686" i="3" s="1"/>
  <c r="L686" i="3" l="1"/>
  <c r="W686" i="3"/>
  <c r="Z687" i="3"/>
  <c r="P687" i="3"/>
  <c r="Q687" i="3" s="1"/>
  <c r="R687" i="3" s="1"/>
  <c r="S687" i="3" s="1"/>
  <c r="AD687" i="3"/>
  <c r="AA687" i="3"/>
  <c r="AC687" i="3"/>
  <c r="U686" i="3" l="1"/>
  <c r="Y685" i="3"/>
  <c r="T687" i="3"/>
  <c r="AG687" i="3" s="1"/>
  <c r="AH687" i="3" l="1"/>
  <c r="D687" i="3"/>
  <c r="G687" i="3" s="1"/>
  <c r="E687" i="3"/>
  <c r="H687" i="3" s="1"/>
  <c r="K687" i="3" s="1"/>
  <c r="AE687" i="3" s="1"/>
  <c r="F687" i="3" l="1"/>
  <c r="I687" i="3"/>
  <c r="J687" i="3"/>
  <c r="M687" i="3"/>
  <c r="N687" i="3" s="1"/>
  <c r="V687" i="3"/>
  <c r="A688" i="3"/>
  <c r="B688" i="3" s="1"/>
  <c r="W687" i="3" l="1"/>
  <c r="L687" i="3"/>
  <c r="AC688" i="3"/>
  <c r="AA688" i="3"/>
  <c r="AD688" i="3"/>
  <c r="P688" i="3"/>
  <c r="Q688" i="3" s="1"/>
  <c r="R688" i="3" s="1"/>
  <c r="S688" i="3" s="1"/>
  <c r="Z688" i="3"/>
  <c r="U687" i="3" l="1"/>
  <c r="Y686" i="3"/>
  <c r="T688" i="3"/>
  <c r="AG688" i="3" s="1"/>
  <c r="E688" i="3" l="1"/>
  <c r="H688" i="3" s="1"/>
  <c r="K688" i="3" s="1"/>
  <c r="AE688" i="3" s="1"/>
  <c r="AH688" i="3"/>
  <c r="D688" i="3"/>
  <c r="F688" i="3" l="1"/>
  <c r="G688" i="3"/>
  <c r="V688" i="3"/>
  <c r="A689" i="3"/>
  <c r="B689" i="3" s="1"/>
  <c r="AA689" i="3" l="1"/>
  <c r="P689" i="3"/>
  <c r="Q689" i="3" s="1"/>
  <c r="R689" i="3" s="1"/>
  <c r="S689" i="3" s="1"/>
  <c r="Z689" i="3"/>
  <c r="AD689" i="3"/>
  <c r="AC689" i="3"/>
  <c r="I688" i="3"/>
  <c r="W688" i="3" s="1"/>
  <c r="J688" i="3"/>
  <c r="M688" i="3"/>
  <c r="N688" i="3" s="1"/>
  <c r="T689" i="3" l="1"/>
  <c r="L688" i="3"/>
  <c r="U688" i="3" l="1"/>
  <c r="D689" i="3" s="1"/>
  <c r="AG689" i="3"/>
  <c r="AH689" i="3"/>
  <c r="Y687" i="3"/>
  <c r="E689" i="3" l="1"/>
  <c r="H689" i="3" s="1"/>
  <c r="K689" i="3" s="1"/>
  <c r="AE689" i="3" s="1"/>
  <c r="G689" i="3"/>
  <c r="F689" i="3" l="1"/>
  <c r="I689" i="3"/>
  <c r="J689" i="3"/>
  <c r="M689" i="3"/>
  <c r="N689" i="3" s="1"/>
  <c r="V689" i="3"/>
  <c r="A690" i="3"/>
  <c r="B690" i="3" s="1"/>
  <c r="W689" i="3" l="1"/>
  <c r="L689" i="3"/>
  <c r="AA690" i="3"/>
  <c r="AC690" i="3"/>
  <c r="P690" i="3"/>
  <c r="Q690" i="3" s="1"/>
  <c r="R690" i="3" s="1"/>
  <c r="S690" i="3" s="1"/>
  <c r="AD690" i="3"/>
  <c r="Z690" i="3"/>
  <c r="U689" i="3" l="1"/>
  <c r="Y688" i="3"/>
  <c r="T690" i="3"/>
  <c r="AH690" i="3" s="1"/>
  <c r="D690" i="3" l="1"/>
  <c r="G690" i="3" s="1"/>
  <c r="E690" i="3"/>
  <c r="H690" i="3" s="1"/>
  <c r="K690" i="3" s="1"/>
  <c r="AE690" i="3" s="1"/>
  <c r="AG690" i="3"/>
  <c r="F690" i="3" l="1"/>
  <c r="I690" i="3"/>
  <c r="J690" i="3"/>
  <c r="M690" i="3"/>
  <c r="N690" i="3" s="1"/>
  <c r="V690" i="3"/>
  <c r="A691" i="3"/>
  <c r="B691" i="3" s="1"/>
  <c r="W690" i="3" l="1"/>
  <c r="L690" i="3"/>
  <c r="AA691" i="3"/>
  <c r="Z691" i="3"/>
  <c r="P691" i="3"/>
  <c r="Q691" i="3" s="1"/>
  <c r="R691" i="3" s="1"/>
  <c r="S691" i="3" s="1"/>
  <c r="AD691" i="3"/>
  <c r="AC691" i="3"/>
  <c r="T691" i="3" l="1"/>
  <c r="U690" i="3"/>
  <c r="Y689" i="3"/>
  <c r="D691" i="3" l="1"/>
  <c r="G691" i="3" s="1"/>
  <c r="AH691" i="3"/>
  <c r="E691" i="3"/>
  <c r="H691" i="3" s="1"/>
  <c r="AG691" i="3"/>
  <c r="F691" i="3" l="1"/>
  <c r="I691" i="3"/>
  <c r="J691" i="3"/>
  <c r="M691" i="3"/>
  <c r="N691" i="3" s="1"/>
  <c r="K691" i="3"/>
  <c r="AE691" i="3" s="1"/>
  <c r="V691" i="3" l="1"/>
  <c r="W691" i="3" s="1"/>
  <c r="A692" i="3"/>
  <c r="B692" i="3" s="1"/>
  <c r="L691" i="3"/>
  <c r="U691" i="3" l="1"/>
  <c r="Y690" i="3"/>
  <c r="AC692" i="3"/>
  <c r="AD692" i="3"/>
  <c r="AA692" i="3"/>
  <c r="Z692" i="3"/>
  <c r="P692" i="3"/>
  <c r="Q692" i="3" s="1"/>
  <c r="R692" i="3" s="1"/>
  <c r="S692" i="3" s="1"/>
  <c r="T692" i="3" l="1"/>
  <c r="E692" i="3" s="1"/>
  <c r="H692" i="3" s="1"/>
  <c r="D692" i="3" l="1"/>
  <c r="G692" i="3" s="1"/>
  <c r="AH692" i="3"/>
  <c r="K692" i="3"/>
  <c r="AE692" i="3" s="1"/>
  <c r="AG692" i="3"/>
  <c r="F692" i="3" l="1"/>
  <c r="I692" i="3"/>
  <c r="J692" i="3"/>
  <c r="M692" i="3"/>
  <c r="N692" i="3" s="1"/>
  <c r="V692" i="3"/>
  <c r="A693" i="3"/>
  <c r="B693" i="3" s="1"/>
  <c r="W692" i="3" l="1"/>
  <c r="L692" i="3"/>
  <c r="AC693" i="3"/>
  <c r="AA693" i="3"/>
  <c r="AD693" i="3"/>
  <c r="P693" i="3"/>
  <c r="Q693" i="3" s="1"/>
  <c r="R693" i="3" s="1"/>
  <c r="S693" i="3" s="1"/>
  <c r="Z693" i="3"/>
  <c r="U692" i="3" l="1"/>
  <c r="Y691" i="3"/>
  <c r="T693" i="3"/>
  <c r="AG693" i="3" s="1"/>
  <c r="D693" i="3" l="1"/>
  <c r="G693" i="3" s="1"/>
  <c r="E693" i="3"/>
  <c r="H693" i="3" s="1"/>
  <c r="K693" i="3" s="1"/>
  <c r="AE693" i="3" s="1"/>
  <c r="AH693" i="3"/>
  <c r="F693" i="3" l="1"/>
  <c r="V693" i="3"/>
  <c r="A694" i="3"/>
  <c r="B694" i="3" s="1"/>
  <c r="I693" i="3"/>
  <c r="J693" i="3"/>
  <c r="M693" i="3"/>
  <c r="N693" i="3" s="1"/>
  <c r="W693" i="3" l="1"/>
  <c r="L693" i="3"/>
  <c r="AA694" i="3"/>
  <c r="AC694" i="3"/>
  <c r="P694" i="3"/>
  <c r="Q694" i="3" s="1"/>
  <c r="R694" i="3" s="1"/>
  <c r="S694" i="3" s="1"/>
  <c r="Z694" i="3"/>
  <c r="U693" i="3" l="1"/>
  <c r="Y692" i="3"/>
  <c r="T694" i="3"/>
  <c r="AG694" i="3" s="1"/>
  <c r="E694" i="3" l="1"/>
  <c r="H694" i="3" s="1"/>
  <c r="K694" i="3" s="1"/>
  <c r="AE694" i="3" s="1"/>
  <c r="AH694" i="3"/>
  <c r="D694" i="3"/>
  <c r="G694" i="3" s="1"/>
  <c r="F694" i="3" l="1"/>
  <c r="I694" i="3"/>
  <c r="J694" i="3"/>
  <c r="AD694" i="3" s="1"/>
  <c r="M694" i="3"/>
  <c r="N694" i="3" s="1"/>
  <c r="V694" i="3"/>
  <c r="A695" i="3"/>
  <c r="B695" i="3" s="1"/>
  <c r="W694" i="3" l="1"/>
  <c r="L694" i="3"/>
  <c r="AD695" i="3"/>
  <c r="Z695" i="3"/>
  <c r="P695" i="3"/>
  <c r="Q695" i="3" s="1"/>
  <c r="R695" i="3" s="1"/>
  <c r="S695" i="3" s="1"/>
  <c r="AC695" i="3"/>
  <c r="AA695" i="3"/>
  <c r="U694" i="3" l="1"/>
  <c r="Y693" i="3"/>
  <c r="T695" i="3"/>
  <c r="E695" i="3" l="1"/>
  <c r="H695" i="3" s="1"/>
  <c r="K695" i="3" s="1"/>
  <c r="AE695" i="3" s="1"/>
  <c r="D695" i="3"/>
  <c r="AG695" i="3"/>
  <c r="AH695" i="3"/>
  <c r="V695" i="3" l="1"/>
  <c r="A696" i="3"/>
  <c r="B696" i="3" s="1"/>
  <c r="F695" i="3"/>
  <c r="G695" i="3"/>
  <c r="I695" i="3" l="1"/>
  <c r="W695" i="3" s="1"/>
  <c r="J695" i="3"/>
  <c r="M695" i="3"/>
  <c r="N695" i="3" s="1"/>
  <c r="AD696" i="3"/>
  <c r="AA696" i="3"/>
  <c r="Z696" i="3"/>
  <c r="P696" i="3"/>
  <c r="Q696" i="3" s="1"/>
  <c r="R696" i="3" s="1"/>
  <c r="S696" i="3" s="1"/>
  <c r="AC696" i="3"/>
  <c r="T696" i="3" l="1"/>
  <c r="L695" i="3"/>
  <c r="AH696" i="3" l="1"/>
  <c r="U695" i="3"/>
  <c r="D696" i="3" s="1"/>
  <c r="AG696" i="3"/>
  <c r="Y694" i="3"/>
  <c r="E696" i="3" l="1"/>
  <c r="H696" i="3" s="1"/>
  <c r="K696" i="3" s="1"/>
  <c r="AE696" i="3" s="1"/>
  <c r="G696" i="3"/>
  <c r="F696" i="3" l="1"/>
  <c r="V696" i="3"/>
  <c r="A697" i="3"/>
  <c r="B697" i="3" s="1"/>
  <c r="I696" i="3"/>
  <c r="J696" i="3"/>
  <c r="M696" i="3"/>
  <c r="N696" i="3" s="1"/>
  <c r="W696" i="3" l="1"/>
  <c r="AD697" i="3"/>
  <c r="P697" i="3"/>
  <c r="Q697" i="3" s="1"/>
  <c r="R697" i="3" s="1"/>
  <c r="S697" i="3" s="1"/>
  <c r="Z697" i="3"/>
  <c r="AA697" i="3"/>
  <c r="AC697" i="3"/>
  <c r="L696" i="3"/>
  <c r="U696" i="3" l="1"/>
  <c r="Y695" i="3"/>
  <c r="T697" i="3"/>
  <c r="E697" i="3" l="1"/>
  <c r="H697" i="3" s="1"/>
  <c r="K697" i="3" s="1"/>
  <c r="AE697" i="3" s="1"/>
  <c r="D697" i="3"/>
  <c r="AH697" i="3"/>
  <c r="AG697" i="3"/>
  <c r="F697" i="3" l="1"/>
  <c r="G697" i="3"/>
  <c r="M697" i="3" s="1"/>
  <c r="N697" i="3" s="1"/>
  <c r="V697" i="3"/>
  <c r="A698" i="3"/>
  <c r="B698" i="3" s="1"/>
  <c r="I697" i="3" l="1"/>
  <c r="W697" i="3" s="1"/>
  <c r="J697" i="3"/>
  <c r="L697" i="3" s="1"/>
  <c r="AD698" i="3"/>
  <c r="AA698" i="3"/>
  <c r="Z698" i="3"/>
  <c r="AC698" i="3"/>
  <c r="P698" i="3"/>
  <c r="Q698" i="3" s="1"/>
  <c r="R698" i="3" s="1"/>
  <c r="S698" i="3" s="1"/>
  <c r="U697" i="3" l="1"/>
  <c r="Y696" i="3"/>
  <c r="T698" i="3"/>
  <c r="AG698" i="3" s="1"/>
  <c r="E698" i="3" l="1"/>
  <c r="H698" i="3" s="1"/>
  <c r="K698" i="3" s="1"/>
  <c r="AE698" i="3" s="1"/>
  <c r="AH698" i="3"/>
  <c r="D698" i="3"/>
  <c r="F698" i="3" l="1"/>
  <c r="G698" i="3"/>
  <c r="J698" i="3" s="1"/>
  <c r="V698" i="3"/>
  <c r="A699" i="3"/>
  <c r="B699" i="3" s="1"/>
  <c r="M698" i="3" l="1"/>
  <c r="N698" i="3" s="1"/>
  <c r="I698" i="3"/>
  <c r="W698" i="3" s="1"/>
  <c r="L698" i="3"/>
  <c r="Z699" i="3"/>
  <c r="P699" i="3"/>
  <c r="Q699" i="3" s="1"/>
  <c r="R699" i="3" s="1"/>
  <c r="S699" i="3" s="1"/>
  <c r="AA699" i="3"/>
  <c r="AD699" i="3"/>
  <c r="AC699" i="3"/>
  <c r="T699" i="3" l="1"/>
  <c r="U698" i="3"/>
  <c r="Y697" i="3"/>
  <c r="D699" i="3" l="1"/>
  <c r="G699" i="3" s="1"/>
  <c r="AG699" i="3"/>
  <c r="AH699" i="3"/>
  <c r="E699" i="3"/>
  <c r="H699" i="3" s="1"/>
  <c r="K699" i="3" l="1"/>
  <c r="AE699" i="3" s="1"/>
  <c r="I699" i="3"/>
  <c r="J699" i="3"/>
  <c r="M699" i="3"/>
  <c r="N699" i="3" s="1"/>
  <c r="F699" i="3"/>
  <c r="L699" i="3" l="1"/>
  <c r="V699" i="3"/>
  <c r="W699" i="3" s="1"/>
  <c r="A700" i="3"/>
  <c r="B700" i="3" s="1"/>
  <c r="U699" i="3" l="1"/>
  <c r="Y698" i="3"/>
  <c r="Z700" i="3"/>
  <c r="P700" i="3"/>
  <c r="Q700" i="3" s="1"/>
  <c r="R700" i="3" s="1"/>
  <c r="S700" i="3" s="1"/>
  <c r="AD700" i="3"/>
  <c r="AC700" i="3"/>
  <c r="AA700" i="3"/>
  <c r="T700" i="3" l="1"/>
  <c r="D700" i="3" s="1"/>
  <c r="AH700" i="3" l="1"/>
  <c r="AG700" i="3"/>
  <c r="E700" i="3"/>
  <c r="H700" i="3" s="1"/>
  <c r="K700" i="3" s="1"/>
  <c r="AE700" i="3" s="1"/>
  <c r="G700" i="3"/>
  <c r="F700" i="3" l="1"/>
  <c r="I700" i="3"/>
  <c r="J700" i="3"/>
  <c r="M700" i="3"/>
  <c r="N700" i="3" s="1"/>
  <c r="V700" i="3"/>
  <c r="A701" i="3"/>
  <c r="B701" i="3" s="1"/>
  <c r="W700" i="3" l="1"/>
  <c r="L700" i="3"/>
  <c r="AC701" i="3"/>
  <c r="AA701" i="3"/>
  <c r="Z701" i="3"/>
  <c r="P701" i="3"/>
  <c r="Q701" i="3" s="1"/>
  <c r="R701" i="3" s="1"/>
  <c r="S701" i="3" s="1"/>
  <c r="AD701" i="3"/>
  <c r="U700" i="3" l="1"/>
  <c r="Y699" i="3"/>
  <c r="T701" i="3"/>
  <c r="AG701" i="3" s="1"/>
  <c r="AH701" i="3" l="1"/>
  <c r="E701" i="3"/>
  <c r="H701" i="3" s="1"/>
  <c r="D701" i="3"/>
  <c r="F701" i="3" l="1"/>
  <c r="G701" i="3"/>
  <c r="K701" i="3"/>
  <c r="AE701" i="3" s="1"/>
  <c r="I701" i="3" l="1"/>
  <c r="J701" i="3"/>
  <c r="M701" i="3"/>
  <c r="N701" i="3" s="1"/>
  <c r="V701" i="3"/>
  <c r="A702" i="3"/>
  <c r="B702" i="3" s="1"/>
  <c r="W701" i="3" l="1"/>
  <c r="L701" i="3"/>
  <c r="AC702" i="3"/>
  <c r="AD702" i="3"/>
  <c r="P702" i="3"/>
  <c r="Q702" i="3" s="1"/>
  <c r="R702" i="3" s="1"/>
  <c r="S702" i="3" s="1"/>
  <c r="Z702" i="3"/>
  <c r="AA702" i="3"/>
  <c r="U701" i="3" l="1"/>
  <c r="Y700" i="3"/>
  <c r="T702" i="3"/>
  <c r="AH702" i="3" s="1"/>
  <c r="D702" i="3" l="1"/>
  <c r="G702" i="3" s="1"/>
  <c r="E702" i="3"/>
  <c r="H702" i="3" s="1"/>
  <c r="K702" i="3" s="1"/>
  <c r="AE702" i="3" s="1"/>
  <c r="AG702" i="3"/>
  <c r="F702" i="3" l="1"/>
  <c r="V702" i="3"/>
  <c r="A703" i="3"/>
  <c r="B703" i="3" s="1"/>
  <c r="I702" i="3"/>
  <c r="J702" i="3"/>
  <c r="M702" i="3"/>
  <c r="N702" i="3" s="1"/>
  <c r="W702" i="3" l="1"/>
  <c r="L702" i="3"/>
  <c r="AC703" i="3"/>
  <c r="AD703" i="3"/>
  <c r="P703" i="3"/>
  <c r="Q703" i="3" s="1"/>
  <c r="R703" i="3" s="1"/>
  <c r="S703" i="3" s="1"/>
  <c r="AA703" i="3"/>
  <c r="Z703" i="3"/>
  <c r="T703" i="3" l="1"/>
  <c r="AH703" i="3" s="1"/>
  <c r="U702" i="3"/>
  <c r="Y701" i="3"/>
  <c r="E703" i="3" l="1"/>
  <c r="H703" i="3" s="1"/>
  <c r="K703" i="3" s="1"/>
  <c r="AE703" i="3" s="1"/>
  <c r="AG703" i="3"/>
  <c r="D703" i="3"/>
  <c r="F703" i="3" l="1"/>
  <c r="G703" i="3"/>
  <c r="V703" i="3"/>
  <c r="A704" i="3"/>
  <c r="B704" i="3" s="1"/>
  <c r="P704" i="3" l="1"/>
  <c r="Q704" i="3" s="1"/>
  <c r="R704" i="3" s="1"/>
  <c r="S704" i="3" s="1"/>
  <c r="AC704" i="3"/>
  <c r="Z704" i="3"/>
  <c r="AA704" i="3"/>
  <c r="I703" i="3"/>
  <c r="W703" i="3" s="1"/>
  <c r="J703" i="3"/>
  <c r="M703" i="3"/>
  <c r="N703" i="3" s="1"/>
  <c r="T704" i="3" l="1"/>
  <c r="L703" i="3"/>
  <c r="U703" i="3" l="1"/>
  <c r="D704" i="3" s="1"/>
  <c r="AG704" i="3"/>
  <c r="AH704" i="3"/>
  <c r="Y702" i="3"/>
  <c r="G704" i="3" l="1"/>
  <c r="E704" i="3"/>
  <c r="H704" i="3" s="1"/>
  <c r="F704" i="3" l="1"/>
  <c r="I704" i="3"/>
  <c r="J704" i="3"/>
  <c r="AD704" i="3" s="1"/>
  <c r="M704" i="3"/>
  <c r="N704" i="3" s="1"/>
  <c r="K704" i="3"/>
  <c r="AE704" i="3" s="1"/>
  <c r="V704" i="3" l="1"/>
  <c r="W704" i="3" s="1"/>
  <c r="A705" i="3"/>
  <c r="B705" i="3" s="1"/>
  <c r="L704" i="3"/>
  <c r="U704" i="3" l="1"/>
  <c r="Y703" i="3"/>
  <c r="Z705" i="3"/>
  <c r="P705" i="3"/>
  <c r="Q705" i="3" s="1"/>
  <c r="R705" i="3" s="1"/>
  <c r="S705" i="3" s="1"/>
  <c r="AC705" i="3"/>
  <c r="AA705" i="3"/>
  <c r="AD705" i="3"/>
  <c r="T705" i="3" l="1"/>
  <c r="AH705" i="3" s="1"/>
  <c r="AG705" i="3" l="1"/>
  <c r="D705" i="3"/>
  <c r="E705" i="3"/>
  <c r="H705" i="3" s="1"/>
  <c r="F705" i="3" l="1"/>
  <c r="G705" i="3"/>
  <c r="K705" i="3"/>
  <c r="AE705" i="3" s="1"/>
  <c r="I705" i="3" l="1"/>
  <c r="J705" i="3"/>
  <c r="M705" i="3"/>
  <c r="N705" i="3" s="1"/>
  <c r="V705" i="3"/>
  <c r="A706" i="3"/>
  <c r="B706" i="3" s="1"/>
  <c r="W705" i="3" l="1"/>
  <c r="L705" i="3"/>
  <c r="P706" i="3"/>
  <c r="Q706" i="3" s="1"/>
  <c r="R706" i="3" s="1"/>
  <c r="S706" i="3" s="1"/>
  <c r="AA706" i="3"/>
  <c r="AC706" i="3"/>
  <c r="Z706" i="3"/>
  <c r="AD706" i="3"/>
  <c r="U705" i="3" l="1"/>
  <c r="Y704" i="3"/>
  <c r="T706" i="3"/>
  <c r="AH706" i="3" s="1"/>
  <c r="E706" i="3" l="1"/>
  <c r="H706" i="3" s="1"/>
  <c r="D706" i="3"/>
  <c r="AG706" i="3"/>
  <c r="K706" i="3" l="1"/>
  <c r="AE706" i="3" s="1"/>
  <c r="F706" i="3"/>
  <c r="G706" i="3"/>
  <c r="I706" i="3" l="1"/>
  <c r="J706" i="3"/>
  <c r="M706" i="3"/>
  <c r="N706" i="3" s="1"/>
  <c r="V706" i="3"/>
  <c r="A707" i="3"/>
  <c r="B707" i="3" s="1"/>
  <c r="W706" i="3" l="1"/>
  <c r="P707" i="3"/>
  <c r="Q707" i="3" s="1"/>
  <c r="R707" i="3" s="1"/>
  <c r="S707" i="3" s="1"/>
  <c r="AD707" i="3"/>
  <c r="Z707" i="3"/>
  <c r="AC707" i="3"/>
  <c r="AA707" i="3"/>
  <c r="L706" i="3"/>
  <c r="T707" i="3" l="1"/>
  <c r="AG707" i="3" s="1"/>
  <c r="U706" i="3"/>
  <c r="Y705" i="3"/>
  <c r="E707" i="3" l="1"/>
  <c r="H707" i="3" s="1"/>
  <c r="K707" i="3" s="1"/>
  <c r="AE707" i="3" s="1"/>
  <c r="D707" i="3"/>
  <c r="AH707" i="3"/>
  <c r="V707" i="3" l="1"/>
  <c r="A708" i="3"/>
  <c r="B708" i="3" s="1"/>
  <c r="F707" i="3"/>
  <c r="G707" i="3"/>
  <c r="I707" i="3" l="1"/>
  <c r="W707" i="3" s="1"/>
  <c r="J707" i="3"/>
  <c r="M707" i="3"/>
  <c r="N707" i="3" s="1"/>
  <c r="AD708" i="3"/>
  <c r="P708" i="3"/>
  <c r="Q708" i="3" s="1"/>
  <c r="R708" i="3" s="1"/>
  <c r="S708" i="3" s="1"/>
  <c r="AC708" i="3"/>
  <c r="Z708" i="3"/>
  <c r="AA708" i="3"/>
  <c r="T708" i="3" l="1"/>
  <c r="L707" i="3"/>
  <c r="U707" i="3" l="1"/>
  <c r="D708" i="3" s="1"/>
  <c r="AG708" i="3"/>
  <c r="AH708" i="3"/>
  <c r="Y706" i="3"/>
  <c r="E708" i="3" l="1"/>
  <c r="H708" i="3" s="1"/>
  <c r="K708" i="3" s="1"/>
  <c r="AE708" i="3" s="1"/>
  <c r="G708" i="3"/>
  <c r="F708" i="3" l="1"/>
  <c r="I708" i="3"/>
  <c r="J708" i="3"/>
  <c r="M708" i="3"/>
  <c r="N708" i="3" s="1"/>
  <c r="V708" i="3"/>
  <c r="A709" i="3"/>
  <c r="B709" i="3" s="1"/>
  <c r="W708" i="3" l="1"/>
  <c r="L708" i="3"/>
  <c r="Z709" i="3"/>
  <c r="AA709" i="3"/>
  <c r="AD709" i="3"/>
  <c r="P709" i="3"/>
  <c r="Q709" i="3" s="1"/>
  <c r="R709" i="3" s="1"/>
  <c r="S709" i="3" s="1"/>
  <c r="AC709" i="3"/>
  <c r="U708" i="3" l="1"/>
  <c r="Y707" i="3"/>
  <c r="T709" i="3"/>
  <c r="AG709" i="3" s="1"/>
  <c r="AH709" i="3" l="1"/>
  <c r="E709" i="3"/>
  <c r="H709" i="3" s="1"/>
  <c r="D709" i="3"/>
  <c r="F709" i="3" l="1"/>
  <c r="G709" i="3"/>
  <c r="K709" i="3"/>
  <c r="AE709" i="3" s="1"/>
  <c r="V709" i="3" l="1"/>
  <c r="A710" i="3"/>
  <c r="B710" i="3" s="1"/>
  <c r="I709" i="3"/>
  <c r="J709" i="3"/>
  <c r="M709" i="3"/>
  <c r="N709" i="3" s="1"/>
  <c r="W709" i="3" l="1"/>
  <c r="L709" i="3"/>
  <c r="AD710" i="3"/>
  <c r="AC710" i="3"/>
  <c r="Z710" i="3"/>
  <c r="AA710" i="3"/>
  <c r="P710" i="3"/>
  <c r="Q710" i="3" s="1"/>
  <c r="R710" i="3" s="1"/>
  <c r="S710" i="3" s="1"/>
  <c r="U709" i="3" l="1"/>
  <c r="Y708" i="3"/>
  <c r="T710" i="3"/>
  <c r="AH710" i="3" s="1"/>
  <c r="D710" i="3" l="1"/>
  <c r="E710" i="3"/>
  <c r="H710" i="3" s="1"/>
  <c r="AG710" i="3"/>
  <c r="F710" i="3" l="1"/>
  <c r="G710" i="3"/>
  <c r="K710" i="3"/>
  <c r="AE710" i="3" s="1"/>
  <c r="I710" i="3" l="1"/>
  <c r="J710" i="3"/>
  <c r="M710" i="3"/>
  <c r="N710" i="3" s="1"/>
  <c r="V710" i="3"/>
  <c r="A711" i="3"/>
  <c r="B711" i="3" s="1"/>
  <c r="W710" i="3" l="1"/>
  <c r="L710" i="3"/>
  <c r="AA711" i="3"/>
  <c r="AC711" i="3"/>
  <c r="Z711" i="3"/>
  <c r="AD711" i="3"/>
  <c r="P711" i="3"/>
  <c r="Q711" i="3" s="1"/>
  <c r="R711" i="3" s="1"/>
  <c r="S711" i="3" s="1"/>
  <c r="T711" i="3" l="1"/>
  <c r="U710" i="3"/>
  <c r="Y709" i="3"/>
  <c r="D711" i="3" l="1"/>
  <c r="G711" i="3" s="1"/>
  <c r="E711" i="3"/>
  <c r="H711" i="3" s="1"/>
  <c r="AH711" i="3"/>
  <c r="AG711" i="3"/>
  <c r="F711" i="3" l="1"/>
  <c r="K711" i="3"/>
  <c r="AE711" i="3" s="1"/>
  <c r="I711" i="3"/>
  <c r="J711" i="3"/>
  <c r="M711" i="3"/>
  <c r="N711" i="3" s="1"/>
  <c r="L711" i="3" l="1"/>
  <c r="V711" i="3"/>
  <c r="W711" i="3" s="1"/>
  <c r="A712" i="3"/>
  <c r="B712" i="3" s="1"/>
  <c r="AC712" i="3" l="1"/>
  <c r="AD712" i="3"/>
  <c r="P712" i="3"/>
  <c r="Q712" i="3" s="1"/>
  <c r="R712" i="3" s="1"/>
  <c r="S712" i="3" s="1"/>
  <c r="AA712" i="3"/>
  <c r="Z712" i="3"/>
  <c r="U711" i="3"/>
  <c r="Y710" i="3"/>
  <c r="T712" i="3" l="1"/>
  <c r="AG712" i="3" l="1"/>
  <c r="D712" i="3"/>
  <c r="E712" i="3"/>
  <c r="H712" i="3" s="1"/>
  <c r="AH712" i="3"/>
  <c r="K712" i="3" l="1"/>
  <c r="AE712" i="3" s="1"/>
  <c r="F712" i="3"/>
  <c r="G712" i="3"/>
  <c r="V712" i="3" l="1"/>
  <c r="A713" i="3"/>
  <c r="B713" i="3" s="1"/>
  <c r="I712" i="3"/>
  <c r="J712" i="3"/>
  <c r="M712" i="3"/>
  <c r="N712" i="3" s="1"/>
  <c r="W712" i="3" l="1"/>
  <c r="L712" i="3"/>
  <c r="Z713" i="3"/>
  <c r="P713" i="3"/>
  <c r="Q713" i="3" s="1"/>
  <c r="R713" i="3" s="1"/>
  <c r="S713" i="3" s="1"/>
  <c r="AC713" i="3"/>
  <c r="AD713" i="3"/>
  <c r="AA713" i="3"/>
  <c r="T713" i="3" l="1"/>
  <c r="AH713" i="3" s="1"/>
  <c r="U712" i="3"/>
  <c r="Y711" i="3"/>
  <c r="D713" i="3" l="1"/>
  <c r="AG713" i="3"/>
  <c r="E713" i="3"/>
  <c r="H713" i="3" s="1"/>
  <c r="F713" i="3" l="1"/>
  <c r="G713" i="3"/>
  <c r="M713" i="3" s="1"/>
  <c r="N713" i="3" s="1"/>
  <c r="K713" i="3"/>
  <c r="AE713" i="3" s="1"/>
  <c r="I713" i="3" l="1"/>
  <c r="J713" i="3"/>
  <c r="L713" i="3" s="1"/>
  <c r="V713" i="3"/>
  <c r="A714" i="3"/>
  <c r="B714" i="3" s="1"/>
  <c r="W713" i="3" l="1"/>
  <c r="U713" i="3"/>
  <c r="Y712" i="3"/>
  <c r="AA714" i="3"/>
  <c r="P714" i="3"/>
  <c r="Q714" i="3" s="1"/>
  <c r="R714" i="3" s="1"/>
  <c r="S714" i="3" s="1"/>
  <c r="Z714" i="3"/>
  <c r="AC714" i="3"/>
  <c r="T714" i="3" l="1"/>
  <c r="AH714" i="3" s="1"/>
  <c r="D714" i="3" l="1"/>
  <c r="G714" i="3" s="1"/>
  <c r="E714" i="3"/>
  <c r="H714" i="3" s="1"/>
  <c r="K714" i="3" s="1"/>
  <c r="AE714" i="3" s="1"/>
  <c r="AG714" i="3"/>
  <c r="F714" i="3" l="1"/>
  <c r="V714" i="3"/>
  <c r="A715" i="3"/>
  <c r="B715" i="3" s="1"/>
  <c r="I714" i="3"/>
  <c r="J714" i="3"/>
  <c r="AD714" i="3" s="1"/>
  <c r="M714" i="3"/>
  <c r="N714" i="3" s="1"/>
  <c r="L714" i="3" l="1"/>
  <c r="W714" i="3"/>
  <c r="AC715" i="3"/>
  <c r="P715" i="3"/>
  <c r="Q715" i="3" s="1"/>
  <c r="R715" i="3" s="1"/>
  <c r="S715" i="3" s="1"/>
  <c r="Z715" i="3"/>
  <c r="AA715" i="3"/>
  <c r="AD715" i="3"/>
  <c r="U714" i="3" l="1"/>
  <c r="Y713" i="3"/>
  <c r="T715" i="3"/>
  <c r="AG715" i="3" s="1"/>
  <c r="AH715" i="3" l="1"/>
  <c r="D715" i="3"/>
  <c r="G715" i="3" s="1"/>
  <c r="E715" i="3"/>
  <c r="H715" i="3" s="1"/>
  <c r="F715" i="3" l="1"/>
  <c r="I715" i="3"/>
  <c r="J715" i="3"/>
  <c r="M715" i="3"/>
  <c r="N715" i="3" s="1"/>
  <c r="K715" i="3"/>
  <c r="AE715" i="3" s="1"/>
  <c r="V715" i="3" l="1"/>
  <c r="W715" i="3" s="1"/>
  <c r="A716" i="3"/>
  <c r="B716" i="3" s="1"/>
  <c r="L715" i="3"/>
  <c r="U715" i="3" l="1"/>
  <c r="Y714" i="3"/>
  <c r="AC716" i="3"/>
  <c r="Z716" i="3"/>
  <c r="P716" i="3"/>
  <c r="Q716" i="3" s="1"/>
  <c r="R716" i="3" s="1"/>
  <c r="S716" i="3" s="1"/>
  <c r="AA716" i="3"/>
  <c r="AD716" i="3"/>
  <c r="T716" i="3" l="1"/>
  <c r="D716" i="3" s="1"/>
  <c r="E716" i="3" l="1"/>
  <c r="H716" i="3" s="1"/>
  <c r="K716" i="3" s="1"/>
  <c r="AE716" i="3" s="1"/>
  <c r="AH716" i="3"/>
  <c r="AG716" i="3"/>
  <c r="G716" i="3"/>
  <c r="F716" i="3" l="1"/>
  <c r="I716" i="3"/>
  <c r="J716" i="3"/>
  <c r="M716" i="3"/>
  <c r="N716" i="3" s="1"/>
  <c r="V716" i="3"/>
  <c r="A717" i="3"/>
  <c r="B717" i="3" s="1"/>
  <c r="W716" i="3" l="1"/>
  <c r="L716" i="3"/>
  <c r="AC717" i="3"/>
  <c r="P717" i="3"/>
  <c r="Q717" i="3" s="1"/>
  <c r="R717" i="3" s="1"/>
  <c r="S717" i="3" s="1"/>
  <c r="AD717" i="3"/>
  <c r="Z717" i="3"/>
  <c r="AA717" i="3"/>
  <c r="U716" i="3" l="1"/>
  <c r="Y715" i="3"/>
  <c r="T717" i="3"/>
  <c r="AG717" i="3" s="1"/>
  <c r="E717" i="3" l="1"/>
  <c r="H717" i="3" s="1"/>
  <c r="K717" i="3" s="1"/>
  <c r="AE717" i="3" s="1"/>
  <c r="AH717" i="3"/>
  <c r="D717" i="3"/>
  <c r="V717" i="3" l="1"/>
  <c r="A718" i="3"/>
  <c r="B718" i="3" s="1"/>
  <c r="F717" i="3"/>
  <c r="G717" i="3"/>
  <c r="I717" i="3" l="1"/>
  <c r="W717" i="3" s="1"/>
  <c r="J717" i="3"/>
  <c r="M717" i="3"/>
  <c r="N717" i="3" s="1"/>
  <c r="P718" i="3"/>
  <c r="Q718" i="3" s="1"/>
  <c r="R718" i="3" s="1"/>
  <c r="S718" i="3" s="1"/>
  <c r="AC718" i="3"/>
  <c r="Z718" i="3"/>
  <c r="AD718" i="3"/>
  <c r="AA718" i="3"/>
  <c r="L717" i="3" l="1"/>
  <c r="T718" i="3"/>
  <c r="U717" i="3" l="1"/>
  <c r="E718" i="3" s="1"/>
  <c r="H718" i="3" s="1"/>
  <c r="AH718" i="3"/>
  <c r="AG718" i="3"/>
  <c r="Y716" i="3"/>
  <c r="K718" i="3" l="1"/>
  <c r="AE718" i="3" s="1"/>
  <c r="D718" i="3"/>
  <c r="V718" i="3" l="1"/>
  <c r="A719" i="3"/>
  <c r="B719" i="3" s="1"/>
  <c r="F718" i="3"/>
  <c r="G718" i="3"/>
  <c r="I718" i="3" l="1"/>
  <c r="W718" i="3" s="1"/>
  <c r="J718" i="3"/>
  <c r="M718" i="3"/>
  <c r="N718" i="3" s="1"/>
  <c r="AD719" i="3"/>
  <c r="Z719" i="3"/>
  <c r="P719" i="3"/>
  <c r="Q719" i="3" s="1"/>
  <c r="R719" i="3" s="1"/>
  <c r="S719" i="3" s="1"/>
  <c r="AA719" i="3"/>
  <c r="AC719" i="3"/>
  <c r="T719" i="3" l="1"/>
  <c r="L718" i="3"/>
  <c r="AG719" i="3" l="1"/>
  <c r="AH719" i="3"/>
  <c r="U718" i="3"/>
  <c r="E719" i="3" s="1"/>
  <c r="H719" i="3" s="1"/>
  <c r="Y717" i="3"/>
  <c r="D719" i="3" l="1"/>
  <c r="G719" i="3" s="1"/>
  <c r="K719" i="3"/>
  <c r="AE719" i="3" s="1"/>
  <c r="F719" i="3" l="1"/>
  <c r="I719" i="3"/>
  <c r="J719" i="3"/>
  <c r="M719" i="3"/>
  <c r="N719" i="3" s="1"/>
  <c r="V719" i="3"/>
  <c r="A720" i="3"/>
  <c r="B720" i="3" s="1"/>
  <c r="W719" i="3" l="1"/>
  <c r="L719" i="3"/>
  <c r="P720" i="3"/>
  <c r="Q720" i="3" s="1"/>
  <c r="R720" i="3" s="1"/>
  <c r="S720" i="3" s="1"/>
  <c r="AA720" i="3"/>
  <c r="AC720" i="3"/>
  <c r="Z720" i="3"/>
  <c r="AD720" i="3"/>
  <c r="U719" i="3" l="1"/>
  <c r="Y718" i="3"/>
  <c r="T720" i="3"/>
  <c r="AG720" i="3" s="1"/>
  <c r="E720" i="3" l="1"/>
  <c r="H720" i="3" s="1"/>
  <c r="K720" i="3" s="1"/>
  <c r="AE720" i="3" s="1"/>
  <c r="D720" i="3"/>
  <c r="AH720" i="3"/>
  <c r="V720" i="3" l="1"/>
  <c r="A721" i="3"/>
  <c r="B721" i="3" s="1"/>
  <c r="F720" i="3"/>
  <c r="G720" i="3"/>
  <c r="I720" i="3" l="1"/>
  <c r="W720" i="3" s="1"/>
  <c r="J720" i="3"/>
  <c r="M720" i="3"/>
  <c r="N720" i="3" s="1"/>
  <c r="AD721" i="3"/>
  <c r="AA721" i="3"/>
  <c r="Z721" i="3"/>
  <c r="AC721" i="3"/>
  <c r="P721" i="3"/>
  <c r="Q721" i="3" s="1"/>
  <c r="R721" i="3" s="1"/>
  <c r="S721" i="3" s="1"/>
  <c r="T721" i="3" l="1"/>
  <c r="L720" i="3"/>
  <c r="AG721" i="3" l="1"/>
  <c r="U720" i="3"/>
  <c r="D721" i="3" s="1"/>
  <c r="AH721" i="3"/>
  <c r="Y719" i="3"/>
  <c r="G721" i="3" l="1"/>
  <c r="E721" i="3"/>
  <c r="H721" i="3" s="1"/>
  <c r="F721" i="3" l="1"/>
  <c r="I721" i="3"/>
  <c r="J721" i="3"/>
  <c r="M721" i="3"/>
  <c r="N721" i="3" s="1"/>
  <c r="K721" i="3"/>
  <c r="AE721" i="3" s="1"/>
  <c r="V721" i="3" l="1"/>
  <c r="W721" i="3" s="1"/>
  <c r="A722" i="3"/>
  <c r="B722" i="3" s="1"/>
  <c r="L721" i="3"/>
  <c r="U721" i="3" l="1"/>
  <c r="Y720" i="3"/>
  <c r="AA722" i="3"/>
  <c r="AC722" i="3"/>
  <c r="P722" i="3"/>
  <c r="Q722" i="3" s="1"/>
  <c r="R722" i="3" s="1"/>
  <c r="S722" i="3" s="1"/>
  <c r="Z722" i="3"/>
  <c r="AD722" i="3"/>
  <c r="T722" i="3" l="1"/>
  <c r="AH722" i="3" s="1"/>
  <c r="E722" i="3" l="1"/>
  <c r="H722" i="3" s="1"/>
  <c r="K722" i="3" s="1"/>
  <c r="AE722" i="3" s="1"/>
  <c r="D722" i="3"/>
  <c r="AG722" i="3"/>
  <c r="V722" i="3" l="1"/>
  <c r="A723" i="3"/>
  <c r="B723" i="3" s="1"/>
  <c r="F722" i="3"/>
  <c r="G722" i="3"/>
  <c r="I722" i="3" l="1"/>
  <c r="W722" i="3" s="1"/>
  <c r="J722" i="3"/>
  <c r="M722" i="3"/>
  <c r="N722" i="3" s="1"/>
  <c r="Z723" i="3"/>
  <c r="AA723" i="3"/>
  <c r="AC723" i="3"/>
  <c r="P723" i="3"/>
  <c r="Q723" i="3" s="1"/>
  <c r="R723" i="3" s="1"/>
  <c r="S723" i="3" s="1"/>
  <c r="AD723" i="3"/>
  <c r="T723" i="3" l="1"/>
  <c r="L722" i="3"/>
  <c r="U722" i="3" l="1"/>
  <c r="E723" i="3" s="1"/>
  <c r="H723" i="3" s="1"/>
  <c r="AG723" i="3"/>
  <c r="AH723" i="3"/>
  <c r="Y721" i="3"/>
  <c r="D723" i="3" l="1"/>
  <c r="G723" i="3" s="1"/>
  <c r="K723" i="3"/>
  <c r="AE723" i="3" s="1"/>
  <c r="F723" i="3" l="1"/>
  <c r="V723" i="3"/>
  <c r="A724" i="3"/>
  <c r="B724" i="3" s="1"/>
  <c r="I723" i="3"/>
  <c r="J723" i="3"/>
  <c r="M723" i="3"/>
  <c r="N723" i="3" s="1"/>
  <c r="W723" i="3" l="1"/>
  <c r="L723" i="3"/>
  <c r="AA724" i="3"/>
  <c r="Z724" i="3"/>
  <c r="AC724" i="3"/>
  <c r="P724" i="3"/>
  <c r="Q724" i="3" s="1"/>
  <c r="R724" i="3" s="1"/>
  <c r="S724" i="3" s="1"/>
  <c r="T724" i="3" l="1"/>
  <c r="AH724" i="3" s="1"/>
  <c r="U723" i="3"/>
  <c r="Y722" i="3"/>
  <c r="D724" i="3" l="1"/>
  <c r="E724" i="3"/>
  <c r="H724" i="3" s="1"/>
  <c r="AG724" i="3"/>
  <c r="K724" i="3" l="1"/>
  <c r="AE724" i="3" s="1"/>
  <c r="F724" i="3"/>
  <c r="G724" i="3"/>
  <c r="I724" i="3" l="1"/>
  <c r="J724" i="3"/>
  <c r="AD724" i="3" s="1"/>
  <c r="M724" i="3"/>
  <c r="N724" i="3" s="1"/>
  <c r="V724" i="3"/>
  <c r="A725" i="3"/>
  <c r="B725" i="3" s="1"/>
  <c r="W724" i="3" l="1"/>
  <c r="L724" i="3"/>
  <c r="AC725" i="3"/>
  <c r="P725" i="3"/>
  <c r="Q725" i="3" s="1"/>
  <c r="R725" i="3" s="1"/>
  <c r="S725" i="3" s="1"/>
  <c r="Z725" i="3"/>
  <c r="AA725" i="3"/>
  <c r="AD725" i="3"/>
  <c r="U724" i="3" l="1"/>
  <c r="Y723" i="3"/>
  <c r="T725" i="3"/>
  <c r="AG725" i="3" s="1"/>
  <c r="AH725" i="3" l="1"/>
  <c r="D725" i="3"/>
  <c r="G725" i="3" s="1"/>
  <c r="E725" i="3"/>
  <c r="H725" i="3" s="1"/>
  <c r="F725" i="3" l="1"/>
  <c r="I725" i="3"/>
  <c r="J725" i="3"/>
  <c r="M725" i="3"/>
  <c r="N725" i="3" s="1"/>
  <c r="K725" i="3"/>
  <c r="AE725" i="3" s="1"/>
  <c r="V725" i="3" l="1"/>
  <c r="W725" i="3" s="1"/>
  <c r="A726" i="3"/>
  <c r="B726" i="3" s="1"/>
  <c r="L725" i="3"/>
  <c r="U725" i="3" l="1"/>
  <c r="Y724" i="3"/>
  <c r="Z726" i="3"/>
  <c r="P726" i="3"/>
  <c r="Q726" i="3" s="1"/>
  <c r="R726" i="3" s="1"/>
  <c r="S726" i="3" s="1"/>
  <c r="AA726" i="3"/>
  <c r="AD726" i="3"/>
  <c r="AC726" i="3"/>
  <c r="T726" i="3" l="1"/>
  <c r="AG726" i="3" s="1"/>
  <c r="D726" i="3" l="1"/>
  <c r="G726" i="3" s="1"/>
  <c r="E726" i="3"/>
  <c r="H726" i="3" s="1"/>
  <c r="K726" i="3" s="1"/>
  <c r="AE726" i="3" s="1"/>
  <c r="AH726" i="3"/>
  <c r="F726" i="3" l="1"/>
  <c r="I726" i="3"/>
  <c r="J726" i="3"/>
  <c r="M726" i="3"/>
  <c r="N726" i="3" s="1"/>
  <c r="V726" i="3"/>
  <c r="A727" i="3"/>
  <c r="B727" i="3" s="1"/>
  <c r="W726" i="3" l="1"/>
  <c r="L726" i="3"/>
  <c r="P727" i="3"/>
  <c r="Q727" i="3" s="1"/>
  <c r="R727" i="3" s="1"/>
  <c r="S727" i="3" s="1"/>
  <c r="Z727" i="3"/>
  <c r="AA727" i="3"/>
  <c r="AC727" i="3"/>
  <c r="AD727" i="3"/>
  <c r="U726" i="3" l="1"/>
  <c r="Y725" i="3"/>
  <c r="T727" i="3"/>
  <c r="AH727" i="3" s="1"/>
  <c r="E727" i="3" l="1"/>
  <c r="H727" i="3" s="1"/>
  <c r="K727" i="3" s="1"/>
  <c r="AE727" i="3" s="1"/>
  <c r="D727" i="3"/>
  <c r="AG727" i="3"/>
  <c r="F727" i="3" l="1"/>
  <c r="G727" i="3"/>
  <c r="M727" i="3" s="1"/>
  <c r="N727" i="3" s="1"/>
  <c r="V727" i="3"/>
  <c r="A728" i="3"/>
  <c r="B728" i="3" s="1"/>
  <c r="I727" i="3" l="1"/>
  <c r="W727" i="3" s="1"/>
  <c r="J727" i="3"/>
  <c r="L727" i="3" s="1"/>
  <c r="AA728" i="3"/>
  <c r="P728" i="3"/>
  <c r="Q728" i="3" s="1"/>
  <c r="R728" i="3" s="1"/>
  <c r="S728" i="3" s="1"/>
  <c r="AC728" i="3"/>
  <c r="Z728" i="3"/>
  <c r="AD728" i="3"/>
  <c r="U727" i="3" l="1"/>
  <c r="Y726" i="3"/>
  <c r="T728" i="3"/>
  <c r="D728" i="3" l="1"/>
  <c r="G728" i="3" s="1"/>
  <c r="AG728" i="3"/>
  <c r="E728" i="3"/>
  <c r="H728" i="3" s="1"/>
  <c r="AH728" i="3"/>
  <c r="F728" i="3" l="1"/>
  <c r="I728" i="3"/>
  <c r="J728" i="3"/>
  <c r="M728" i="3"/>
  <c r="N728" i="3" s="1"/>
  <c r="K728" i="3"/>
  <c r="AE728" i="3" s="1"/>
  <c r="V728" i="3" l="1"/>
  <c r="W728" i="3" s="1"/>
  <c r="A729" i="3"/>
  <c r="B729" i="3" s="1"/>
  <c r="L728" i="3"/>
  <c r="U728" i="3" l="1"/>
  <c r="Y727" i="3"/>
  <c r="P729" i="3"/>
  <c r="Q729" i="3" s="1"/>
  <c r="R729" i="3" s="1"/>
  <c r="S729" i="3" s="1"/>
  <c r="AA729" i="3"/>
  <c r="AD729" i="3"/>
  <c r="AC729" i="3"/>
  <c r="Z729" i="3"/>
  <c r="T729" i="3" l="1"/>
  <c r="E729" i="3" s="1"/>
  <c r="H729" i="3" s="1"/>
  <c r="AH729" i="3" l="1"/>
  <c r="D729" i="3"/>
  <c r="F729" i="3" s="1"/>
  <c r="AG729" i="3"/>
  <c r="K729" i="3"/>
  <c r="AE729" i="3" s="1"/>
  <c r="G729" i="3" l="1"/>
  <c r="I729" i="3" s="1"/>
  <c r="V729" i="3"/>
  <c r="A730" i="3"/>
  <c r="B730" i="3" s="1"/>
  <c r="W729" i="3" l="1"/>
  <c r="J729" i="3"/>
  <c r="L729" i="3" s="1"/>
  <c r="M729" i="3"/>
  <c r="N729" i="3" s="1"/>
  <c r="AA730" i="3"/>
  <c r="Z730" i="3"/>
  <c r="AD730" i="3"/>
  <c r="P730" i="3"/>
  <c r="Q730" i="3" s="1"/>
  <c r="R730" i="3" s="1"/>
  <c r="S730" i="3" s="1"/>
  <c r="AC730" i="3"/>
  <c r="U729" i="3" l="1"/>
  <c r="Y728" i="3"/>
  <c r="T730" i="3"/>
  <c r="AG730" i="3" s="1"/>
  <c r="D730" i="3" l="1"/>
  <c r="E730" i="3"/>
  <c r="H730" i="3" s="1"/>
  <c r="AH730" i="3"/>
  <c r="K730" i="3" l="1"/>
  <c r="AE730" i="3" s="1"/>
  <c r="F730" i="3"/>
  <c r="G730" i="3"/>
  <c r="I730" i="3" l="1"/>
  <c r="J730" i="3"/>
  <c r="M730" i="3"/>
  <c r="N730" i="3" s="1"/>
  <c r="V730" i="3"/>
  <c r="A731" i="3"/>
  <c r="B731" i="3" s="1"/>
  <c r="W730" i="3" l="1"/>
  <c r="L730" i="3"/>
  <c r="P731" i="3"/>
  <c r="Q731" i="3" s="1"/>
  <c r="R731" i="3" s="1"/>
  <c r="S731" i="3" s="1"/>
  <c r="Z731" i="3"/>
  <c r="AA731" i="3"/>
  <c r="AD731" i="3"/>
  <c r="AC731" i="3"/>
  <c r="U730" i="3" l="1"/>
  <c r="Y729" i="3"/>
  <c r="T731" i="3"/>
  <c r="AG731" i="3" s="1"/>
  <c r="E731" i="3" l="1"/>
  <c r="H731" i="3" s="1"/>
  <c r="K731" i="3" s="1"/>
  <c r="AE731" i="3" s="1"/>
  <c r="AH731" i="3"/>
  <c r="D731" i="3"/>
  <c r="F731" i="3" l="1"/>
  <c r="G731" i="3"/>
  <c r="J731" i="3" s="1"/>
  <c r="V731" i="3"/>
  <c r="A732" i="3"/>
  <c r="B732" i="3" s="1"/>
  <c r="M731" i="3" l="1"/>
  <c r="N731" i="3" s="1"/>
  <c r="I731" i="3"/>
  <c r="W731" i="3" s="1"/>
  <c r="L731" i="3"/>
  <c r="AC732" i="3"/>
  <c r="Z732" i="3"/>
  <c r="AD732" i="3"/>
  <c r="AA732" i="3"/>
  <c r="P732" i="3"/>
  <c r="Q732" i="3" s="1"/>
  <c r="R732" i="3" s="1"/>
  <c r="S732" i="3" s="1"/>
  <c r="U731" i="3" l="1"/>
  <c r="Y730" i="3"/>
  <c r="T732" i="3"/>
  <c r="E732" i="3" l="1"/>
  <c r="H732" i="3" s="1"/>
  <c r="K732" i="3" s="1"/>
  <c r="AE732" i="3" s="1"/>
  <c r="D732" i="3"/>
  <c r="G732" i="3" s="1"/>
  <c r="AH732" i="3"/>
  <c r="AG732" i="3"/>
  <c r="F732" i="3" l="1"/>
  <c r="I732" i="3"/>
  <c r="J732" i="3"/>
  <c r="M732" i="3"/>
  <c r="N732" i="3" s="1"/>
  <c r="V732" i="3"/>
  <c r="A733" i="3"/>
  <c r="B733" i="3" s="1"/>
  <c r="W732" i="3" l="1"/>
  <c r="L732" i="3"/>
  <c r="AC733" i="3"/>
  <c r="P733" i="3"/>
  <c r="Q733" i="3" s="1"/>
  <c r="R733" i="3" s="1"/>
  <c r="S733" i="3" s="1"/>
  <c r="AA733" i="3"/>
  <c r="Z733" i="3"/>
  <c r="AD733" i="3"/>
  <c r="T733" i="3" l="1"/>
  <c r="AH733" i="3" s="1"/>
  <c r="U732" i="3"/>
  <c r="Y731" i="3"/>
  <c r="D733" i="3" l="1"/>
  <c r="G733" i="3" s="1"/>
  <c r="E733" i="3"/>
  <c r="H733" i="3" s="1"/>
  <c r="AG733" i="3"/>
  <c r="F733" i="3" l="1"/>
  <c r="I733" i="3"/>
  <c r="J733" i="3"/>
  <c r="M733" i="3"/>
  <c r="N733" i="3" s="1"/>
  <c r="K733" i="3"/>
  <c r="AE733" i="3" s="1"/>
  <c r="V733" i="3" l="1"/>
  <c r="W733" i="3" s="1"/>
  <c r="A734" i="3"/>
  <c r="B734" i="3" s="1"/>
  <c r="L733" i="3"/>
  <c r="U733" i="3" l="1"/>
  <c r="Y732" i="3"/>
  <c r="P734" i="3"/>
  <c r="Q734" i="3" s="1"/>
  <c r="R734" i="3" s="1"/>
  <c r="S734" i="3" s="1"/>
  <c r="AC734" i="3"/>
  <c r="AA734" i="3"/>
  <c r="Z734" i="3"/>
  <c r="T734" i="3" l="1"/>
  <c r="AG734" i="3" s="1"/>
  <c r="D734" i="3" l="1"/>
  <c r="E734" i="3"/>
  <c r="H734" i="3" s="1"/>
  <c r="K734" i="3" s="1"/>
  <c r="AE734" i="3" s="1"/>
  <c r="AH734" i="3"/>
  <c r="F734" i="3" l="1"/>
  <c r="G734" i="3"/>
  <c r="M734" i="3" s="1"/>
  <c r="N734" i="3" s="1"/>
  <c r="V734" i="3"/>
  <c r="A735" i="3"/>
  <c r="B735" i="3" s="1"/>
  <c r="I734" i="3" l="1"/>
  <c r="W734" i="3" s="1"/>
  <c r="J734" i="3"/>
  <c r="AA735" i="3"/>
  <c r="Z735" i="3"/>
  <c r="P735" i="3"/>
  <c r="Q735" i="3" s="1"/>
  <c r="R735" i="3" s="1"/>
  <c r="S735" i="3" s="1"/>
  <c r="AC735" i="3"/>
  <c r="AD735" i="3"/>
  <c r="L734" i="3" l="1"/>
  <c r="Y733" i="3" s="1"/>
  <c r="AD734" i="3"/>
  <c r="T735" i="3"/>
  <c r="U734" i="3" l="1"/>
  <c r="E735" i="3" s="1"/>
  <c r="H735" i="3" s="1"/>
  <c r="AH735" i="3"/>
  <c r="AG735" i="3"/>
  <c r="D735" i="3" l="1"/>
  <c r="G735" i="3" s="1"/>
  <c r="M735" i="3" s="1"/>
  <c r="N735" i="3" s="1"/>
  <c r="K735" i="3"/>
  <c r="AE735" i="3" s="1"/>
  <c r="F735" i="3" l="1"/>
  <c r="I735" i="3"/>
  <c r="J735" i="3"/>
  <c r="L735" i="3" s="1"/>
  <c r="V735" i="3"/>
  <c r="A736" i="3"/>
  <c r="B736" i="3" s="1"/>
  <c r="W735" i="3" l="1"/>
  <c r="U735" i="3"/>
  <c r="Y734" i="3"/>
  <c r="Z736" i="3"/>
  <c r="P736" i="3"/>
  <c r="Q736" i="3" s="1"/>
  <c r="R736" i="3" s="1"/>
  <c r="S736" i="3" s="1"/>
  <c r="AA736" i="3"/>
  <c r="AD736" i="3"/>
  <c r="AC736" i="3"/>
  <c r="T736" i="3" l="1"/>
  <c r="E736" i="3" s="1"/>
  <c r="H736" i="3" s="1"/>
  <c r="AH736" i="3" l="1"/>
  <c r="D736" i="3"/>
  <c r="F736" i="3" s="1"/>
  <c r="K736" i="3"/>
  <c r="AE736" i="3" s="1"/>
  <c r="AG736" i="3"/>
  <c r="G736" i="3" l="1"/>
  <c r="M736" i="3" s="1"/>
  <c r="N736" i="3" s="1"/>
  <c r="V736" i="3"/>
  <c r="A737" i="3"/>
  <c r="B737" i="3" s="1"/>
  <c r="I736" i="3" l="1"/>
  <c r="W736" i="3" s="1"/>
  <c r="J736" i="3"/>
  <c r="L736" i="3" s="1"/>
  <c r="AC737" i="3"/>
  <c r="P737" i="3"/>
  <c r="Q737" i="3" s="1"/>
  <c r="R737" i="3" s="1"/>
  <c r="S737" i="3" s="1"/>
  <c r="AD737" i="3"/>
  <c r="Z737" i="3"/>
  <c r="AA737" i="3"/>
  <c r="U736" i="3" l="1"/>
  <c r="Y735" i="3"/>
  <c r="T737" i="3"/>
  <c r="AH737" i="3" s="1"/>
  <c r="D737" i="3" l="1"/>
  <c r="E737" i="3"/>
  <c r="H737" i="3" s="1"/>
  <c r="AG737" i="3"/>
  <c r="F737" i="3" l="1"/>
  <c r="G737" i="3"/>
  <c r="K737" i="3"/>
  <c r="AE737" i="3" s="1"/>
  <c r="V737" i="3" l="1"/>
  <c r="A738" i="3"/>
  <c r="B738" i="3" s="1"/>
  <c r="I737" i="3"/>
  <c r="J737" i="3"/>
  <c r="M737" i="3"/>
  <c r="N737" i="3" s="1"/>
  <c r="W737" i="3" l="1"/>
  <c r="L737" i="3"/>
  <c r="AA738" i="3"/>
  <c r="P738" i="3"/>
  <c r="Q738" i="3" s="1"/>
  <c r="R738" i="3" s="1"/>
  <c r="S738" i="3" s="1"/>
  <c r="AC738" i="3"/>
  <c r="Z738" i="3"/>
  <c r="AD738" i="3"/>
  <c r="U737" i="3" l="1"/>
  <c r="Y736" i="3"/>
  <c r="T738" i="3"/>
  <c r="E738" i="3" l="1"/>
  <c r="H738" i="3" s="1"/>
  <c r="K738" i="3" s="1"/>
  <c r="AE738" i="3" s="1"/>
  <c r="D738" i="3"/>
  <c r="AG738" i="3"/>
  <c r="AH738" i="3"/>
  <c r="V738" i="3" l="1"/>
  <c r="A739" i="3"/>
  <c r="B739" i="3" s="1"/>
  <c r="F738" i="3"/>
  <c r="G738" i="3"/>
  <c r="I738" i="3" l="1"/>
  <c r="W738" i="3" s="1"/>
  <c r="J738" i="3"/>
  <c r="M738" i="3"/>
  <c r="N738" i="3" s="1"/>
  <c r="P739" i="3"/>
  <c r="Q739" i="3" s="1"/>
  <c r="R739" i="3" s="1"/>
  <c r="S739" i="3" s="1"/>
  <c r="AC739" i="3"/>
  <c r="AA739" i="3"/>
  <c r="AD739" i="3"/>
  <c r="Z739" i="3"/>
  <c r="T739" i="3" l="1"/>
  <c r="L738" i="3"/>
  <c r="AH739" i="3" l="1"/>
  <c r="U738" i="3"/>
  <c r="E739" i="3" s="1"/>
  <c r="H739" i="3" s="1"/>
  <c r="AG739" i="3"/>
  <c r="Y737" i="3"/>
  <c r="D739" i="3" l="1"/>
  <c r="G739" i="3" s="1"/>
  <c r="K739" i="3"/>
  <c r="AE739" i="3" s="1"/>
  <c r="F739" i="3" l="1"/>
  <c r="I739" i="3"/>
  <c r="J739" i="3"/>
  <c r="M739" i="3"/>
  <c r="N739" i="3" s="1"/>
  <c r="V739" i="3"/>
  <c r="A740" i="3"/>
  <c r="B740" i="3" s="1"/>
  <c r="W739" i="3" l="1"/>
  <c r="L739" i="3"/>
  <c r="P740" i="3"/>
  <c r="Q740" i="3" s="1"/>
  <c r="R740" i="3" s="1"/>
  <c r="S740" i="3" s="1"/>
  <c r="Z740" i="3"/>
  <c r="AC740" i="3"/>
  <c r="AD740" i="3"/>
  <c r="AA740" i="3"/>
  <c r="U739" i="3" l="1"/>
  <c r="Y738" i="3"/>
  <c r="T740" i="3"/>
  <c r="E740" i="3" l="1"/>
  <c r="H740" i="3" s="1"/>
  <c r="K740" i="3" s="1"/>
  <c r="AE740" i="3" s="1"/>
  <c r="D740" i="3"/>
  <c r="G740" i="3" s="1"/>
  <c r="AH740" i="3"/>
  <c r="AG740" i="3"/>
  <c r="F740" i="3" l="1"/>
  <c r="I740" i="3"/>
  <c r="J740" i="3"/>
  <c r="M740" i="3"/>
  <c r="N740" i="3" s="1"/>
  <c r="V740" i="3"/>
  <c r="A741" i="3"/>
  <c r="B741" i="3" s="1"/>
  <c r="W740" i="3" l="1"/>
  <c r="L740" i="3"/>
  <c r="AA741" i="3"/>
  <c r="P741" i="3"/>
  <c r="Q741" i="3" s="1"/>
  <c r="R741" i="3" s="1"/>
  <c r="S741" i="3" s="1"/>
  <c r="AD741" i="3"/>
  <c r="Z741" i="3"/>
  <c r="AC741" i="3"/>
  <c r="T741" i="3" l="1"/>
  <c r="AG741" i="3" s="1"/>
  <c r="U740" i="3"/>
  <c r="Y739" i="3"/>
  <c r="E741" i="3" l="1"/>
  <c r="H741" i="3" s="1"/>
  <c r="D741" i="3"/>
  <c r="AH741" i="3"/>
  <c r="K741" i="3" l="1"/>
  <c r="AE741" i="3" s="1"/>
  <c r="F741" i="3"/>
  <c r="G741" i="3"/>
  <c r="V741" i="3" l="1"/>
  <c r="A742" i="3"/>
  <c r="B742" i="3" s="1"/>
  <c r="I741" i="3"/>
  <c r="J741" i="3"/>
  <c r="M741" i="3"/>
  <c r="N741" i="3" s="1"/>
  <c r="L741" i="3" l="1"/>
  <c r="W741" i="3"/>
  <c r="AC742" i="3"/>
  <c r="P742" i="3"/>
  <c r="Q742" i="3" s="1"/>
  <c r="R742" i="3" s="1"/>
  <c r="S742" i="3" s="1"/>
  <c r="AD742" i="3"/>
  <c r="Z742" i="3"/>
  <c r="AA742" i="3"/>
  <c r="U741" i="3" l="1"/>
  <c r="Y740" i="3"/>
  <c r="T742" i="3"/>
  <c r="AG742" i="3" s="1"/>
  <c r="E742" i="3" l="1"/>
  <c r="H742" i="3" s="1"/>
  <c r="K742" i="3" s="1"/>
  <c r="AE742" i="3" s="1"/>
  <c r="AH742" i="3"/>
  <c r="D742" i="3"/>
  <c r="F742" i="3" l="1"/>
  <c r="G742" i="3"/>
  <c r="V742" i="3"/>
  <c r="A743" i="3"/>
  <c r="B743" i="3" s="1"/>
  <c r="I742" i="3" l="1"/>
  <c r="W742" i="3" s="1"/>
  <c r="J742" i="3"/>
  <c r="M742" i="3"/>
  <c r="N742" i="3" s="1"/>
  <c r="Z743" i="3"/>
  <c r="AA743" i="3"/>
  <c r="P743" i="3"/>
  <c r="Q743" i="3" s="1"/>
  <c r="R743" i="3" s="1"/>
  <c r="S743" i="3" s="1"/>
  <c r="AC743" i="3"/>
  <c r="AD743" i="3"/>
  <c r="T743" i="3" l="1"/>
  <c r="L742" i="3"/>
  <c r="U742" i="3" l="1"/>
  <c r="E743" i="3" s="1"/>
  <c r="H743" i="3" s="1"/>
  <c r="AH743" i="3"/>
  <c r="AG743" i="3"/>
  <c r="Y741" i="3"/>
  <c r="D743" i="3" l="1"/>
  <c r="G743" i="3" s="1"/>
  <c r="K743" i="3"/>
  <c r="AE743" i="3" s="1"/>
  <c r="F743" i="3" l="1"/>
  <c r="I743" i="3"/>
  <c r="J743" i="3"/>
  <c r="M743" i="3"/>
  <c r="N743" i="3" s="1"/>
  <c r="V743" i="3"/>
  <c r="A744" i="3"/>
  <c r="B744" i="3" s="1"/>
  <c r="W743" i="3" l="1"/>
  <c r="L743" i="3"/>
  <c r="AA744" i="3"/>
  <c r="P744" i="3"/>
  <c r="Q744" i="3" s="1"/>
  <c r="R744" i="3" s="1"/>
  <c r="S744" i="3" s="1"/>
  <c r="AC744" i="3"/>
  <c r="Z744" i="3"/>
  <c r="U743" i="3" l="1"/>
  <c r="Y742" i="3"/>
  <c r="T744" i="3"/>
  <c r="AG744" i="3" s="1"/>
  <c r="E744" i="3" l="1"/>
  <c r="H744" i="3" s="1"/>
  <c r="K744" i="3" s="1"/>
  <c r="AE744" i="3" s="1"/>
  <c r="D744" i="3"/>
  <c r="AH744" i="3"/>
  <c r="F744" i="3" l="1"/>
  <c r="G744" i="3"/>
  <c r="I744" i="3" s="1"/>
  <c r="V744" i="3"/>
  <c r="A745" i="3"/>
  <c r="B745" i="3" s="1"/>
  <c r="J744" i="3" l="1"/>
  <c r="M744" i="3"/>
  <c r="N744" i="3" s="1"/>
  <c r="W744" i="3"/>
  <c r="P745" i="3"/>
  <c r="Q745" i="3" s="1"/>
  <c r="R745" i="3" s="1"/>
  <c r="S745" i="3" s="1"/>
  <c r="AA745" i="3"/>
  <c r="AC745" i="3"/>
  <c r="AD745" i="3"/>
  <c r="Z745" i="3"/>
  <c r="L744" i="3" l="1"/>
  <c r="U744" i="3" s="1"/>
  <c r="AD744" i="3"/>
  <c r="T745" i="3"/>
  <c r="Y743" i="3" l="1"/>
  <c r="AG745" i="3"/>
  <c r="E745" i="3"/>
  <c r="H745" i="3" s="1"/>
  <c r="K745" i="3" s="1"/>
  <c r="AE745" i="3" s="1"/>
  <c r="D745" i="3"/>
  <c r="AH745" i="3"/>
  <c r="F745" i="3" l="1"/>
  <c r="G745" i="3"/>
  <c r="M745" i="3" s="1"/>
  <c r="N745" i="3" s="1"/>
  <c r="V745" i="3"/>
  <c r="A746" i="3"/>
  <c r="B746" i="3" s="1"/>
  <c r="I745" i="3" l="1"/>
  <c r="W745" i="3" s="1"/>
  <c r="J745" i="3"/>
  <c r="L745" i="3" s="1"/>
  <c r="Z746" i="3"/>
  <c r="AD746" i="3"/>
  <c r="P746" i="3"/>
  <c r="Q746" i="3" s="1"/>
  <c r="R746" i="3" s="1"/>
  <c r="S746" i="3" s="1"/>
  <c r="AA746" i="3"/>
  <c r="AC746" i="3"/>
  <c r="U745" i="3" l="1"/>
  <c r="Y744" i="3"/>
  <c r="T746" i="3"/>
  <c r="D746" i="3" l="1"/>
  <c r="G746" i="3" s="1"/>
  <c r="AG746" i="3"/>
  <c r="E746" i="3"/>
  <c r="H746" i="3" s="1"/>
  <c r="AH746" i="3"/>
  <c r="F746" i="3" l="1"/>
  <c r="I746" i="3"/>
  <c r="J746" i="3"/>
  <c r="M746" i="3"/>
  <c r="N746" i="3" s="1"/>
  <c r="K746" i="3"/>
  <c r="AE746" i="3" s="1"/>
  <c r="V746" i="3" l="1"/>
  <c r="W746" i="3" s="1"/>
  <c r="A747" i="3"/>
  <c r="B747" i="3" s="1"/>
  <c r="L746" i="3"/>
  <c r="U746" i="3" l="1"/>
  <c r="Y745" i="3"/>
  <c r="AA747" i="3"/>
  <c r="AD747" i="3"/>
  <c r="Z747" i="3"/>
  <c r="AC747" i="3"/>
  <c r="P747" i="3"/>
  <c r="Q747" i="3" s="1"/>
  <c r="R747" i="3" s="1"/>
  <c r="S747" i="3" s="1"/>
  <c r="T747" i="3" l="1"/>
  <c r="D747" i="3" s="1"/>
  <c r="AG747" i="3" l="1"/>
  <c r="E747" i="3"/>
  <c r="H747" i="3" s="1"/>
  <c r="K747" i="3" s="1"/>
  <c r="AE747" i="3" s="1"/>
  <c r="AH747" i="3"/>
  <c r="G747" i="3"/>
  <c r="F747" i="3" l="1"/>
  <c r="I747" i="3"/>
  <c r="J747" i="3"/>
  <c r="M747" i="3"/>
  <c r="N747" i="3" s="1"/>
  <c r="V747" i="3"/>
  <c r="A748" i="3"/>
  <c r="B748" i="3" s="1"/>
  <c r="W747" i="3" l="1"/>
  <c r="L747" i="3"/>
  <c r="AC748" i="3"/>
  <c r="P748" i="3"/>
  <c r="Q748" i="3" s="1"/>
  <c r="R748" i="3" s="1"/>
  <c r="S748" i="3" s="1"/>
  <c r="AD748" i="3"/>
  <c r="Z748" i="3"/>
  <c r="AA748" i="3"/>
  <c r="U747" i="3" l="1"/>
  <c r="Y746" i="3"/>
  <c r="T748" i="3"/>
  <c r="E748" i="3" l="1"/>
  <c r="H748" i="3" s="1"/>
  <c r="K748" i="3" s="1"/>
  <c r="AE748" i="3" s="1"/>
  <c r="D748" i="3"/>
  <c r="AH748" i="3"/>
  <c r="AG748" i="3"/>
  <c r="V748" i="3" l="1"/>
  <c r="A749" i="3"/>
  <c r="B749" i="3" s="1"/>
  <c r="F748" i="3"/>
  <c r="G748" i="3"/>
  <c r="I748" i="3" l="1"/>
  <c r="W748" i="3" s="1"/>
  <c r="J748" i="3"/>
  <c r="M748" i="3"/>
  <c r="N748" i="3" s="1"/>
  <c r="AA749" i="3"/>
  <c r="Z749" i="3"/>
  <c r="P749" i="3"/>
  <c r="Q749" i="3" s="1"/>
  <c r="R749" i="3" s="1"/>
  <c r="S749" i="3" s="1"/>
  <c r="AC749" i="3"/>
  <c r="AD749" i="3"/>
  <c r="T749" i="3" l="1"/>
  <c r="L748" i="3"/>
  <c r="U748" i="3" l="1"/>
  <c r="E749" i="3" s="1"/>
  <c r="H749" i="3" s="1"/>
  <c r="AG749" i="3"/>
  <c r="AH749" i="3"/>
  <c r="Y747" i="3"/>
  <c r="K749" i="3" l="1"/>
  <c r="AE749" i="3" s="1"/>
  <c r="D749" i="3"/>
  <c r="V749" i="3" l="1"/>
  <c r="A750" i="3"/>
  <c r="B750" i="3" s="1"/>
  <c r="F749" i="3"/>
  <c r="G749" i="3"/>
  <c r="I749" i="3" l="1"/>
  <c r="W749" i="3" s="1"/>
  <c r="J749" i="3"/>
  <c r="M749" i="3"/>
  <c r="N749" i="3" s="1"/>
  <c r="AA750" i="3"/>
  <c r="AC750" i="3"/>
  <c r="Z750" i="3"/>
  <c r="AD750" i="3"/>
  <c r="P750" i="3"/>
  <c r="Q750" i="3" s="1"/>
  <c r="R750" i="3" s="1"/>
  <c r="S750" i="3" s="1"/>
  <c r="T750" i="3" l="1"/>
  <c r="L749" i="3"/>
  <c r="AH750" i="3" l="1"/>
  <c r="AG750" i="3"/>
  <c r="U749" i="3"/>
  <c r="D750" i="3" s="1"/>
  <c r="Y748" i="3"/>
  <c r="G750" i="3" l="1"/>
  <c r="E750" i="3"/>
  <c r="H750" i="3" s="1"/>
  <c r="F750" i="3" l="1"/>
  <c r="I750" i="3"/>
  <c r="J750" i="3"/>
  <c r="M750" i="3"/>
  <c r="N750" i="3" s="1"/>
  <c r="K750" i="3"/>
  <c r="AE750" i="3" s="1"/>
  <c r="V750" i="3" l="1"/>
  <c r="W750" i="3" s="1"/>
  <c r="A751" i="3"/>
  <c r="B751" i="3" s="1"/>
  <c r="L750" i="3"/>
  <c r="U750" i="3" l="1"/>
  <c r="Y749" i="3"/>
  <c r="P751" i="3"/>
  <c r="Q751" i="3" s="1"/>
  <c r="R751" i="3" s="1"/>
  <c r="S751" i="3" s="1"/>
  <c r="Z751" i="3"/>
  <c r="AA751" i="3"/>
  <c r="AC751" i="3"/>
  <c r="AD751" i="3"/>
  <c r="T751" i="3" l="1"/>
  <c r="AH751" i="3" s="1"/>
  <c r="E751" i="3" l="1"/>
  <c r="H751" i="3" s="1"/>
  <c r="K751" i="3" s="1"/>
  <c r="AE751" i="3" s="1"/>
  <c r="AG751" i="3"/>
  <c r="D751" i="3"/>
  <c r="F751" i="3" l="1"/>
  <c r="G751" i="3"/>
  <c r="V751" i="3"/>
  <c r="A752" i="3"/>
  <c r="B752" i="3" s="1"/>
  <c r="AA752" i="3" l="1"/>
  <c r="AD752" i="3"/>
  <c r="Z752" i="3"/>
  <c r="AC752" i="3"/>
  <c r="P752" i="3"/>
  <c r="Q752" i="3" s="1"/>
  <c r="R752" i="3" s="1"/>
  <c r="S752" i="3" s="1"/>
  <c r="I751" i="3"/>
  <c r="W751" i="3" s="1"/>
  <c r="J751" i="3"/>
  <c r="M751" i="3"/>
  <c r="N751" i="3" s="1"/>
  <c r="L751" i="3" l="1"/>
  <c r="T752" i="3"/>
  <c r="U751" i="3" l="1"/>
  <c r="E752" i="3" s="1"/>
  <c r="H752" i="3" s="1"/>
  <c r="AG752" i="3"/>
  <c r="AH752" i="3"/>
  <c r="Y750" i="3"/>
  <c r="K752" i="3" l="1"/>
  <c r="AE752" i="3" s="1"/>
  <c r="D752" i="3"/>
  <c r="V752" i="3" l="1"/>
  <c r="A753" i="3"/>
  <c r="B753" i="3" s="1"/>
  <c r="F752" i="3"/>
  <c r="G752" i="3"/>
  <c r="I752" i="3" l="1"/>
  <c r="W752" i="3" s="1"/>
  <c r="J752" i="3"/>
  <c r="M752" i="3"/>
  <c r="N752" i="3" s="1"/>
  <c r="AD753" i="3"/>
  <c r="AA753" i="3"/>
  <c r="Z753" i="3"/>
  <c r="P753" i="3"/>
  <c r="Q753" i="3" s="1"/>
  <c r="R753" i="3" s="1"/>
  <c r="S753" i="3" s="1"/>
  <c r="AC753" i="3"/>
  <c r="T753" i="3" l="1"/>
  <c r="L752" i="3"/>
  <c r="AG753" i="3" l="1"/>
  <c r="U752" i="3"/>
  <c r="E753" i="3" s="1"/>
  <c r="H753" i="3" s="1"/>
  <c r="AH753" i="3"/>
  <c r="Y751" i="3"/>
  <c r="K753" i="3" l="1"/>
  <c r="AE753" i="3" s="1"/>
  <c r="D753" i="3"/>
  <c r="V753" i="3" l="1"/>
  <c r="A754" i="3"/>
  <c r="B754" i="3" s="1"/>
  <c r="F753" i="3"/>
  <c r="G753" i="3"/>
  <c r="I753" i="3" l="1"/>
  <c r="W753" i="3" s="1"/>
  <c r="J753" i="3"/>
  <c r="M753" i="3"/>
  <c r="N753" i="3" s="1"/>
  <c r="AC754" i="3"/>
  <c r="P754" i="3"/>
  <c r="Q754" i="3" s="1"/>
  <c r="R754" i="3" s="1"/>
  <c r="S754" i="3" s="1"/>
  <c r="Z754" i="3"/>
  <c r="AA754" i="3"/>
  <c r="T754" i="3" l="1"/>
  <c r="L753" i="3"/>
  <c r="AG754" i="3" l="1"/>
  <c r="AH754" i="3"/>
  <c r="U753" i="3"/>
  <c r="E754" i="3" s="1"/>
  <c r="H754" i="3" s="1"/>
  <c r="Y752" i="3"/>
  <c r="D754" i="3" l="1"/>
  <c r="G754" i="3" s="1"/>
  <c r="K754" i="3"/>
  <c r="AE754" i="3" s="1"/>
  <c r="F754" i="3" l="1"/>
  <c r="I754" i="3"/>
  <c r="J754" i="3"/>
  <c r="AD754" i="3" s="1"/>
  <c r="M754" i="3"/>
  <c r="N754" i="3" s="1"/>
  <c r="V754" i="3"/>
  <c r="A755" i="3"/>
  <c r="B755" i="3" s="1"/>
  <c r="W754" i="3" l="1"/>
  <c r="L754" i="3"/>
  <c r="AD755" i="3"/>
  <c r="AC755" i="3"/>
  <c r="AA755" i="3"/>
  <c r="P755" i="3"/>
  <c r="Q755" i="3" s="1"/>
  <c r="R755" i="3" s="1"/>
  <c r="S755" i="3" s="1"/>
  <c r="Z755" i="3"/>
  <c r="T755" i="3" l="1"/>
  <c r="U754" i="3"/>
  <c r="Y753" i="3"/>
  <c r="E755" i="3" l="1"/>
  <c r="H755" i="3" s="1"/>
  <c r="K755" i="3" s="1"/>
  <c r="AE755" i="3" s="1"/>
  <c r="AH755" i="3"/>
  <c r="AG755" i="3"/>
  <c r="D755" i="3"/>
  <c r="F755" i="3" l="1"/>
  <c r="G755" i="3"/>
  <c r="V755" i="3"/>
  <c r="A756" i="3"/>
  <c r="B756" i="3" s="1"/>
  <c r="P756" i="3" l="1"/>
  <c r="Q756" i="3" s="1"/>
  <c r="R756" i="3" s="1"/>
  <c r="S756" i="3" s="1"/>
  <c r="Z756" i="3"/>
  <c r="AA756" i="3"/>
  <c r="AC756" i="3"/>
  <c r="AD756" i="3"/>
  <c r="I755" i="3"/>
  <c r="W755" i="3" s="1"/>
  <c r="J755" i="3"/>
  <c r="M755" i="3"/>
  <c r="N755" i="3" s="1"/>
  <c r="T756" i="3" l="1"/>
  <c r="L755" i="3"/>
  <c r="AG756" i="3" l="1"/>
  <c r="U755" i="3"/>
  <c r="E756" i="3" s="1"/>
  <c r="H756" i="3" s="1"/>
  <c r="AH756" i="3"/>
  <c r="Y754" i="3"/>
  <c r="D756" i="3" l="1"/>
  <c r="F756" i="3" s="1"/>
  <c r="K756" i="3"/>
  <c r="AE756" i="3" s="1"/>
  <c r="G756" i="3" l="1"/>
  <c r="M756" i="3" s="1"/>
  <c r="N756" i="3" s="1"/>
  <c r="V756" i="3"/>
  <c r="A757" i="3"/>
  <c r="B757" i="3" s="1"/>
  <c r="I756" i="3" l="1"/>
  <c r="W756" i="3" s="1"/>
  <c r="J756" i="3"/>
  <c r="L756" i="3" s="1"/>
  <c r="AD757" i="3"/>
  <c r="AC757" i="3"/>
  <c r="P757" i="3"/>
  <c r="Q757" i="3" s="1"/>
  <c r="R757" i="3" s="1"/>
  <c r="S757" i="3" s="1"/>
  <c r="Z757" i="3"/>
  <c r="AA757" i="3"/>
  <c r="T757" i="3" l="1"/>
  <c r="U756" i="3"/>
  <c r="Y755" i="3"/>
  <c r="E757" i="3" l="1"/>
  <c r="H757" i="3" s="1"/>
  <c r="K757" i="3" s="1"/>
  <c r="AE757" i="3" s="1"/>
  <c r="AH757" i="3"/>
  <c r="D757" i="3"/>
  <c r="AG757" i="3"/>
  <c r="V757" i="3" l="1"/>
  <c r="A758" i="3"/>
  <c r="B758" i="3" s="1"/>
  <c r="F757" i="3"/>
  <c r="G757" i="3"/>
  <c r="I757" i="3" l="1"/>
  <c r="W757" i="3" s="1"/>
  <c r="J757" i="3"/>
  <c r="M757" i="3"/>
  <c r="N757" i="3" s="1"/>
  <c r="AA758" i="3"/>
  <c r="Z758" i="3"/>
  <c r="AD758" i="3"/>
  <c r="AC758" i="3"/>
  <c r="P758" i="3"/>
  <c r="Q758" i="3" s="1"/>
  <c r="R758" i="3" s="1"/>
  <c r="S758" i="3" s="1"/>
  <c r="T758" i="3" l="1"/>
  <c r="L757" i="3"/>
  <c r="AG758" i="3" l="1"/>
  <c r="U757" i="3"/>
  <c r="D758" i="3" s="1"/>
  <c r="AH758" i="3"/>
  <c r="Y756" i="3"/>
  <c r="E758" i="3" l="1"/>
  <c r="H758" i="3" s="1"/>
  <c r="K758" i="3" s="1"/>
  <c r="AE758" i="3" s="1"/>
  <c r="G758" i="3"/>
  <c r="F758" i="3" l="1"/>
  <c r="V758" i="3"/>
  <c r="A759" i="3"/>
  <c r="B759" i="3" s="1"/>
  <c r="I758" i="3"/>
  <c r="J758" i="3"/>
  <c r="M758" i="3"/>
  <c r="N758" i="3" s="1"/>
  <c r="L758" i="3" l="1"/>
  <c r="W758" i="3"/>
  <c r="AD759" i="3"/>
  <c r="P759" i="3"/>
  <c r="Q759" i="3" s="1"/>
  <c r="R759" i="3" s="1"/>
  <c r="S759" i="3" s="1"/>
  <c r="Z759" i="3"/>
  <c r="AA759" i="3"/>
  <c r="AC759" i="3"/>
  <c r="U758" i="3" l="1"/>
  <c r="Y757" i="3"/>
  <c r="T759" i="3"/>
  <c r="D759" i="3" l="1"/>
  <c r="G759" i="3" s="1"/>
  <c r="AG759" i="3"/>
  <c r="E759" i="3"/>
  <c r="H759" i="3" s="1"/>
  <c r="AH759" i="3"/>
  <c r="F759" i="3" l="1"/>
  <c r="I759" i="3"/>
  <c r="J759" i="3"/>
  <c r="M759" i="3"/>
  <c r="N759" i="3" s="1"/>
  <c r="K759" i="3"/>
  <c r="AE759" i="3" s="1"/>
  <c r="V759" i="3" l="1"/>
  <c r="W759" i="3" s="1"/>
  <c r="A760" i="3"/>
  <c r="B760" i="3" s="1"/>
  <c r="L759" i="3"/>
  <c r="U759" i="3" l="1"/>
  <c r="Y758" i="3"/>
  <c r="AA760" i="3"/>
  <c r="AC760" i="3"/>
  <c r="Z760" i="3"/>
  <c r="P760" i="3"/>
  <c r="Q760" i="3" s="1"/>
  <c r="R760" i="3" s="1"/>
  <c r="S760" i="3" s="1"/>
  <c r="AD760" i="3"/>
  <c r="T760" i="3" l="1"/>
  <c r="E760" i="3" s="1"/>
  <c r="H760" i="3" s="1"/>
  <c r="AH760" i="3" l="1"/>
  <c r="AG760" i="3"/>
  <c r="D760" i="3"/>
  <c r="G760" i="3" s="1"/>
  <c r="K760" i="3"/>
  <c r="AE760" i="3" s="1"/>
  <c r="F760" i="3" l="1"/>
  <c r="I760" i="3"/>
  <c r="J760" i="3"/>
  <c r="M760" i="3"/>
  <c r="N760" i="3" s="1"/>
  <c r="V760" i="3"/>
  <c r="A761" i="3"/>
  <c r="B761" i="3" s="1"/>
  <c r="W760" i="3" l="1"/>
  <c r="L760" i="3"/>
  <c r="P761" i="3"/>
  <c r="Q761" i="3" s="1"/>
  <c r="R761" i="3" s="1"/>
  <c r="S761" i="3" s="1"/>
  <c r="Z761" i="3"/>
  <c r="AA761" i="3"/>
  <c r="AD761" i="3"/>
  <c r="AC761" i="3"/>
  <c r="T761" i="3" l="1"/>
  <c r="U760" i="3"/>
  <c r="Y759" i="3"/>
  <c r="D761" i="3" l="1"/>
  <c r="G761" i="3" s="1"/>
  <c r="AG761" i="3"/>
  <c r="AH761" i="3"/>
  <c r="E761" i="3"/>
  <c r="H761" i="3" s="1"/>
  <c r="F761" i="3" l="1"/>
  <c r="I761" i="3"/>
  <c r="J761" i="3"/>
  <c r="M761" i="3"/>
  <c r="N761" i="3" s="1"/>
  <c r="K761" i="3"/>
  <c r="AE761" i="3" s="1"/>
  <c r="V761" i="3" l="1"/>
  <c r="W761" i="3" s="1"/>
  <c r="A762" i="3"/>
  <c r="B762" i="3" s="1"/>
  <c r="L761" i="3"/>
  <c r="U761" i="3" l="1"/>
  <c r="Y760" i="3"/>
  <c r="AA762" i="3"/>
  <c r="Z762" i="3"/>
  <c r="AC762" i="3"/>
  <c r="P762" i="3"/>
  <c r="Q762" i="3" s="1"/>
  <c r="R762" i="3" s="1"/>
  <c r="S762" i="3" s="1"/>
  <c r="AD762" i="3"/>
  <c r="T762" i="3" l="1"/>
  <c r="D762" i="3" s="1"/>
  <c r="E762" i="3" l="1"/>
  <c r="H762" i="3" s="1"/>
  <c r="K762" i="3" s="1"/>
  <c r="AE762" i="3" s="1"/>
  <c r="AH762" i="3"/>
  <c r="AG762" i="3"/>
  <c r="G762" i="3"/>
  <c r="F762" i="3" l="1"/>
  <c r="I762" i="3"/>
  <c r="J762" i="3"/>
  <c r="M762" i="3"/>
  <c r="N762" i="3" s="1"/>
  <c r="V762" i="3"/>
  <c r="A763" i="3"/>
  <c r="B763" i="3" s="1"/>
  <c r="W762" i="3" l="1"/>
  <c r="L762" i="3"/>
  <c r="AC763" i="3"/>
  <c r="Z763" i="3"/>
  <c r="AA763" i="3"/>
  <c r="P763" i="3"/>
  <c r="Q763" i="3" s="1"/>
  <c r="R763" i="3" s="1"/>
  <c r="S763" i="3" s="1"/>
  <c r="AD763" i="3"/>
  <c r="U762" i="3" l="1"/>
  <c r="Y761" i="3"/>
  <c r="T763" i="3"/>
  <c r="D763" i="3" l="1"/>
  <c r="G763" i="3" s="1"/>
  <c r="AG763" i="3"/>
  <c r="AH763" i="3"/>
  <c r="E763" i="3"/>
  <c r="H763" i="3" s="1"/>
  <c r="K763" i="3" s="1"/>
  <c r="AE763" i="3" s="1"/>
  <c r="F763" i="3" l="1"/>
  <c r="I763" i="3"/>
  <c r="J763" i="3"/>
  <c r="M763" i="3"/>
  <c r="N763" i="3" s="1"/>
  <c r="V763" i="3"/>
  <c r="A764" i="3"/>
  <c r="B764" i="3" s="1"/>
  <c r="W763" i="3" l="1"/>
  <c r="L763" i="3"/>
  <c r="Z764" i="3"/>
  <c r="P764" i="3"/>
  <c r="Q764" i="3" s="1"/>
  <c r="R764" i="3" s="1"/>
  <c r="S764" i="3" s="1"/>
  <c r="AC764" i="3"/>
  <c r="AA764" i="3"/>
  <c r="U763" i="3" l="1"/>
  <c r="Y762" i="3"/>
  <c r="T764" i="3"/>
  <c r="E764" i="3" l="1"/>
  <c r="H764" i="3" s="1"/>
  <c r="K764" i="3" s="1"/>
  <c r="AE764" i="3" s="1"/>
  <c r="AG764" i="3"/>
  <c r="D764" i="3"/>
  <c r="AH764" i="3"/>
  <c r="F764" i="3" l="1"/>
  <c r="G764" i="3"/>
  <c r="V764" i="3"/>
  <c r="A765" i="3"/>
  <c r="B765" i="3" s="1"/>
  <c r="P765" i="3" l="1"/>
  <c r="Q765" i="3" s="1"/>
  <c r="R765" i="3" s="1"/>
  <c r="S765" i="3" s="1"/>
  <c r="Z765" i="3"/>
  <c r="AA765" i="3"/>
  <c r="AC765" i="3"/>
  <c r="AD765" i="3"/>
  <c r="I764" i="3"/>
  <c r="W764" i="3" s="1"/>
  <c r="J764" i="3"/>
  <c r="AD764" i="3" s="1"/>
  <c r="M764" i="3"/>
  <c r="N764" i="3" s="1"/>
  <c r="T765" i="3" l="1"/>
  <c r="L764" i="3"/>
  <c r="AG765" i="3" l="1"/>
  <c r="AH765" i="3"/>
  <c r="U764" i="3"/>
  <c r="D765" i="3" s="1"/>
  <c r="Y763" i="3"/>
  <c r="E765" i="3" l="1"/>
  <c r="H765" i="3" s="1"/>
  <c r="K765" i="3" s="1"/>
  <c r="AE765" i="3" s="1"/>
  <c r="G765" i="3"/>
  <c r="F765" i="3" l="1"/>
  <c r="I765" i="3"/>
  <c r="J765" i="3"/>
  <c r="M765" i="3"/>
  <c r="N765" i="3" s="1"/>
  <c r="V765" i="3"/>
  <c r="A766" i="3"/>
  <c r="B766" i="3" s="1"/>
  <c r="W765" i="3" l="1"/>
  <c r="L765" i="3"/>
  <c r="AD766" i="3"/>
  <c r="P766" i="3"/>
  <c r="Q766" i="3" s="1"/>
  <c r="R766" i="3" s="1"/>
  <c r="S766" i="3" s="1"/>
  <c r="AA766" i="3"/>
  <c r="Z766" i="3"/>
  <c r="AC766" i="3"/>
  <c r="U765" i="3" l="1"/>
  <c r="Y764" i="3"/>
  <c r="T766" i="3"/>
  <c r="E766" i="3" l="1"/>
  <c r="H766" i="3" s="1"/>
  <c r="K766" i="3" s="1"/>
  <c r="AE766" i="3" s="1"/>
  <c r="D766" i="3"/>
  <c r="AG766" i="3"/>
  <c r="AH766" i="3"/>
  <c r="V766" i="3" l="1"/>
  <c r="A767" i="3"/>
  <c r="B767" i="3" s="1"/>
  <c r="F766" i="3"/>
  <c r="G766" i="3"/>
  <c r="I766" i="3" l="1"/>
  <c r="W766" i="3" s="1"/>
  <c r="J766" i="3"/>
  <c r="M766" i="3"/>
  <c r="N766" i="3" s="1"/>
  <c r="P767" i="3"/>
  <c r="Q767" i="3" s="1"/>
  <c r="R767" i="3" s="1"/>
  <c r="S767" i="3" s="1"/>
  <c r="AC767" i="3"/>
  <c r="AD767" i="3"/>
  <c r="AA767" i="3"/>
  <c r="Z767" i="3"/>
  <c r="T767" i="3" l="1"/>
  <c r="L766" i="3"/>
  <c r="AH767" i="3" l="1"/>
  <c r="AG767" i="3"/>
  <c r="U766" i="3"/>
  <c r="D767" i="3" s="1"/>
  <c r="Y765" i="3"/>
  <c r="E767" i="3" l="1"/>
  <c r="H767" i="3" s="1"/>
  <c r="K767" i="3" s="1"/>
  <c r="AE767" i="3" s="1"/>
  <c r="G767" i="3"/>
  <c r="F767" i="3" l="1"/>
  <c r="I767" i="3"/>
  <c r="J767" i="3"/>
  <c r="M767" i="3"/>
  <c r="N767" i="3" s="1"/>
  <c r="V767" i="3"/>
  <c r="A768" i="3"/>
  <c r="B768" i="3" s="1"/>
  <c r="W767" i="3" l="1"/>
  <c r="L767" i="3"/>
  <c r="AC768" i="3"/>
  <c r="AA768" i="3"/>
  <c r="AD768" i="3"/>
  <c r="P768" i="3"/>
  <c r="Q768" i="3" s="1"/>
  <c r="R768" i="3" s="1"/>
  <c r="S768" i="3" s="1"/>
  <c r="Z768" i="3"/>
  <c r="T768" i="3" l="1"/>
  <c r="AG768" i="3" s="1"/>
  <c r="U767" i="3"/>
  <c r="Y766" i="3"/>
  <c r="D768" i="3" l="1"/>
  <c r="G768" i="3" s="1"/>
  <c r="AH768" i="3"/>
  <c r="E768" i="3"/>
  <c r="H768" i="3" s="1"/>
  <c r="K768" i="3" l="1"/>
  <c r="AE768" i="3" s="1"/>
  <c r="I768" i="3"/>
  <c r="J768" i="3"/>
  <c r="M768" i="3"/>
  <c r="N768" i="3" s="1"/>
  <c r="F768" i="3"/>
  <c r="L768" i="3" l="1"/>
  <c r="V768" i="3"/>
  <c r="W768" i="3" s="1"/>
  <c r="A769" i="3"/>
  <c r="B769" i="3" s="1"/>
  <c r="AD769" i="3" l="1"/>
  <c r="AC769" i="3"/>
  <c r="Z769" i="3"/>
  <c r="P769" i="3"/>
  <c r="Q769" i="3" s="1"/>
  <c r="R769" i="3" s="1"/>
  <c r="S769" i="3" s="1"/>
  <c r="AA769" i="3"/>
  <c r="U768" i="3"/>
  <c r="Y767" i="3"/>
  <c r="T769" i="3" l="1"/>
  <c r="AG769" i="3" l="1"/>
  <c r="D769" i="3"/>
  <c r="AH769" i="3"/>
  <c r="E769" i="3"/>
  <c r="H769" i="3" s="1"/>
  <c r="F769" i="3" l="1"/>
  <c r="G769" i="3"/>
  <c r="K769" i="3"/>
  <c r="AE769" i="3" s="1"/>
  <c r="V769" i="3" l="1"/>
  <c r="A770" i="3"/>
  <c r="B770" i="3" s="1"/>
  <c r="I769" i="3"/>
  <c r="J769" i="3"/>
  <c r="M769" i="3"/>
  <c r="N769" i="3" s="1"/>
  <c r="W769" i="3" l="1"/>
  <c r="L769" i="3"/>
  <c r="AC770" i="3"/>
  <c r="P770" i="3"/>
  <c r="Q770" i="3" s="1"/>
  <c r="R770" i="3" s="1"/>
  <c r="S770" i="3" s="1"/>
  <c r="AD770" i="3"/>
  <c r="Z770" i="3"/>
  <c r="AA770" i="3"/>
  <c r="U769" i="3" l="1"/>
  <c r="Y768" i="3"/>
  <c r="T770" i="3"/>
  <c r="AG770" i="3" s="1"/>
  <c r="E770" i="3" l="1"/>
  <c r="H770" i="3" s="1"/>
  <c r="K770" i="3" s="1"/>
  <c r="AE770" i="3" s="1"/>
  <c r="D770" i="3"/>
  <c r="AH770" i="3"/>
  <c r="F770" i="3" l="1"/>
  <c r="G770" i="3"/>
  <c r="M770" i="3" s="1"/>
  <c r="N770" i="3" s="1"/>
  <c r="V770" i="3"/>
  <c r="A771" i="3"/>
  <c r="B771" i="3" s="1"/>
  <c r="I770" i="3" l="1"/>
  <c r="W770" i="3" s="1"/>
  <c r="J770" i="3"/>
  <c r="L770" i="3" s="1"/>
  <c r="AA771" i="3"/>
  <c r="AC771" i="3"/>
  <c r="P771" i="3"/>
  <c r="Q771" i="3" s="1"/>
  <c r="R771" i="3" s="1"/>
  <c r="S771" i="3" s="1"/>
  <c r="Z771" i="3"/>
  <c r="AD771" i="3"/>
  <c r="U770" i="3" l="1"/>
  <c r="Y769" i="3"/>
  <c r="T771" i="3"/>
  <c r="AH771" i="3" s="1"/>
  <c r="E771" i="3" l="1"/>
  <c r="H771" i="3" s="1"/>
  <c r="AG771" i="3"/>
  <c r="D771" i="3"/>
  <c r="K771" i="3" l="1"/>
  <c r="AE771" i="3" s="1"/>
  <c r="F771" i="3"/>
  <c r="G771" i="3"/>
  <c r="V771" i="3" l="1"/>
  <c r="A772" i="3"/>
  <c r="B772" i="3" s="1"/>
  <c r="I771" i="3"/>
  <c r="J771" i="3"/>
  <c r="M771" i="3"/>
  <c r="N771" i="3" s="1"/>
  <c r="L771" i="3" l="1"/>
  <c r="W771" i="3"/>
  <c r="AD772" i="3"/>
  <c r="AA772" i="3"/>
  <c r="Z772" i="3"/>
  <c r="AC772" i="3"/>
  <c r="P772" i="3"/>
  <c r="Q772" i="3" s="1"/>
  <c r="R772" i="3" s="1"/>
  <c r="S772" i="3" s="1"/>
  <c r="U771" i="3" l="1"/>
  <c r="Y770" i="3"/>
  <c r="T772" i="3"/>
  <c r="E772" i="3" l="1"/>
  <c r="H772" i="3" s="1"/>
  <c r="K772" i="3" s="1"/>
  <c r="AE772" i="3" s="1"/>
  <c r="D772" i="3"/>
  <c r="G772" i="3" s="1"/>
  <c r="AG772" i="3"/>
  <c r="AH772" i="3"/>
  <c r="F772" i="3" l="1"/>
  <c r="V772" i="3"/>
  <c r="A773" i="3"/>
  <c r="B773" i="3" s="1"/>
  <c r="I772" i="3"/>
  <c r="J772" i="3"/>
  <c r="M772" i="3"/>
  <c r="N772" i="3" s="1"/>
  <c r="W772" i="3" l="1"/>
  <c r="L772" i="3"/>
  <c r="AA773" i="3"/>
  <c r="P773" i="3"/>
  <c r="Q773" i="3" s="1"/>
  <c r="R773" i="3" s="1"/>
  <c r="S773" i="3" s="1"/>
  <c r="Z773" i="3"/>
  <c r="AD773" i="3"/>
  <c r="AC773" i="3"/>
  <c r="U772" i="3" l="1"/>
  <c r="Y771" i="3"/>
  <c r="T773" i="3"/>
  <c r="AG773" i="3" s="1"/>
  <c r="D773" i="3" l="1"/>
  <c r="E773" i="3"/>
  <c r="H773" i="3" s="1"/>
  <c r="K773" i="3" s="1"/>
  <c r="AE773" i="3" s="1"/>
  <c r="AH773" i="3"/>
  <c r="F773" i="3" l="1"/>
  <c r="G773" i="3"/>
  <c r="M773" i="3" s="1"/>
  <c r="N773" i="3" s="1"/>
  <c r="V773" i="3"/>
  <c r="A774" i="3"/>
  <c r="B774" i="3" s="1"/>
  <c r="I773" i="3" l="1"/>
  <c r="W773" i="3" s="1"/>
  <c r="J773" i="3"/>
  <c r="L773" i="3" s="1"/>
  <c r="AC774" i="3"/>
  <c r="P774" i="3"/>
  <c r="Q774" i="3" s="1"/>
  <c r="R774" i="3" s="1"/>
  <c r="S774" i="3" s="1"/>
  <c r="AA774" i="3"/>
  <c r="Z774" i="3"/>
  <c r="U773" i="3" l="1"/>
  <c r="Y772" i="3"/>
  <c r="T774" i="3"/>
  <c r="AG774" i="3" s="1"/>
  <c r="E774" i="3" l="1"/>
  <c r="H774" i="3" s="1"/>
  <c r="K774" i="3" s="1"/>
  <c r="AE774" i="3" s="1"/>
  <c r="AH774" i="3"/>
  <c r="D774" i="3"/>
  <c r="F774" i="3" l="1"/>
  <c r="G774" i="3"/>
  <c r="M774" i="3" s="1"/>
  <c r="N774" i="3" s="1"/>
  <c r="V774" i="3"/>
  <c r="A775" i="3"/>
  <c r="B775" i="3" s="1"/>
  <c r="I774" i="3" l="1"/>
  <c r="W774" i="3" s="1"/>
  <c r="J774" i="3"/>
  <c r="P775" i="3"/>
  <c r="Q775" i="3" s="1"/>
  <c r="R775" i="3" s="1"/>
  <c r="S775" i="3" s="1"/>
  <c r="Z775" i="3"/>
  <c r="AD775" i="3"/>
  <c r="AA775" i="3"/>
  <c r="AC775" i="3"/>
  <c r="L774" i="3" l="1"/>
  <c r="Y773" i="3" s="1"/>
  <c r="AD774" i="3"/>
  <c r="T775" i="3"/>
  <c r="U774" i="3" l="1"/>
  <c r="D775" i="3" s="1"/>
  <c r="AG775" i="3"/>
  <c r="AH775" i="3"/>
  <c r="E775" i="3" l="1"/>
  <c r="H775" i="3" s="1"/>
  <c r="K775" i="3" s="1"/>
  <c r="AE775" i="3" s="1"/>
  <c r="G775" i="3"/>
  <c r="M775" i="3" l="1"/>
  <c r="N775" i="3" s="1"/>
  <c r="A776" i="3"/>
  <c r="B776" i="3" s="1"/>
  <c r="AD776" i="3" s="1"/>
  <c r="V775" i="3"/>
  <c r="F775" i="3"/>
  <c r="I775" i="3"/>
  <c r="J775" i="3"/>
  <c r="L775" i="3" s="1"/>
  <c r="W775" i="3" l="1"/>
  <c r="P776" i="3"/>
  <c r="Q776" i="3" s="1"/>
  <c r="R776" i="3" s="1"/>
  <c r="S776" i="3" s="1"/>
  <c r="T776" i="3" s="1"/>
  <c r="AA776" i="3"/>
  <c r="AC776" i="3"/>
  <c r="Z776" i="3"/>
  <c r="U775" i="3"/>
  <c r="Y774" i="3"/>
  <c r="AG776" i="3" l="1"/>
  <c r="AH776" i="3"/>
  <c r="E776" i="3"/>
  <c r="H776" i="3" s="1"/>
  <c r="K776" i="3" s="1"/>
  <c r="AE776" i="3" s="1"/>
  <c r="D776" i="3"/>
  <c r="G776" i="3" s="1"/>
  <c r="F776" i="3" l="1"/>
  <c r="I776" i="3"/>
  <c r="J776" i="3"/>
  <c r="M776" i="3"/>
  <c r="N776" i="3" s="1"/>
  <c r="V776" i="3"/>
  <c r="A777" i="3"/>
  <c r="B777" i="3" s="1"/>
  <c r="W776" i="3" l="1"/>
  <c r="L776" i="3"/>
  <c r="Z777" i="3"/>
  <c r="AA777" i="3"/>
  <c r="P777" i="3"/>
  <c r="Q777" i="3" s="1"/>
  <c r="R777" i="3" s="1"/>
  <c r="S777" i="3" s="1"/>
  <c r="AD777" i="3"/>
  <c r="AC777" i="3"/>
  <c r="U776" i="3" l="1"/>
  <c r="Y775" i="3"/>
  <c r="T777" i="3"/>
  <c r="AH777" i="3" s="1"/>
  <c r="E777" i="3" l="1"/>
  <c r="H777" i="3" s="1"/>
  <c r="D777" i="3"/>
  <c r="AG777" i="3"/>
  <c r="K777" i="3" l="1"/>
  <c r="AE777" i="3" s="1"/>
  <c r="F777" i="3"/>
  <c r="G777" i="3"/>
  <c r="I777" i="3" l="1"/>
  <c r="J777" i="3"/>
  <c r="M777" i="3"/>
  <c r="N777" i="3" s="1"/>
  <c r="V777" i="3"/>
  <c r="A778" i="3"/>
  <c r="B778" i="3" s="1"/>
  <c r="L777" i="3" l="1"/>
  <c r="W777" i="3"/>
  <c r="P778" i="3"/>
  <c r="Q778" i="3" s="1"/>
  <c r="R778" i="3" s="1"/>
  <c r="S778" i="3" s="1"/>
  <c r="Z778" i="3"/>
  <c r="AD778" i="3"/>
  <c r="AA778" i="3"/>
  <c r="AC778" i="3"/>
  <c r="U777" i="3" l="1"/>
  <c r="Y776" i="3"/>
  <c r="T778" i="3"/>
  <c r="AH778" i="3" s="1"/>
  <c r="E778" i="3" l="1"/>
  <c r="H778" i="3" s="1"/>
  <c r="K778" i="3" s="1"/>
  <c r="AE778" i="3" s="1"/>
  <c r="AG778" i="3"/>
  <c r="D778" i="3"/>
  <c r="G778" i="3" s="1"/>
  <c r="F778" i="3" l="1"/>
  <c r="I778" i="3"/>
  <c r="J778" i="3"/>
  <c r="M778" i="3"/>
  <c r="N778" i="3" s="1"/>
  <c r="V778" i="3"/>
  <c r="A779" i="3"/>
  <c r="B779" i="3" s="1"/>
  <c r="W778" i="3" l="1"/>
  <c r="L778" i="3"/>
  <c r="P779" i="3"/>
  <c r="Q779" i="3" s="1"/>
  <c r="R779" i="3" s="1"/>
  <c r="S779" i="3" s="1"/>
  <c r="AA779" i="3"/>
  <c r="AC779" i="3"/>
  <c r="AD779" i="3"/>
  <c r="Z779" i="3"/>
  <c r="U778" i="3" l="1"/>
  <c r="Y777" i="3"/>
  <c r="T779" i="3"/>
  <c r="E779" i="3" l="1"/>
  <c r="H779" i="3" s="1"/>
  <c r="K779" i="3" s="1"/>
  <c r="AE779" i="3" s="1"/>
  <c r="AG779" i="3"/>
  <c r="AH779" i="3"/>
  <c r="D779" i="3"/>
  <c r="G779" i="3" s="1"/>
  <c r="F779" i="3" l="1"/>
  <c r="I779" i="3"/>
  <c r="J779" i="3"/>
  <c r="M779" i="3"/>
  <c r="N779" i="3" s="1"/>
  <c r="V779" i="3"/>
  <c r="A780" i="3"/>
  <c r="B780" i="3" s="1"/>
  <c r="W779" i="3" l="1"/>
  <c r="L779" i="3"/>
  <c r="P780" i="3"/>
  <c r="Q780" i="3" s="1"/>
  <c r="R780" i="3" s="1"/>
  <c r="S780" i="3" s="1"/>
  <c r="AD780" i="3"/>
  <c r="AA780" i="3"/>
  <c r="Z780" i="3"/>
  <c r="AC780" i="3"/>
  <c r="U779" i="3" l="1"/>
  <c r="Y778" i="3"/>
  <c r="T780" i="3"/>
  <c r="D780" i="3" l="1"/>
  <c r="G780" i="3" s="1"/>
  <c r="AH780" i="3"/>
  <c r="E780" i="3"/>
  <c r="H780" i="3" s="1"/>
  <c r="K780" i="3" s="1"/>
  <c r="AE780" i="3" s="1"/>
  <c r="AG780" i="3"/>
  <c r="F780" i="3" l="1"/>
  <c r="I780" i="3"/>
  <c r="J780" i="3"/>
  <c r="M780" i="3"/>
  <c r="N780" i="3" s="1"/>
  <c r="V780" i="3"/>
  <c r="A781" i="3"/>
  <c r="B781" i="3" s="1"/>
  <c r="W780" i="3" l="1"/>
  <c r="L780" i="3"/>
  <c r="P781" i="3"/>
  <c r="Q781" i="3" s="1"/>
  <c r="R781" i="3" s="1"/>
  <c r="S781" i="3" s="1"/>
  <c r="AD781" i="3"/>
  <c r="Z781" i="3"/>
  <c r="AA781" i="3"/>
  <c r="AC781" i="3"/>
  <c r="T781" i="3" l="1"/>
  <c r="U780" i="3"/>
  <c r="Y779" i="3"/>
  <c r="E781" i="3" l="1"/>
  <c r="H781" i="3" s="1"/>
  <c r="K781" i="3" s="1"/>
  <c r="AE781" i="3" s="1"/>
  <c r="AG781" i="3"/>
  <c r="AH781" i="3"/>
  <c r="D781" i="3"/>
  <c r="F781" i="3" l="1"/>
  <c r="G781" i="3"/>
  <c r="V781" i="3"/>
  <c r="A782" i="3"/>
  <c r="B782" i="3" s="1"/>
  <c r="P782" i="3" l="1"/>
  <c r="Q782" i="3" s="1"/>
  <c r="R782" i="3" s="1"/>
  <c r="S782" i="3" s="1"/>
  <c r="AC782" i="3"/>
  <c r="AD782" i="3"/>
  <c r="AA782" i="3"/>
  <c r="Z782" i="3"/>
  <c r="I781" i="3"/>
  <c r="W781" i="3" s="1"/>
  <c r="J781" i="3"/>
  <c r="M781" i="3"/>
  <c r="N781" i="3" s="1"/>
  <c r="T782" i="3" l="1"/>
  <c r="L781" i="3"/>
  <c r="U781" i="3" l="1"/>
  <c r="D782" i="3" s="1"/>
  <c r="AH782" i="3"/>
  <c r="AG782" i="3"/>
  <c r="Y780" i="3"/>
  <c r="E782" i="3" l="1"/>
  <c r="H782" i="3" s="1"/>
  <c r="K782" i="3" s="1"/>
  <c r="AE782" i="3" s="1"/>
  <c r="G782" i="3"/>
  <c r="F782" i="3" l="1"/>
  <c r="I782" i="3"/>
  <c r="J782" i="3"/>
  <c r="M782" i="3"/>
  <c r="N782" i="3" s="1"/>
  <c r="V782" i="3"/>
  <c r="A783" i="3"/>
  <c r="B783" i="3" s="1"/>
  <c r="W782" i="3" l="1"/>
  <c r="L782" i="3"/>
  <c r="AA783" i="3"/>
  <c r="Z783" i="3"/>
  <c r="P783" i="3"/>
  <c r="Q783" i="3" s="1"/>
  <c r="R783" i="3" s="1"/>
  <c r="S783" i="3" s="1"/>
  <c r="AD783" i="3"/>
  <c r="AC783" i="3"/>
  <c r="U782" i="3" l="1"/>
  <c r="Y781" i="3"/>
  <c r="T783" i="3"/>
  <c r="AH783" i="3" s="1"/>
  <c r="AG783" i="3" l="1"/>
  <c r="D783" i="3"/>
  <c r="G783" i="3" s="1"/>
  <c r="E783" i="3"/>
  <c r="H783" i="3" s="1"/>
  <c r="K783" i="3" s="1"/>
  <c r="AE783" i="3" s="1"/>
  <c r="F783" i="3" l="1"/>
  <c r="I783" i="3"/>
  <c r="J783" i="3"/>
  <c r="M783" i="3"/>
  <c r="N783" i="3" s="1"/>
  <c r="V783" i="3"/>
  <c r="A784" i="3"/>
  <c r="B784" i="3" s="1"/>
  <c r="W783" i="3" l="1"/>
  <c r="L783" i="3"/>
  <c r="AC784" i="3"/>
  <c r="Z784" i="3"/>
  <c r="P784" i="3"/>
  <c r="Q784" i="3" s="1"/>
  <c r="R784" i="3" s="1"/>
  <c r="S784" i="3" s="1"/>
  <c r="AA784" i="3"/>
  <c r="T784" i="3" l="1"/>
  <c r="AG784" i="3" s="1"/>
  <c r="U783" i="3"/>
  <c r="Y782" i="3"/>
  <c r="E784" i="3" l="1"/>
  <c r="H784" i="3" s="1"/>
  <c r="AH784" i="3"/>
  <c r="D784" i="3"/>
  <c r="K784" i="3" l="1"/>
  <c r="AE784" i="3" s="1"/>
  <c r="F784" i="3"/>
  <c r="G784" i="3"/>
  <c r="V784" i="3" l="1"/>
  <c r="A785" i="3"/>
  <c r="B785" i="3" s="1"/>
  <c r="I784" i="3"/>
  <c r="J784" i="3"/>
  <c r="AD784" i="3" s="1"/>
  <c r="M784" i="3"/>
  <c r="N784" i="3" s="1"/>
  <c r="W784" i="3" l="1"/>
  <c r="L784" i="3"/>
  <c r="AA785" i="3"/>
  <c r="AD785" i="3"/>
  <c r="P785" i="3"/>
  <c r="Q785" i="3" s="1"/>
  <c r="R785" i="3" s="1"/>
  <c r="S785" i="3" s="1"/>
  <c r="AC785" i="3"/>
  <c r="Z785" i="3"/>
  <c r="U784" i="3" l="1"/>
  <c r="Y783" i="3"/>
  <c r="T785" i="3"/>
  <c r="AH785" i="3" s="1"/>
  <c r="E785" i="3" l="1"/>
  <c r="H785" i="3" s="1"/>
  <c r="AG785" i="3"/>
  <c r="D785" i="3"/>
  <c r="K785" i="3" l="1"/>
  <c r="AE785" i="3" s="1"/>
  <c r="F785" i="3"/>
  <c r="G785" i="3"/>
  <c r="I785" i="3" l="1"/>
  <c r="J785" i="3"/>
  <c r="M785" i="3"/>
  <c r="N785" i="3" s="1"/>
  <c r="V785" i="3"/>
  <c r="A786" i="3"/>
  <c r="B786" i="3" s="1"/>
  <c r="W785" i="3" l="1"/>
  <c r="L785" i="3"/>
  <c r="Z786" i="3"/>
  <c r="AD786" i="3"/>
  <c r="AA786" i="3"/>
  <c r="P786" i="3"/>
  <c r="Q786" i="3" s="1"/>
  <c r="R786" i="3" s="1"/>
  <c r="S786" i="3" s="1"/>
  <c r="AC786" i="3"/>
  <c r="U785" i="3" l="1"/>
  <c r="Y784" i="3"/>
  <c r="T786" i="3"/>
  <c r="E786" i="3" l="1"/>
  <c r="H786" i="3" s="1"/>
  <c r="K786" i="3" s="1"/>
  <c r="AE786" i="3" s="1"/>
  <c r="AG786" i="3"/>
  <c r="D786" i="3"/>
  <c r="G786" i="3" s="1"/>
  <c r="AH786" i="3"/>
  <c r="F786" i="3" l="1"/>
  <c r="I786" i="3"/>
  <c r="J786" i="3"/>
  <c r="M786" i="3"/>
  <c r="N786" i="3" s="1"/>
  <c r="V786" i="3"/>
  <c r="A787" i="3"/>
  <c r="B787" i="3" s="1"/>
  <c r="L786" i="3" l="1"/>
  <c r="W786" i="3"/>
  <c r="AC787" i="3"/>
  <c r="P787" i="3"/>
  <c r="Q787" i="3" s="1"/>
  <c r="R787" i="3" s="1"/>
  <c r="S787" i="3" s="1"/>
  <c r="Z787" i="3"/>
  <c r="AD787" i="3"/>
  <c r="AA787" i="3"/>
  <c r="U786" i="3" l="1"/>
  <c r="Y785" i="3"/>
  <c r="T787" i="3"/>
  <c r="D787" i="3" l="1"/>
  <c r="G787" i="3" s="1"/>
  <c r="AH787" i="3"/>
  <c r="E787" i="3"/>
  <c r="H787" i="3" s="1"/>
  <c r="AG787" i="3"/>
  <c r="F787" i="3" l="1"/>
  <c r="I787" i="3"/>
  <c r="J787" i="3"/>
  <c r="M787" i="3"/>
  <c r="N787" i="3" s="1"/>
  <c r="K787" i="3"/>
  <c r="AE787" i="3" s="1"/>
  <c r="V787" i="3" l="1"/>
  <c r="W787" i="3" s="1"/>
  <c r="A788" i="3"/>
  <c r="B788" i="3" s="1"/>
  <c r="L787" i="3"/>
  <c r="U787" i="3" l="1"/>
  <c r="Y786" i="3"/>
  <c r="AC788" i="3"/>
  <c r="Z788" i="3"/>
  <c r="AD788" i="3"/>
  <c r="AA788" i="3"/>
  <c r="P788" i="3"/>
  <c r="Q788" i="3" s="1"/>
  <c r="R788" i="3" s="1"/>
  <c r="S788" i="3" s="1"/>
  <c r="T788" i="3" l="1"/>
  <c r="E788" i="3" s="1"/>
  <c r="H788" i="3" s="1"/>
  <c r="D788" i="3" l="1"/>
  <c r="F788" i="3" s="1"/>
  <c r="AG788" i="3"/>
  <c r="AH788" i="3"/>
  <c r="K788" i="3"/>
  <c r="AE788" i="3" s="1"/>
  <c r="G788" i="3" l="1"/>
  <c r="I788" i="3" s="1"/>
  <c r="V788" i="3"/>
  <c r="A789" i="3"/>
  <c r="B789" i="3" s="1"/>
  <c r="M788" i="3" l="1"/>
  <c r="N788" i="3" s="1"/>
  <c r="J788" i="3"/>
  <c r="L788" i="3" s="1"/>
  <c r="W788" i="3"/>
  <c r="P789" i="3"/>
  <c r="Q789" i="3" s="1"/>
  <c r="R789" i="3" s="1"/>
  <c r="S789" i="3" s="1"/>
  <c r="AC789" i="3"/>
  <c r="AD789" i="3"/>
  <c r="AA789" i="3"/>
  <c r="Z789" i="3"/>
  <c r="U788" i="3" l="1"/>
  <c r="Y787" i="3"/>
  <c r="T789" i="3"/>
  <c r="D789" i="3" l="1"/>
  <c r="G789" i="3" s="1"/>
  <c r="E789" i="3"/>
  <c r="H789" i="3" s="1"/>
  <c r="AH789" i="3"/>
  <c r="AG789" i="3"/>
  <c r="F789" i="3" l="1"/>
  <c r="I789" i="3"/>
  <c r="J789" i="3"/>
  <c r="M789" i="3"/>
  <c r="N789" i="3" s="1"/>
  <c r="K789" i="3"/>
  <c r="AE789" i="3" s="1"/>
  <c r="L789" i="3" l="1"/>
  <c r="V789" i="3"/>
  <c r="W789" i="3" s="1"/>
  <c r="A790" i="3"/>
  <c r="B790" i="3" s="1"/>
  <c r="AA790" i="3" l="1"/>
  <c r="AC790" i="3"/>
  <c r="Z790" i="3"/>
  <c r="AD790" i="3"/>
  <c r="P790" i="3"/>
  <c r="Q790" i="3" s="1"/>
  <c r="R790" i="3" s="1"/>
  <c r="S790" i="3" s="1"/>
  <c r="U789" i="3"/>
  <c r="Y788" i="3"/>
  <c r="T790" i="3" l="1"/>
  <c r="D790" i="3" s="1"/>
  <c r="AG790" i="3" l="1"/>
  <c r="G790" i="3"/>
  <c r="AH790" i="3"/>
  <c r="E790" i="3"/>
  <c r="H790" i="3" s="1"/>
  <c r="F790" i="3" l="1"/>
  <c r="I790" i="3"/>
  <c r="J790" i="3"/>
  <c r="M790" i="3"/>
  <c r="N790" i="3" s="1"/>
  <c r="K790" i="3"/>
  <c r="AE790" i="3" s="1"/>
  <c r="V790" i="3" l="1"/>
  <c r="W790" i="3" s="1"/>
  <c r="A791" i="3"/>
  <c r="B791" i="3" s="1"/>
  <c r="L790" i="3"/>
  <c r="U790" i="3" l="1"/>
  <c r="Y789" i="3"/>
  <c r="AD791" i="3"/>
  <c r="P791" i="3"/>
  <c r="Q791" i="3" s="1"/>
  <c r="R791" i="3" s="1"/>
  <c r="S791" i="3" s="1"/>
  <c r="AA791" i="3"/>
  <c r="AC791" i="3"/>
  <c r="Z791" i="3"/>
  <c r="T791" i="3" l="1"/>
  <c r="AG791" i="3" s="1"/>
  <c r="E791" i="3" l="1"/>
  <c r="H791" i="3" s="1"/>
  <c r="K791" i="3" s="1"/>
  <c r="AE791" i="3" s="1"/>
  <c r="D791" i="3"/>
  <c r="G791" i="3" s="1"/>
  <c r="AH791" i="3"/>
  <c r="F791" i="3" l="1"/>
  <c r="I791" i="3"/>
  <c r="J791" i="3"/>
  <c r="M791" i="3"/>
  <c r="N791" i="3" s="1"/>
  <c r="V791" i="3"/>
  <c r="A792" i="3"/>
  <c r="B792" i="3" s="1"/>
  <c r="W791" i="3" l="1"/>
  <c r="L791" i="3"/>
  <c r="P792" i="3"/>
  <c r="Q792" i="3" s="1"/>
  <c r="R792" i="3" s="1"/>
  <c r="S792" i="3" s="1"/>
  <c r="AC792" i="3"/>
  <c r="AD792" i="3"/>
  <c r="Z792" i="3"/>
  <c r="AA792" i="3"/>
  <c r="U791" i="3" l="1"/>
  <c r="Y790" i="3"/>
  <c r="T792" i="3"/>
  <c r="AG792" i="3" s="1"/>
  <c r="AH792" i="3" l="1"/>
  <c r="D792" i="3"/>
  <c r="E792" i="3"/>
  <c r="H792" i="3" s="1"/>
  <c r="F792" i="3" l="1"/>
  <c r="G792" i="3"/>
  <c r="K792" i="3"/>
  <c r="AE792" i="3" s="1"/>
  <c r="I792" i="3" l="1"/>
  <c r="J792" i="3"/>
  <c r="M792" i="3"/>
  <c r="N792" i="3" s="1"/>
  <c r="V792" i="3"/>
  <c r="A793" i="3"/>
  <c r="B793" i="3" s="1"/>
  <c r="L792" i="3" l="1"/>
  <c r="W792" i="3"/>
  <c r="AD793" i="3"/>
  <c r="AC793" i="3"/>
  <c r="Z793" i="3"/>
  <c r="P793" i="3"/>
  <c r="Q793" i="3" s="1"/>
  <c r="R793" i="3" s="1"/>
  <c r="S793" i="3" s="1"/>
  <c r="AA793" i="3"/>
  <c r="T793" i="3" l="1"/>
  <c r="U792" i="3"/>
  <c r="Y791" i="3"/>
  <c r="E793" i="3" l="1"/>
  <c r="H793" i="3" s="1"/>
  <c r="K793" i="3" s="1"/>
  <c r="AE793" i="3" s="1"/>
  <c r="D793" i="3"/>
  <c r="AG793" i="3"/>
  <c r="AH793" i="3"/>
  <c r="F793" i="3" l="1"/>
  <c r="G793" i="3"/>
  <c r="M793" i="3" s="1"/>
  <c r="N793" i="3" s="1"/>
  <c r="V793" i="3"/>
  <c r="A794" i="3"/>
  <c r="B794" i="3" s="1"/>
  <c r="I793" i="3" l="1"/>
  <c r="W793" i="3" s="1"/>
  <c r="J793" i="3"/>
  <c r="L793" i="3" s="1"/>
  <c r="Z794" i="3"/>
  <c r="AC794" i="3"/>
  <c r="P794" i="3"/>
  <c r="Q794" i="3" s="1"/>
  <c r="R794" i="3" s="1"/>
  <c r="S794" i="3" s="1"/>
  <c r="AA794" i="3"/>
  <c r="T794" i="3" l="1"/>
  <c r="AH794" i="3" s="1"/>
  <c r="U793" i="3"/>
  <c r="Y792" i="3"/>
  <c r="AG794" i="3" l="1"/>
  <c r="D794" i="3"/>
  <c r="E794" i="3"/>
  <c r="H794" i="3" s="1"/>
  <c r="F794" i="3" l="1"/>
  <c r="G794" i="3"/>
  <c r="K794" i="3"/>
  <c r="AE794" i="3" s="1"/>
  <c r="I794" i="3" l="1"/>
  <c r="J794" i="3"/>
  <c r="AD794" i="3" s="1"/>
  <c r="M794" i="3"/>
  <c r="N794" i="3" s="1"/>
  <c r="V794" i="3"/>
  <c r="A795" i="3"/>
  <c r="B795" i="3" s="1"/>
  <c r="L794" i="3" l="1"/>
  <c r="W794" i="3"/>
  <c r="P795" i="3"/>
  <c r="Q795" i="3" s="1"/>
  <c r="R795" i="3" s="1"/>
  <c r="S795" i="3" s="1"/>
  <c r="AD795" i="3"/>
  <c r="Z795" i="3"/>
  <c r="AA795" i="3"/>
  <c r="AC795" i="3"/>
  <c r="T795" i="3" l="1"/>
  <c r="U794" i="3"/>
  <c r="Y793" i="3"/>
  <c r="D795" i="3" l="1"/>
  <c r="G795" i="3" s="1"/>
  <c r="E795" i="3"/>
  <c r="H795" i="3" s="1"/>
  <c r="K795" i="3" s="1"/>
  <c r="AE795" i="3" s="1"/>
  <c r="AH795" i="3"/>
  <c r="AG795" i="3"/>
  <c r="F795" i="3" l="1"/>
  <c r="I795" i="3"/>
  <c r="J795" i="3"/>
  <c r="M795" i="3"/>
  <c r="N795" i="3" s="1"/>
  <c r="V795" i="3"/>
  <c r="A796" i="3"/>
  <c r="B796" i="3" s="1"/>
  <c r="W795" i="3" l="1"/>
  <c r="L795" i="3"/>
  <c r="Z796" i="3"/>
  <c r="AA796" i="3"/>
  <c r="AD796" i="3"/>
  <c r="AC796" i="3"/>
  <c r="P796" i="3"/>
  <c r="Q796" i="3" s="1"/>
  <c r="R796" i="3" s="1"/>
  <c r="S796" i="3" s="1"/>
  <c r="T796" i="3" l="1"/>
  <c r="U795" i="3"/>
  <c r="Y794" i="3"/>
  <c r="E796" i="3" l="1"/>
  <c r="H796" i="3" s="1"/>
  <c r="K796" i="3" s="1"/>
  <c r="AE796" i="3" s="1"/>
  <c r="AH796" i="3"/>
  <c r="AG796" i="3"/>
  <c r="D796" i="3"/>
  <c r="F796" i="3" l="1"/>
  <c r="G796" i="3"/>
  <c r="V796" i="3"/>
  <c r="A797" i="3"/>
  <c r="B797" i="3" s="1"/>
  <c r="I796" i="3" l="1"/>
  <c r="W796" i="3" s="1"/>
  <c r="J796" i="3"/>
  <c r="M796" i="3"/>
  <c r="N796" i="3" s="1"/>
  <c r="P797" i="3"/>
  <c r="Q797" i="3" s="1"/>
  <c r="R797" i="3" s="1"/>
  <c r="S797" i="3" s="1"/>
  <c r="AA797" i="3"/>
  <c r="AC797" i="3"/>
  <c r="Z797" i="3"/>
  <c r="AD797" i="3"/>
  <c r="T797" i="3" l="1"/>
  <c r="L796" i="3"/>
  <c r="AH797" i="3" l="1"/>
  <c r="AG797" i="3"/>
  <c r="U796" i="3"/>
  <c r="E797" i="3" s="1"/>
  <c r="H797" i="3" s="1"/>
  <c r="Y795" i="3"/>
  <c r="D797" i="3" l="1"/>
  <c r="G797" i="3" s="1"/>
  <c r="K797" i="3"/>
  <c r="AE797" i="3" s="1"/>
  <c r="F797" i="3" l="1"/>
  <c r="I797" i="3"/>
  <c r="J797" i="3"/>
  <c r="M797" i="3"/>
  <c r="N797" i="3" s="1"/>
  <c r="V797" i="3"/>
  <c r="A798" i="3"/>
  <c r="B798" i="3" s="1"/>
  <c r="W797" i="3" l="1"/>
  <c r="L797" i="3"/>
  <c r="Z798" i="3"/>
  <c r="AA798" i="3"/>
  <c r="P798" i="3"/>
  <c r="Q798" i="3" s="1"/>
  <c r="R798" i="3" s="1"/>
  <c r="S798" i="3" s="1"/>
  <c r="AC798" i="3"/>
  <c r="AD798" i="3"/>
  <c r="T798" i="3" l="1"/>
  <c r="U797" i="3"/>
  <c r="Y796" i="3"/>
  <c r="E798" i="3" l="1"/>
  <c r="H798" i="3" s="1"/>
  <c r="K798" i="3" s="1"/>
  <c r="AE798" i="3" s="1"/>
  <c r="D798" i="3"/>
  <c r="G798" i="3" s="1"/>
  <c r="AH798" i="3"/>
  <c r="AG798" i="3"/>
  <c r="F798" i="3" l="1"/>
  <c r="I798" i="3"/>
  <c r="J798" i="3"/>
  <c r="M798" i="3"/>
  <c r="N798" i="3" s="1"/>
  <c r="V798" i="3"/>
  <c r="A799" i="3"/>
  <c r="B799" i="3" s="1"/>
  <c r="W798" i="3" l="1"/>
  <c r="L798" i="3"/>
  <c r="Z799" i="3"/>
  <c r="P799" i="3"/>
  <c r="Q799" i="3" s="1"/>
  <c r="R799" i="3" s="1"/>
  <c r="S799" i="3" s="1"/>
  <c r="AD799" i="3"/>
  <c r="AC799" i="3"/>
  <c r="AA799" i="3"/>
  <c r="T799" i="3" l="1"/>
  <c r="AH799" i="3" s="1"/>
  <c r="U798" i="3"/>
  <c r="Y797" i="3"/>
  <c r="AG799" i="3" l="1"/>
  <c r="E799" i="3"/>
  <c r="H799" i="3" s="1"/>
  <c r="D799" i="3"/>
  <c r="K799" i="3" l="1"/>
  <c r="AE799" i="3" s="1"/>
  <c r="F799" i="3"/>
  <c r="G799" i="3"/>
  <c r="V799" i="3" l="1"/>
  <c r="A800" i="3"/>
  <c r="B800" i="3" s="1"/>
  <c r="I799" i="3"/>
  <c r="J799" i="3"/>
  <c r="M799" i="3"/>
  <c r="N799" i="3" s="1"/>
  <c r="W799" i="3" l="1"/>
  <c r="L799" i="3"/>
  <c r="AC800" i="3"/>
  <c r="AA800" i="3"/>
  <c r="P800" i="3"/>
  <c r="Q800" i="3" s="1"/>
  <c r="R800" i="3" s="1"/>
  <c r="S800" i="3" s="1"/>
  <c r="AD800" i="3"/>
  <c r="Z800" i="3"/>
  <c r="U799" i="3" l="1"/>
  <c r="Y798" i="3"/>
  <c r="T800" i="3"/>
  <c r="E800" i="3" l="1"/>
  <c r="H800" i="3" s="1"/>
  <c r="K800" i="3" s="1"/>
  <c r="AE800" i="3" s="1"/>
  <c r="D800" i="3"/>
  <c r="AG800" i="3"/>
  <c r="AH800" i="3"/>
  <c r="V800" i="3" l="1"/>
  <c r="A801" i="3"/>
  <c r="B801" i="3" s="1"/>
  <c r="F800" i="3"/>
  <c r="G800" i="3"/>
  <c r="I800" i="3" l="1"/>
  <c r="W800" i="3" s="1"/>
  <c r="J800" i="3"/>
  <c r="M800" i="3"/>
  <c r="N800" i="3" s="1"/>
  <c r="AA801" i="3"/>
  <c r="AD801" i="3"/>
  <c r="Z801" i="3"/>
  <c r="P801" i="3"/>
  <c r="Q801" i="3" s="1"/>
  <c r="R801" i="3" s="1"/>
  <c r="S801" i="3" s="1"/>
  <c r="AC801" i="3"/>
  <c r="L800" i="3" l="1"/>
  <c r="T801" i="3"/>
  <c r="AG801" i="3" l="1"/>
  <c r="AH801" i="3"/>
  <c r="U800" i="3"/>
  <c r="E801" i="3" s="1"/>
  <c r="H801" i="3" s="1"/>
  <c r="Y799" i="3"/>
  <c r="D801" i="3" l="1"/>
  <c r="G801" i="3" s="1"/>
  <c r="K801" i="3"/>
  <c r="AE801" i="3" s="1"/>
  <c r="F801" i="3" l="1"/>
  <c r="I801" i="3"/>
  <c r="J801" i="3"/>
  <c r="M801" i="3"/>
  <c r="N801" i="3" s="1"/>
  <c r="V801" i="3"/>
  <c r="A802" i="3"/>
  <c r="B802" i="3" s="1"/>
  <c r="W801" i="3" l="1"/>
  <c r="L801" i="3"/>
  <c r="Z802" i="3"/>
  <c r="P802" i="3"/>
  <c r="Q802" i="3" s="1"/>
  <c r="R802" i="3" s="1"/>
  <c r="S802" i="3" s="1"/>
  <c r="AA802" i="3"/>
  <c r="AD802" i="3"/>
  <c r="AC802" i="3"/>
  <c r="U801" i="3" l="1"/>
  <c r="Y800" i="3"/>
  <c r="T802" i="3"/>
  <c r="AG802" i="3" s="1"/>
  <c r="E802" i="3" l="1"/>
  <c r="H802" i="3" s="1"/>
  <c r="D802" i="3"/>
  <c r="AH802" i="3"/>
  <c r="K802" i="3" l="1"/>
  <c r="AE802" i="3" s="1"/>
  <c r="F802" i="3"/>
  <c r="G802" i="3"/>
  <c r="I802" i="3" l="1"/>
  <c r="J802" i="3"/>
  <c r="M802" i="3"/>
  <c r="N802" i="3" s="1"/>
  <c r="V802" i="3"/>
  <c r="A803" i="3"/>
  <c r="B803" i="3" s="1"/>
  <c r="L802" i="3" l="1"/>
  <c r="W802" i="3"/>
  <c r="Z803" i="3"/>
  <c r="AD803" i="3"/>
  <c r="AA803" i="3"/>
  <c r="AC803" i="3"/>
  <c r="P803" i="3"/>
  <c r="Q803" i="3" s="1"/>
  <c r="R803" i="3" s="1"/>
  <c r="S803" i="3" s="1"/>
  <c r="U802" i="3" l="1"/>
  <c r="Y801" i="3"/>
  <c r="T803" i="3"/>
  <c r="AG803" i="3" s="1"/>
  <c r="AH803" i="3" l="1"/>
  <c r="D803" i="3"/>
  <c r="E803" i="3"/>
  <c r="H803" i="3" s="1"/>
  <c r="F803" i="3" l="1"/>
  <c r="G803" i="3"/>
  <c r="K803" i="3"/>
  <c r="AE803" i="3" s="1"/>
  <c r="V803" i="3" l="1"/>
  <c r="A804" i="3"/>
  <c r="B804" i="3" s="1"/>
  <c r="I803" i="3"/>
  <c r="J803" i="3"/>
  <c r="M803" i="3"/>
  <c r="N803" i="3" s="1"/>
  <c r="L803" i="3" l="1"/>
  <c r="W803" i="3"/>
  <c r="AC804" i="3"/>
  <c r="P804" i="3"/>
  <c r="Q804" i="3" s="1"/>
  <c r="R804" i="3" s="1"/>
  <c r="S804" i="3" s="1"/>
  <c r="AA804" i="3"/>
  <c r="Z804" i="3"/>
  <c r="U803" i="3" l="1"/>
  <c r="Y802" i="3"/>
  <c r="T804" i="3"/>
  <c r="AH804" i="3" s="1"/>
  <c r="D804" i="3" l="1"/>
  <c r="G804" i="3" s="1"/>
  <c r="AG804" i="3"/>
  <c r="E804" i="3"/>
  <c r="H804" i="3" s="1"/>
  <c r="K804" i="3" s="1"/>
  <c r="AE804" i="3" s="1"/>
  <c r="F804" i="3" l="1"/>
  <c r="I804" i="3"/>
  <c r="J804" i="3"/>
  <c r="AD804" i="3" s="1"/>
  <c r="M804" i="3"/>
  <c r="N804" i="3" s="1"/>
  <c r="V804" i="3"/>
  <c r="A805" i="3"/>
  <c r="B805" i="3" s="1"/>
  <c r="W804" i="3" l="1"/>
  <c r="L804" i="3"/>
  <c r="Z805" i="3"/>
  <c r="P805" i="3"/>
  <c r="Q805" i="3" s="1"/>
  <c r="R805" i="3" s="1"/>
  <c r="S805" i="3" s="1"/>
  <c r="AD805" i="3"/>
  <c r="AC805" i="3"/>
  <c r="AA805" i="3"/>
  <c r="T805" i="3" l="1"/>
  <c r="AH805" i="3" s="1"/>
  <c r="U804" i="3"/>
  <c r="Y803" i="3"/>
  <c r="E805" i="3" l="1"/>
  <c r="H805" i="3" s="1"/>
  <c r="AG805" i="3"/>
  <c r="D805" i="3"/>
  <c r="K805" i="3" l="1"/>
  <c r="AE805" i="3" s="1"/>
  <c r="F805" i="3"/>
  <c r="G805" i="3"/>
  <c r="I805" i="3" l="1"/>
  <c r="J805" i="3"/>
  <c r="M805" i="3"/>
  <c r="N805" i="3" s="1"/>
  <c r="V805" i="3"/>
  <c r="A806" i="3"/>
  <c r="B806" i="3" s="1"/>
  <c r="W805" i="3" l="1"/>
  <c r="L805" i="3"/>
  <c r="Z806" i="3"/>
  <c r="AA806" i="3"/>
  <c r="P806" i="3"/>
  <c r="Q806" i="3" s="1"/>
  <c r="R806" i="3" s="1"/>
  <c r="S806" i="3" s="1"/>
  <c r="AC806" i="3"/>
  <c r="AD806" i="3"/>
  <c r="T806" i="3" l="1"/>
  <c r="U805" i="3"/>
  <c r="Y804" i="3"/>
  <c r="D806" i="3" l="1"/>
  <c r="G806" i="3" s="1"/>
  <c r="AH806" i="3"/>
  <c r="AG806" i="3"/>
  <c r="E806" i="3"/>
  <c r="H806" i="3" s="1"/>
  <c r="K806" i="3" l="1"/>
  <c r="AE806" i="3" s="1"/>
  <c r="I806" i="3"/>
  <c r="J806" i="3"/>
  <c r="M806" i="3"/>
  <c r="N806" i="3" s="1"/>
  <c r="F806" i="3"/>
  <c r="L806" i="3" l="1"/>
  <c r="V806" i="3"/>
  <c r="W806" i="3" s="1"/>
  <c r="A807" i="3"/>
  <c r="B807" i="3" s="1"/>
  <c r="AC807" i="3" l="1"/>
  <c r="P807" i="3"/>
  <c r="Q807" i="3" s="1"/>
  <c r="R807" i="3" s="1"/>
  <c r="S807" i="3" s="1"/>
  <c r="AA807" i="3"/>
  <c r="AD807" i="3"/>
  <c r="Z807" i="3"/>
  <c r="U806" i="3"/>
  <c r="Y805" i="3"/>
  <c r="T807" i="3" l="1"/>
  <c r="AH807" i="3" l="1"/>
  <c r="AG807" i="3"/>
  <c r="E807" i="3"/>
  <c r="H807" i="3" s="1"/>
  <c r="D807" i="3"/>
  <c r="K807" i="3" l="1"/>
  <c r="AE807" i="3" s="1"/>
  <c r="F807" i="3"/>
  <c r="G807" i="3"/>
  <c r="I807" i="3" l="1"/>
  <c r="J807" i="3"/>
  <c r="M807" i="3"/>
  <c r="N807" i="3" s="1"/>
  <c r="V807" i="3"/>
  <c r="A808" i="3"/>
  <c r="B808" i="3" s="1"/>
  <c r="W807" i="3" l="1"/>
  <c r="L807" i="3"/>
  <c r="P808" i="3"/>
  <c r="Q808" i="3" s="1"/>
  <c r="R808" i="3" s="1"/>
  <c r="S808" i="3" s="1"/>
  <c r="AA808" i="3"/>
  <c r="Z808" i="3"/>
  <c r="AD808" i="3"/>
  <c r="AC808" i="3"/>
  <c r="U807" i="3" l="1"/>
  <c r="Y806" i="3"/>
  <c r="T808" i="3"/>
  <c r="AH808" i="3" s="1"/>
  <c r="D808" i="3" l="1"/>
  <c r="G808" i="3" s="1"/>
  <c r="E808" i="3"/>
  <c r="H808" i="3" s="1"/>
  <c r="K808" i="3" s="1"/>
  <c r="AE808" i="3" s="1"/>
  <c r="AG808" i="3"/>
  <c r="F808" i="3" l="1"/>
  <c r="I808" i="3"/>
  <c r="J808" i="3"/>
  <c r="M808" i="3"/>
  <c r="N808" i="3" s="1"/>
  <c r="V808" i="3"/>
  <c r="A809" i="3"/>
  <c r="B809" i="3" s="1"/>
  <c r="W808" i="3" l="1"/>
  <c r="AC809" i="3"/>
  <c r="Z809" i="3"/>
  <c r="AA809" i="3"/>
  <c r="P809" i="3"/>
  <c r="Q809" i="3" s="1"/>
  <c r="R809" i="3" s="1"/>
  <c r="S809" i="3" s="1"/>
  <c r="AD809" i="3"/>
  <c r="L808" i="3"/>
  <c r="T809" i="3" l="1"/>
  <c r="U808" i="3"/>
  <c r="Y807" i="3"/>
  <c r="E809" i="3" l="1"/>
  <c r="H809" i="3" s="1"/>
  <c r="K809" i="3" s="1"/>
  <c r="AE809" i="3" s="1"/>
  <c r="AG809" i="3"/>
  <c r="D809" i="3"/>
  <c r="AH809" i="3"/>
  <c r="V809" i="3" l="1"/>
  <c r="A810" i="3"/>
  <c r="B810" i="3" s="1"/>
  <c r="F809" i="3"/>
  <c r="G809" i="3"/>
  <c r="I809" i="3" l="1"/>
  <c r="W809" i="3" s="1"/>
  <c r="J809" i="3"/>
  <c r="M809" i="3"/>
  <c r="N809" i="3" s="1"/>
  <c r="AD810" i="3"/>
  <c r="P810" i="3"/>
  <c r="Q810" i="3" s="1"/>
  <c r="R810" i="3" s="1"/>
  <c r="S810" i="3" s="1"/>
  <c r="AA810" i="3"/>
  <c r="AC810" i="3"/>
  <c r="Z810" i="3"/>
  <c r="T810" i="3" l="1"/>
  <c r="L809" i="3"/>
  <c r="AH810" i="3" l="1"/>
  <c r="AG810" i="3"/>
  <c r="U809" i="3"/>
  <c r="E810" i="3" s="1"/>
  <c r="H810" i="3" s="1"/>
  <c r="Y808" i="3"/>
  <c r="D810" i="3" l="1"/>
  <c r="G810" i="3" s="1"/>
  <c r="K810" i="3"/>
  <c r="AE810" i="3" s="1"/>
  <c r="F810" i="3" l="1"/>
  <c r="I810" i="3"/>
  <c r="J810" i="3"/>
  <c r="M810" i="3"/>
  <c r="N810" i="3" s="1"/>
  <c r="V810" i="3"/>
  <c r="A811" i="3"/>
  <c r="B811" i="3" s="1"/>
  <c r="L810" i="3" l="1"/>
  <c r="W810" i="3"/>
  <c r="AA811" i="3"/>
  <c r="P811" i="3"/>
  <c r="Q811" i="3" s="1"/>
  <c r="R811" i="3" s="1"/>
  <c r="S811" i="3" s="1"/>
  <c r="Z811" i="3"/>
  <c r="AD811" i="3"/>
  <c r="AC811" i="3"/>
  <c r="U810" i="3" l="1"/>
  <c r="Y809" i="3"/>
  <c r="T811" i="3"/>
  <c r="E811" i="3" l="1"/>
  <c r="H811" i="3" s="1"/>
  <c r="K811" i="3" s="1"/>
  <c r="AE811" i="3" s="1"/>
  <c r="AH811" i="3"/>
  <c r="AG811" i="3"/>
  <c r="D811" i="3"/>
  <c r="V811" i="3" l="1"/>
  <c r="A812" i="3"/>
  <c r="B812" i="3" s="1"/>
  <c r="F811" i="3"/>
  <c r="G811" i="3"/>
  <c r="I811" i="3" l="1"/>
  <c r="W811" i="3" s="1"/>
  <c r="J811" i="3"/>
  <c r="M811" i="3"/>
  <c r="N811" i="3" s="1"/>
  <c r="Z812" i="3"/>
  <c r="AA812" i="3"/>
  <c r="AD812" i="3"/>
  <c r="P812" i="3"/>
  <c r="Q812" i="3" s="1"/>
  <c r="R812" i="3" s="1"/>
  <c r="S812" i="3" s="1"/>
  <c r="AC812" i="3"/>
  <c r="T812" i="3" l="1"/>
  <c r="L811" i="3"/>
  <c r="AG812" i="3" l="1"/>
  <c r="U811" i="3"/>
  <c r="D812" i="3" s="1"/>
  <c r="AH812" i="3"/>
  <c r="Y810" i="3"/>
  <c r="G812" i="3" l="1"/>
  <c r="E812" i="3"/>
  <c r="H812" i="3" s="1"/>
  <c r="I812" i="3" l="1"/>
  <c r="J812" i="3"/>
  <c r="M812" i="3"/>
  <c r="N812" i="3" s="1"/>
  <c r="F812" i="3"/>
  <c r="K812" i="3"/>
  <c r="AE812" i="3" s="1"/>
  <c r="L812" i="3" l="1"/>
  <c r="V812" i="3"/>
  <c r="W812" i="3" s="1"/>
  <c r="A813" i="3"/>
  <c r="B813" i="3" s="1"/>
  <c r="U812" i="3" l="1"/>
  <c r="Y811" i="3"/>
  <c r="AA813" i="3"/>
  <c r="P813" i="3"/>
  <c r="Q813" i="3" s="1"/>
  <c r="R813" i="3" s="1"/>
  <c r="S813" i="3" s="1"/>
  <c r="Z813" i="3"/>
  <c r="AC813" i="3"/>
  <c r="AD813" i="3"/>
  <c r="T813" i="3" l="1"/>
  <c r="AG813" i="3" s="1"/>
  <c r="AH813" i="3" l="1"/>
  <c r="D813" i="3"/>
  <c r="E813" i="3"/>
  <c r="H813" i="3" s="1"/>
  <c r="F813" i="3" l="1"/>
  <c r="G813" i="3"/>
  <c r="K813" i="3"/>
  <c r="AE813" i="3" s="1"/>
  <c r="I813" i="3" l="1"/>
  <c r="J813" i="3"/>
  <c r="M813" i="3"/>
  <c r="N813" i="3" s="1"/>
  <c r="V813" i="3"/>
  <c r="A814" i="3"/>
  <c r="B814" i="3" s="1"/>
  <c r="W813" i="3" l="1"/>
  <c r="L813" i="3"/>
  <c r="P814" i="3"/>
  <c r="Q814" i="3" s="1"/>
  <c r="R814" i="3" s="1"/>
  <c r="S814" i="3" s="1"/>
  <c r="AA814" i="3"/>
  <c r="Z814" i="3"/>
  <c r="AC814" i="3"/>
  <c r="U813" i="3" l="1"/>
  <c r="Y812" i="3"/>
  <c r="T814" i="3"/>
  <c r="D814" i="3" l="1"/>
  <c r="G814" i="3" s="1"/>
  <c r="E814" i="3"/>
  <c r="H814" i="3" s="1"/>
  <c r="K814" i="3" s="1"/>
  <c r="AE814" i="3" s="1"/>
  <c r="AH814" i="3"/>
  <c r="AG814" i="3"/>
  <c r="F814" i="3" l="1"/>
  <c r="I814" i="3"/>
  <c r="J814" i="3"/>
  <c r="AD814" i="3" s="1"/>
  <c r="M814" i="3"/>
  <c r="N814" i="3" s="1"/>
  <c r="V814" i="3"/>
  <c r="A815" i="3"/>
  <c r="B815" i="3" s="1"/>
  <c r="W814" i="3" l="1"/>
  <c r="L814" i="3"/>
  <c r="AA815" i="3"/>
  <c r="AD815" i="3"/>
  <c r="AC815" i="3"/>
  <c r="Z815" i="3"/>
  <c r="P815" i="3"/>
  <c r="Q815" i="3" s="1"/>
  <c r="R815" i="3" s="1"/>
  <c r="S815" i="3" s="1"/>
  <c r="T815" i="3" l="1"/>
  <c r="AH815" i="3" s="1"/>
  <c r="U814" i="3"/>
  <c r="Y813" i="3"/>
  <c r="AG815" i="3" l="1"/>
  <c r="E815" i="3"/>
  <c r="H815" i="3" s="1"/>
  <c r="D815" i="3"/>
  <c r="K815" i="3" l="1"/>
  <c r="AE815" i="3" s="1"/>
  <c r="F815" i="3"/>
  <c r="G815" i="3"/>
  <c r="V815" i="3" l="1"/>
  <c r="A816" i="3"/>
  <c r="B816" i="3" s="1"/>
  <c r="I815" i="3"/>
  <c r="J815" i="3"/>
  <c r="M815" i="3"/>
  <c r="N815" i="3" s="1"/>
  <c r="W815" i="3" l="1"/>
  <c r="L815" i="3"/>
  <c r="P816" i="3"/>
  <c r="Q816" i="3" s="1"/>
  <c r="R816" i="3" s="1"/>
  <c r="S816" i="3" s="1"/>
  <c r="AC816" i="3"/>
  <c r="AD816" i="3"/>
  <c r="AA816" i="3"/>
  <c r="Z816" i="3"/>
  <c r="T816" i="3" l="1"/>
  <c r="U815" i="3"/>
  <c r="Y814" i="3"/>
  <c r="E816" i="3" l="1"/>
  <c r="H816" i="3" s="1"/>
  <c r="K816" i="3" s="1"/>
  <c r="AE816" i="3" s="1"/>
  <c r="D816" i="3"/>
  <c r="G816" i="3" s="1"/>
  <c r="AG816" i="3"/>
  <c r="AH816" i="3"/>
  <c r="F816" i="3" l="1"/>
  <c r="I816" i="3"/>
  <c r="J816" i="3"/>
  <c r="M816" i="3"/>
  <c r="N816" i="3" s="1"/>
  <c r="V816" i="3"/>
  <c r="A817" i="3"/>
  <c r="B817" i="3" s="1"/>
  <c r="W816" i="3" l="1"/>
  <c r="L816" i="3"/>
  <c r="P817" i="3"/>
  <c r="Q817" i="3" s="1"/>
  <c r="R817" i="3" s="1"/>
  <c r="S817" i="3" s="1"/>
  <c r="AD817" i="3"/>
  <c r="Z817" i="3"/>
  <c r="AA817" i="3"/>
  <c r="AC817" i="3"/>
  <c r="U816" i="3" l="1"/>
  <c r="Y815" i="3"/>
  <c r="T817" i="3"/>
  <c r="AG817" i="3" s="1"/>
  <c r="E817" i="3" l="1"/>
  <c r="H817" i="3" s="1"/>
  <c r="AH817" i="3"/>
  <c r="D817" i="3"/>
  <c r="F817" i="3" l="1"/>
  <c r="G817" i="3"/>
  <c r="K817" i="3"/>
  <c r="AE817" i="3" s="1"/>
  <c r="V817" i="3" l="1"/>
  <c r="A818" i="3"/>
  <c r="B818" i="3" s="1"/>
  <c r="I817" i="3"/>
  <c r="J817" i="3"/>
  <c r="M817" i="3"/>
  <c r="N817" i="3" s="1"/>
  <c r="W817" i="3" l="1"/>
  <c r="L817" i="3"/>
  <c r="AD818" i="3"/>
  <c r="Z818" i="3"/>
  <c r="AA818" i="3"/>
  <c r="P818" i="3"/>
  <c r="Q818" i="3" s="1"/>
  <c r="R818" i="3" s="1"/>
  <c r="S818" i="3" s="1"/>
  <c r="AC818" i="3"/>
  <c r="T818" i="3" l="1"/>
  <c r="U817" i="3"/>
  <c r="Y816" i="3"/>
  <c r="E818" i="3" l="1"/>
  <c r="H818" i="3" s="1"/>
  <c r="K818" i="3" s="1"/>
  <c r="AE818" i="3" s="1"/>
  <c r="D818" i="3"/>
  <c r="G818" i="3" s="1"/>
  <c r="AH818" i="3"/>
  <c r="AG818" i="3"/>
  <c r="F818" i="3" l="1"/>
  <c r="V818" i="3"/>
  <c r="A819" i="3"/>
  <c r="B819" i="3" s="1"/>
  <c r="I818" i="3"/>
  <c r="J818" i="3"/>
  <c r="M818" i="3"/>
  <c r="N818" i="3" s="1"/>
  <c r="W818" i="3" l="1"/>
  <c r="L818" i="3"/>
  <c r="AD819" i="3"/>
  <c r="AC819" i="3"/>
  <c r="AA819" i="3"/>
  <c r="Z819" i="3"/>
  <c r="P819" i="3"/>
  <c r="Q819" i="3" s="1"/>
  <c r="R819" i="3" s="1"/>
  <c r="S819" i="3" s="1"/>
  <c r="T819" i="3" l="1"/>
  <c r="AG819" i="3" s="1"/>
  <c r="U818" i="3"/>
  <c r="Y817" i="3"/>
  <c r="AH819" i="3" l="1"/>
  <c r="E819" i="3"/>
  <c r="H819" i="3" s="1"/>
  <c r="K819" i="3" s="1"/>
  <c r="AE819" i="3" s="1"/>
  <c r="D819" i="3"/>
  <c r="V819" i="3" l="1"/>
  <c r="A820" i="3"/>
  <c r="B820" i="3" s="1"/>
  <c r="F819" i="3"/>
  <c r="G819" i="3"/>
  <c r="I819" i="3" l="1"/>
  <c r="W819" i="3" s="1"/>
  <c r="J819" i="3"/>
  <c r="M819" i="3"/>
  <c r="N819" i="3" s="1"/>
  <c r="Z820" i="3"/>
  <c r="AD820" i="3"/>
  <c r="AA820" i="3"/>
  <c r="P820" i="3"/>
  <c r="Q820" i="3" s="1"/>
  <c r="R820" i="3" s="1"/>
  <c r="S820" i="3" s="1"/>
  <c r="AC820" i="3"/>
  <c r="T820" i="3" l="1"/>
  <c r="L819" i="3"/>
  <c r="U819" i="3" l="1"/>
  <c r="E820" i="3" s="1"/>
  <c r="H820" i="3" s="1"/>
  <c r="AG820" i="3"/>
  <c r="AH820" i="3"/>
  <c r="Y818" i="3"/>
  <c r="D820" i="3" l="1"/>
  <c r="G820" i="3" s="1"/>
  <c r="K820" i="3"/>
  <c r="AE820" i="3" s="1"/>
  <c r="F820" i="3" l="1"/>
  <c r="I820" i="3"/>
  <c r="J820" i="3"/>
  <c r="M820" i="3"/>
  <c r="N820" i="3" s="1"/>
  <c r="V820" i="3"/>
  <c r="A821" i="3"/>
  <c r="B821" i="3" s="1"/>
  <c r="W820" i="3" l="1"/>
  <c r="L820" i="3"/>
  <c r="P821" i="3"/>
  <c r="Q821" i="3" s="1"/>
  <c r="R821" i="3" s="1"/>
  <c r="S821" i="3" s="1"/>
  <c r="AA821" i="3"/>
  <c r="Z821" i="3"/>
  <c r="AD821" i="3"/>
  <c r="AC821" i="3"/>
  <c r="U820" i="3" l="1"/>
  <c r="Y819" i="3"/>
  <c r="T821" i="3"/>
  <c r="AH821" i="3" s="1"/>
  <c r="AG821" i="3" l="1"/>
  <c r="D821" i="3"/>
  <c r="G821" i="3" s="1"/>
  <c r="E821" i="3"/>
  <c r="H821" i="3" s="1"/>
  <c r="F821" i="3" l="1"/>
  <c r="K821" i="3"/>
  <c r="AE821" i="3" s="1"/>
  <c r="I821" i="3"/>
  <c r="J821" i="3"/>
  <c r="M821" i="3"/>
  <c r="N821" i="3" s="1"/>
  <c r="L821" i="3" l="1"/>
  <c r="V821" i="3"/>
  <c r="W821" i="3" s="1"/>
  <c r="A822" i="3"/>
  <c r="B822" i="3" s="1"/>
  <c r="P822" i="3" l="1"/>
  <c r="Q822" i="3" s="1"/>
  <c r="R822" i="3" s="1"/>
  <c r="S822" i="3" s="1"/>
  <c r="AA822" i="3"/>
  <c r="Z822" i="3"/>
  <c r="AC822" i="3"/>
  <c r="AD822" i="3"/>
  <c r="U821" i="3"/>
  <c r="Y820" i="3"/>
  <c r="T822" i="3" l="1"/>
  <c r="AH822" i="3" s="1"/>
  <c r="D822" i="3" l="1"/>
  <c r="E822" i="3"/>
  <c r="H822" i="3" s="1"/>
  <c r="AG822" i="3"/>
  <c r="K822" i="3" l="1"/>
  <c r="AE822" i="3" s="1"/>
  <c r="F822" i="3"/>
  <c r="G822" i="3"/>
  <c r="I822" i="3" l="1"/>
  <c r="J822" i="3"/>
  <c r="M822" i="3"/>
  <c r="N822" i="3" s="1"/>
  <c r="V822" i="3"/>
  <c r="A823" i="3"/>
  <c r="B823" i="3" s="1"/>
  <c r="W822" i="3" l="1"/>
  <c r="L822" i="3"/>
  <c r="AC823" i="3"/>
  <c r="Z823" i="3"/>
  <c r="P823" i="3"/>
  <c r="Q823" i="3" s="1"/>
  <c r="R823" i="3" s="1"/>
  <c r="S823" i="3" s="1"/>
  <c r="AD823" i="3"/>
  <c r="AA823" i="3"/>
  <c r="U822" i="3" l="1"/>
  <c r="Y821" i="3"/>
  <c r="T823" i="3"/>
  <c r="D823" i="3" l="1"/>
  <c r="G823" i="3" s="1"/>
  <c r="E823" i="3"/>
  <c r="H823" i="3" s="1"/>
  <c r="AG823" i="3"/>
  <c r="AH823" i="3"/>
  <c r="F823" i="3" l="1"/>
  <c r="I823" i="3"/>
  <c r="J823" i="3"/>
  <c r="M823" i="3"/>
  <c r="N823" i="3" s="1"/>
  <c r="K823" i="3"/>
  <c r="AE823" i="3" s="1"/>
  <c r="V823" i="3" l="1"/>
  <c r="W823" i="3" s="1"/>
  <c r="A824" i="3"/>
  <c r="B824" i="3" s="1"/>
  <c r="L823" i="3"/>
  <c r="U823" i="3" l="1"/>
  <c r="Y822" i="3"/>
  <c r="Z824" i="3"/>
  <c r="P824" i="3"/>
  <c r="Q824" i="3" s="1"/>
  <c r="R824" i="3" s="1"/>
  <c r="S824" i="3" s="1"/>
  <c r="AC824" i="3"/>
  <c r="AA824" i="3"/>
  <c r="T824" i="3" l="1"/>
  <c r="D824" i="3" s="1"/>
  <c r="AH824" i="3" l="1"/>
  <c r="E824" i="3"/>
  <c r="H824" i="3" s="1"/>
  <c r="K824" i="3" s="1"/>
  <c r="AE824" i="3" s="1"/>
  <c r="AG824" i="3"/>
  <c r="G824" i="3"/>
  <c r="F824" i="3" l="1"/>
  <c r="V824" i="3"/>
  <c r="A825" i="3"/>
  <c r="B825" i="3" s="1"/>
  <c r="I824" i="3"/>
  <c r="J824" i="3"/>
  <c r="AD824" i="3" s="1"/>
  <c r="M824" i="3"/>
  <c r="N824" i="3" s="1"/>
  <c r="L824" i="3" l="1"/>
  <c r="W824" i="3"/>
  <c r="Z825" i="3"/>
  <c r="AC825" i="3"/>
  <c r="P825" i="3"/>
  <c r="Q825" i="3" s="1"/>
  <c r="R825" i="3" s="1"/>
  <c r="S825" i="3" s="1"/>
  <c r="AA825" i="3"/>
  <c r="AD825" i="3"/>
  <c r="T825" i="3" l="1"/>
  <c r="AG825" i="3" s="1"/>
  <c r="U824" i="3"/>
  <c r="Y823" i="3"/>
  <c r="D825" i="3" l="1"/>
  <c r="E825" i="3"/>
  <c r="H825" i="3" s="1"/>
  <c r="AH825" i="3"/>
  <c r="F825" i="3" l="1"/>
  <c r="G825" i="3"/>
  <c r="K825" i="3"/>
  <c r="AE825" i="3" s="1"/>
  <c r="I825" i="3" l="1"/>
  <c r="J825" i="3"/>
  <c r="M825" i="3"/>
  <c r="N825" i="3" s="1"/>
  <c r="V825" i="3"/>
  <c r="A826" i="3"/>
  <c r="B826" i="3" s="1"/>
  <c r="W825" i="3" l="1"/>
  <c r="L825" i="3"/>
  <c r="P826" i="3"/>
  <c r="Q826" i="3" s="1"/>
  <c r="R826" i="3" s="1"/>
  <c r="S826" i="3" s="1"/>
  <c r="Z826" i="3"/>
  <c r="AA826" i="3"/>
  <c r="AD826" i="3"/>
  <c r="AC826" i="3"/>
  <c r="U825" i="3" l="1"/>
  <c r="Y824" i="3"/>
  <c r="T826" i="3"/>
  <c r="AG826" i="3" s="1"/>
  <c r="E826" i="3" l="1"/>
  <c r="H826" i="3" s="1"/>
  <c r="K826" i="3" s="1"/>
  <c r="AE826" i="3" s="1"/>
  <c r="AH826" i="3"/>
  <c r="D826" i="3"/>
  <c r="G826" i="3" s="1"/>
  <c r="F826" i="3" l="1"/>
  <c r="I826" i="3"/>
  <c r="J826" i="3"/>
  <c r="M826" i="3"/>
  <c r="N826" i="3" s="1"/>
  <c r="V826" i="3"/>
  <c r="W826" i="3" s="1"/>
  <c r="A827" i="3"/>
  <c r="B827" i="3" s="1"/>
  <c r="L826" i="3" l="1"/>
  <c r="Z827" i="3"/>
  <c r="AA827" i="3"/>
  <c r="AD827" i="3"/>
  <c r="P827" i="3"/>
  <c r="Q827" i="3" s="1"/>
  <c r="R827" i="3" s="1"/>
  <c r="S827" i="3" s="1"/>
  <c r="AC827" i="3"/>
  <c r="U826" i="3" l="1"/>
  <c r="Y825" i="3"/>
  <c r="T827" i="3"/>
  <c r="AH827" i="3" s="1"/>
  <c r="D827" i="3" l="1"/>
  <c r="G827" i="3" s="1"/>
  <c r="E827" i="3"/>
  <c r="H827" i="3" s="1"/>
  <c r="K827" i="3" s="1"/>
  <c r="AE827" i="3" s="1"/>
  <c r="AG827" i="3"/>
  <c r="F827" i="3" l="1"/>
  <c r="V827" i="3"/>
  <c r="A828" i="3"/>
  <c r="B828" i="3" s="1"/>
  <c r="I827" i="3"/>
  <c r="J827" i="3"/>
  <c r="M827" i="3"/>
  <c r="N827" i="3" s="1"/>
  <c r="W827" i="3" l="1"/>
  <c r="L827" i="3"/>
  <c r="AD828" i="3"/>
  <c r="P828" i="3"/>
  <c r="Q828" i="3" s="1"/>
  <c r="R828" i="3" s="1"/>
  <c r="S828" i="3" s="1"/>
  <c r="AC828" i="3"/>
  <c r="AA828" i="3"/>
  <c r="Z828" i="3"/>
  <c r="U827" i="3" l="1"/>
  <c r="Y826" i="3"/>
  <c r="T828" i="3"/>
  <c r="D828" i="3" l="1"/>
  <c r="G828" i="3" s="1"/>
  <c r="AG828" i="3"/>
  <c r="AH828" i="3"/>
  <c r="E828" i="3"/>
  <c r="H828" i="3" s="1"/>
  <c r="F828" i="3" l="1"/>
  <c r="I828" i="3"/>
  <c r="J828" i="3"/>
  <c r="M828" i="3"/>
  <c r="N828" i="3" s="1"/>
  <c r="K828" i="3"/>
  <c r="AE828" i="3" s="1"/>
  <c r="V828" i="3" l="1"/>
  <c r="W828" i="3" s="1"/>
  <c r="A829" i="3"/>
  <c r="B829" i="3" s="1"/>
  <c r="L828" i="3"/>
  <c r="U828" i="3" l="1"/>
  <c r="Y827" i="3"/>
  <c r="AC829" i="3"/>
  <c r="Z829" i="3"/>
  <c r="AA829" i="3"/>
  <c r="P829" i="3"/>
  <c r="Q829" i="3" s="1"/>
  <c r="R829" i="3" s="1"/>
  <c r="S829" i="3" s="1"/>
  <c r="AD829" i="3"/>
  <c r="T829" i="3" l="1"/>
  <c r="E829" i="3" s="1"/>
  <c r="H829" i="3" s="1"/>
  <c r="AH829" i="3" l="1"/>
  <c r="D829" i="3"/>
  <c r="G829" i="3" s="1"/>
  <c r="AG829" i="3"/>
  <c r="K829" i="3"/>
  <c r="AE829" i="3" s="1"/>
  <c r="F829" i="3" l="1"/>
  <c r="I829" i="3"/>
  <c r="J829" i="3"/>
  <c r="M829" i="3"/>
  <c r="N829" i="3" s="1"/>
  <c r="V829" i="3"/>
  <c r="A830" i="3"/>
  <c r="B830" i="3" s="1"/>
  <c r="W829" i="3" l="1"/>
  <c r="L829" i="3"/>
  <c r="AA830" i="3"/>
  <c r="Z830" i="3"/>
  <c r="AC830" i="3"/>
  <c r="AD830" i="3"/>
  <c r="P830" i="3"/>
  <c r="Q830" i="3" s="1"/>
  <c r="R830" i="3" s="1"/>
  <c r="S830" i="3" s="1"/>
  <c r="U829" i="3" l="1"/>
  <c r="Y828" i="3"/>
  <c r="T830" i="3"/>
  <c r="D830" i="3" l="1"/>
  <c r="G830" i="3" s="1"/>
  <c r="E830" i="3"/>
  <c r="H830" i="3" s="1"/>
  <c r="AG830" i="3"/>
  <c r="AH830" i="3"/>
  <c r="F830" i="3" l="1"/>
  <c r="I830" i="3"/>
  <c r="J830" i="3"/>
  <c r="M830" i="3"/>
  <c r="N830" i="3" s="1"/>
  <c r="K830" i="3"/>
  <c r="AE830" i="3" s="1"/>
  <c r="V830" i="3" l="1"/>
  <c r="W830" i="3" s="1"/>
  <c r="A831" i="3"/>
  <c r="B831" i="3" s="1"/>
  <c r="L830" i="3"/>
  <c r="U830" i="3" l="1"/>
  <c r="Y829" i="3"/>
  <c r="Z831" i="3"/>
  <c r="P831" i="3"/>
  <c r="Q831" i="3" s="1"/>
  <c r="R831" i="3" s="1"/>
  <c r="S831" i="3" s="1"/>
  <c r="AA831" i="3"/>
  <c r="AD831" i="3"/>
  <c r="AC831" i="3"/>
  <c r="T831" i="3" l="1"/>
  <c r="AH831" i="3" s="1"/>
  <c r="E831" i="3" l="1"/>
  <c r="H831" i="3" s="1"/>
  <c r="K831" i="3" s="1"/>
  <c r="AE831" i="3" s="1"/>
  <c r="D831" i="3"/>
  <c r="G831" i="3" s="1"/>
  <c r="AG831" i="3"/>
  <c r="F831" i="3" l="1"/>
  <c r="I831" i="3"/>
  <c r="J831" i="3"/>
  <c r="M831" i="3"/>
  <c r="N831" i="3" s="1"/>
  <c r="V831" i="3"/>
  <c r="A832" i="3"/>
  <c r="B832" i="3" s="1"/>
  <c r="W831" i="3" l="1"/>
  <c r="L831" i="3"/>
  <c r="P832" i="3"/>
  <c r="Q832" i="3" s="1"/>
  <c r="R832" i="3" s="1"/>
  <c r="S832" i="3" s="1"/>
  <c r="AC832" i="3"/>
  <c r="AD832" i="3"/>
  <c r="Z832" i="3"/>
  <c r="AA832" i="3"/>
  <c r="U831" i="3" l="1"/>
  <c r="Y830" i="3"/>
  <c r="T832" i="3"/>
  <c r="AH832" i="3" s="1"/>
  <c r="D832" i="3" l="1"/>
  <c r="G832" i="3" s="1"/>
  <c r="AG832" i="3"/>
  <c r="E832" i="3"/>
  <c r="H832" i="3" s="1"/>
  <c r="K832" i="3" l="1"/>
  <c r="AE832" i="3" s="1"/>
  <c r="I832" i="3"/>
  <c r="J832" i="3"/>
  <c r="M832" i="3"/>
  <c r="N832" i="3" s="1"/>
  <c r="F832" i="3"/>
  <c r="L832" i="3" l="1"/>
  <c r="V832" i="3"/>
  <c r="W832" i="3" s="1"/>
  <c r="A833" i="3"/>
  <c r="B833" i="3" s="1"/>
  <c r="U832" i="3" l="1"/>
  <c r="Y831" i="3"/>
  <c r="Z833" i="3"/>
  <c r="AC833" i="3"/>
  <c r="P833" i="3"/>
  <c r="Q833" i="3" s="1"/>
  <c r="R833" i="3" s="1"/>
  <c r="S833" i="3" s="1"/>
  <c r="AD833" i="3"/>
  <c r="AA833" i="3"/>
  <c r="T833" i="3" l="1"/>
  <c r="AH833" i="3" s="1"/>
  <c r="E833" i="3" l="1"/>
  <c r="H833" i="3" s="1"/>
  <c r="K833" i="3" s="1"/>
  <c r="AE833" i="3" s="1"/>
  <c r="AG833" i="3"/>
  <c r="D833" i="3"/>
  <c r="G833" i="3" s="1"/>
  <c r="F833" i="3" l="1"/>
  <c r="I833" i="3"/>
  <c r="J833" i="3"/>
  <c r="M833" i="3"/>
  <c r="N833" i="3" s="1"/>
  <c r="V833" i="3"/>
  <c r="A834" i="3"/>
  <c r="B834" i="3" s="1"/>
  <c r="L833" i="3" l="1"/>
  <c r="W833" i="3"/>
  <c r="AC834" i="3"/>
  <c r="P834" i="3"/>
  <c r="Q834" i="3" s="1"/>
  <c r="R834" i="3" s="1"/>
  <c r="S834" i="3" s="1"/>
  <c r="AA834" i="3"/>
  <c r="Z834" i="3"/>
  <c r="U833" i="3" l="1"/>
  <c r="Y832" i="3"/>
  <c r="T834" i="3"/>
  <c r="D834" i="3" l="1"/>
  <c r="G834" i="3" s="1"/>
  <c r="E834" i="3"/>
  <c r="H834" i="3" s="1"/>
  <c r="K834" i="3" s="1"/>
  <c r="AE834" i="3" s="1"/>
  <c r="AH834" i="3"/>
  <c r="AG834" i="3"/>
  <c r="F834" i="3" l="1"/>
  <c r="V834" i="3"/>
  <c r="A835" i="3"/>
  <c r="B835" i="3" s="1"/>
  <c r="I834" i="3"/>
  <c r="J834" i="3"/>
  <c r="AD834" i="3" s="1"/>
  <c r="M834" i="3"/>
  <c r="N834" i="3" s="1"/>
  <c r="W834" i="3" l="1"/>
  <c r="L834" i="3"/>
  <c r="Z835" i="3"/>
  <c r="P835" i="3"/>
  <c r="Q835" i="3" s="1"/>
  <c r="R835" i="3" s="1"/>
  <c r="S835" i="3" s="1"/>
  <c r="AD835" i="3"/>
  <c r="AC835" i="3"/>
  <c r="AA835" i="3"/>
  <c r="T835" i="3" l="1"/>
  <c r="U834" i="3"/>
  <c r="Y833" i="3"/>
  <c r="E835" i="3" l="1"/>
  <c r="H835" i="3" s="1"/>
  <c r="K835" i="3" s="1"/>
  <c r="AE835" i="3" s="1"/>
  <c r="AH835" i="3"/>
  <c r="AG835" i="3"/>
  <c r="D835" i="3"/>
  <c r="F835" i="3" l="1"/>
  <c r="G835" i="3"/>
  <c r="V835" i="3"/>
  <c r="A836" i="3"/>
  <c r="B836" i="3" s="1"/>
  <c r="I835" i="3" l="1"/>
  <c r="W835" i="3" s="1"/>
  <c r="J835" i="3"/>
  <c r="M835" i="3"/>
  <c r="N835" i="3" s="1"/>
  <c r="Z836" i="3"/>
  <c r="AA836" i="3"/>
  <c r="AC836" i="3"/>
  <c r="P836" i="3"/>
  <c r="Q836" i="3" s="1"/>
  <c r="R836" i="3" s="1"/>
  <c r="S836" i="3" s="1"/>
  <c r="AD836" i="3"/>
  <c r="T836" i="3" l="1"/>
  <c r="L835" i="3"/>
  <c r="AG836" i="3" l="1"/>
  <c r="U835" i="3"/>
  <c r="D836" i="3" s="1"/>
  <c r="AH836" i="3"/>
  <c r="Y834" i="3"/>
  <c r="E836" i="3" l="1"/>
  <c r="H836" i="3" s="1"/>
  <c r="K836" i="3" s="1"/>
  <c r="AE836" i="3" s="1"/>
  <c r="G836" i="3"/>
  <c r="F836" i="3" l="1"/>
  <c r="V836" i="3"/>
  <c r="A837" i="3"/>
  <c r="B837" i="3" s="1"/>
  <c r="I836" i="3"/>
  <c r="J836" i="3"/>
  <c r="M836" i="3"/>
  <c r="N836" i="3" s="1"/>
  <c r="L836" i="3" l="1"/>
  <c r="W836" i="3"/>
  <c r="P837" i="3"/>
  <c r="Q837" i="3" s="1"/>
  <c r="R837" i="3" s="1"/>
  <c r="S837" i="3" s="1"/>
  <c r="AD837" i="3"/>
  <c r="AA837" i="3"/>
  <c r="AC837" i="3"/>
  <c r="Z837" i="3"/>
  <c r="U836" i="3" l="1"/>
  <c r="Y835" i="3"/>
  <c r="T837" i="3"/>
  <c r="AH837" i="3" s="1"/>
  <c r="E837" i="3" l="1"/>
  <c r="H837" i="3" s="1"/>
  <c r="K837" i="3" s="1"/>
  <c r="AE837" i="3" s="1"/>
  <c r="D837" i="3"/>
  <c r="G837" i="3" s="1"/>
  <c r="AG837" i="3"/>
  <c r="F837" i="3" l="1"/>
  <c r="I837" i="3"/>
  <c r="J837" i="3"/>
  <c r="M837" i="3"/>
  <c r="N837" i="3" s="1"/>
  <c r="V837" i="3"/>
  <c r="A838" i="3"/>
  <c r="B838" i="3" s="1"/>
  <c r="W837" i="3" l="1"/>
  <c r="L837" i="3"/>
  <c r="P838" i="3"/>
  <c r="Q838" i="3" s="1"/>
  <c r="R838" i="3" s="1"/>
  <c r="S838" i="3" s="1"/>
  <c r="AA838" i="3"/>
  <c r="AC838" i="3"/>
  <c r="Z838" i="3"/>
  <c r="AD838" i="3"/>
  <c r="U837" i="3" l="1"/>
  <c r="Y836" i="3"/>
  <c r="T838" i="3"/>
  <c r="AH838" i="3" s="1"/>
  <c r="E838" i="3" l="1"/>
  <c r="H838" i="3" s="1"/>
  <c r="D838" i="3"/>
  <c r="AG838" i="3"/>
  <c r="K838" i="3" l="1"/>
  <c r="AE838" i="3" s="1"/>
  <c r="F838" i="3"/>
  <c r="G838" i="3"/>
  <c r="V838" i="3" l="1"/>
  <c r="A839" i="3"/>
  <c r="B839" i="3" s="1"/>
  <c r="I838" i="3"/>
  <c r="J838" i="3"/>
  <c r="M838" i="3"/>
  <c r="N838" i="3" s="1"/>
  <c r="W838" i="3" l="1"/>
  <c r="L838" i="3"/>
  <c r="AC839" i="3"/>
  <c r="Z839" i="3"/>
  <c r="AA839" i="3"/>
  <c r="P839" i="3"/>
  <c r="Q839" i="3" s="1"/>
  <c r="R839" i="3" s="1"/>
  <c r="S839" i="3" s="1"/>
  <c r="AD839" i="3"/>
  <c r="U838" i="3" l="1"/>
  <c r="Y837" i="3"/>
  <c r="T839" i="3"/>
  <c r="AG839" i="3" s="1"/>
  <c r="D839" i="3" l="1"/>
  <c r="E839" i="3"/>
  <c r="H839" i="3" s="1"/>
  <c r="AH839" i="3"/>
  <c r="F839" i="3" l="1"/>
  <c r="G839" i="3"/>
  <c r="K839" i="3"/>
  <c r="AE839" i="3" s="1"/>
  <c r="V839" i="3" l="1"/>
  <c r="A840" i="3"/>
  <c r="B840" i="3" s="1"/>
  <c r="I839" i="3"/>
  <c r="J839" i="3"/>
  <c r="M839" i="3"/>
  <c r="N839" i="3" s="1"/>
  <c r="W839" i="3" l="1"/>
  <c r="L839" i="3"/>
  <c r="AC840" i="3"/>
  <c r="P840" i="3"/>
  <c r="Q840" i="3" s="1"/>
  <c r="R840" i="3" s="1"/>
  <c r="S840" i="3" s="1"/>
  <c r="AA840" i="3"/>
  <c r="Z840" i="3"/>
  <c r="AD840" i="3"/>
  <c r="T840" i="3" l="1"/>
  <c r="U839" i="3"/>
  <c r="Y838" i="3"/>
  <c r="D840" i="3" l="1"/>
  <c r="G840" i="3" s="1"/>
  <c r="AG840" i="3"/>
  <c r="E840" i="3"/>
  <c r="H840" i="3" s="1"/>
  <c r="AH840" i="3"/>
  <c r="K840" i="3" l="1"/>
  <c r="AE840" i="3" s="1"/>
  <c r="I840" i="3"/>
  <c r="J840" i="3"/>
  <c r="M840" i="3"/>
  <c r="N840" i="3" s="1"/>
  <c r="F840" i="3"/>
  <c r="L840" i="3" l="1"/>
  <c r="V840" i="3"/>
  <c r="W840" i="3" s="1"/>
  <c r="A841" i="3"/>
  <c r="B841" i="3" s="1"/>
  <c r="U840" i="3" l="1"/>
  <c r="Y839" i="3"/>
  <c r="AA841" i="3"/>
  <c r="Z841" i="3"/>
  <c r="AD841" i="3"/>
  <c r="AC841" i="3"/>
  <c r="P841" i="3"/>
  <c r="Q841" i="3" s="1"/>
  <c r="R841" i="3" s="1"/>
  <c r="S841" i="3" s="1"/>
  <c r="T841" i="3" l="1"/>
  <c r="AH841" i="3" s="1"/>
  <c r="E841" i="3" l="1"/>
  <c r="H841" i="3" s="1"/>
  <c r="K841" i="3" s="1"/>
  <c r="AE841" i="3" s="1"/>
  <c r="AG841" i="3"/>
  <c r="D841" i="3"/>
  <c r="G841" i="3" s="1"/>
  <c r="F841" i="3" l="1"/>
  <c r="I841" i="3"/>
  <c r="J841" i="3"/>
  <c r="M841" i="3"/>
  <c r="N841" i="3" s="1"/>
  <c r="V841" i="3"/>
  <c r="A842" i="3"/>
  <c r="B842" i="3" s="1"/>
  <c r="W841" i="3" l="1"/>
  <c r="L841" i="3"/>
  <c r="P842" i="3"/>
  <c r="Q842" i="3" s="1"/>
  <c r="R842" i="3" s="1"/>
  <c r="S842" i="3" s="1"/>
  <c r="AD842" i="3"/>
  <c r="Z842" i="3"/>
  <c r="AC842" i="3"/>
  <c r="AA842" i="3"/>
  <c r="U841" i="3" l="1"/>
  <c r="Y840" i="3"/>
  <c r="T842" i="3"/>
  <c r="AG842" i="3" s="1"/>
  <c r="D842" i="3" l="1"/>
  <c r="G842" i="3" s="1"/>
  <c r="E842" i="3"/>
  <c r="H842" i="3" s="1"/>
  <c r="K842" i="3" s="1"/>
  <c r="AE842" i="3" s="1"/>
  <c r="AH842" i="3"/>
  <c r="F842" i="3" l="1"/>
  <c r="V842" i="3"/>
  <c r="A843" i="3"/>
  <c r="B843" i="3" s="1"/>
  <c r="I842" i="3"/>
  <c r="J842" i="3"/>
  <c r="M842" i="3"/>
  <c r="N842" i="3" s="1"/>
  <c r="W842" i="3" l="1"/>
  <c r="L842" i="3"/>
  <c r="AC843" i="3"/>
  <c r="AD843" i="3"/>
  <c r="AA843" i="3"/>
  <c r="Z843" i="3"/>
  <c r="P843" i="3"/>
  <c r="Q843" i="3" s="1"/>
  <c r="R843" i="3" s="1"/>
  <c r="S843" i="3" s="1"/>
  <c r="U842" i="3" l="1"/>
  <c r="Y841" i="3"/>
  <c r="T843" i="3"/>
  <c r="AG843" i="3" s="1"/>
  <c r="D843" i="3" l="1"/>
  <c r="E843" i="3"/>
  <c r="H843" i="3" s="1"/>
  <c r="AH843" i="3"/>
  <c r="F843" i="3" l="1"/>
  <c r="G843" i="3"/>
  <c r="K843" i="3"/>
  <c r="AE843" i="3" s="1"/>
  <c r="V843" i="3" l="1"/>
  <c r="A844" i="3"/>
  <c r="B844" i="3" s="1"/>
  <c r="I843" i="3"/>
  <c r="J843" i="3"/>
  <c r="M843" i="3"/>
  <c r="N843" i="3" s="1"/>
  <c r="W843" i="3" l="1"/>
  <c r="L843" i="3"/>
  <c r="AC844" i="3"/>
  <c r="P844" i="3"/>
  <c r="Q844" i="3" s="1"/>
  <c r="R844" i="3" s="1"/>
  <c r="S844" i="3" s="1"/>
  <c r="Z844" i="3"/>
  <c r="AA844" i="3"/>
  <c r="U843" i="3" l="1"/>
  <c r="Y842" i="3"/>
  <c r="T844" i="3"/>
  <c r="AH844" i="3" s="1"/>
  <c r="AG844" i="3" l="1"/>
  <c r="E844" i="3"/>
  <c r="H844" i="3" s="1"/>
  <c r="K844" i="3" s="1"/>
  <c r="AE844" i="3" s="1"/>
  <c r="D844" i="3"/>
  <c r="V844" i="3" l="1"/>
  <c r="A845" i="3"/>
  <c r="B845" i="3" s="1"/>
  <c r="F844" i="3"/>
  <c r="G844" i="3"/>
  <c r="I844" i="3" l="1"/>
  <c r="W844" i="3" s="1"/>
  <c r="J844" i="3"/>
  <c r="AD844" i="3" s="1"/>
  <c r="M844" i="3"/>
  <c r="N844" i="3" s="1"/>
  <c r="AD845" i="3"/>
  <c r="AC845" i="3"/>
  <c r="P845" i="3"/>
  <c r="Q845" i="3" s="1"/>
  <c r="R845" i="3" s="1"/>
  <c r="S845" i="3" s="1"/>
  <c r="Z845" i="3"/>
  <c r="AA845" i="3"/>
  <c r="T845" i="3" l="1"/>
  <c r="L844" i="3"/>
  <c r="AH845" i="3" l="1"/>
  <c r="U844" i="3"/>
  <c r="D845" i="3" s="1"/>
  <c r="AG845" i="3"/>
  <c r="Y843" i="3"/>
  <c r="E845" i="3" l="1"/>
  <c r="H845" i="3" s="1"/>
  <c r="K845" i="3" s="1"/>
  <c r="AE845" i="3" s="1"/>
  <c r="G845" i="3"/>
  <c r="F845" i="3" l="1"/>
  <c r="I845" i="3"/>
  <c r="J845" i="3"/>
  <c r="M845" i="3"/>
  <c r="N845" i="3" s="1"/>
  <c r="V845" i="3"/>
  <c r="A846" i="3"/>
  <c r="B846" i="3" s="1"/>
  <c r="W845" i="3" l="1"/>
  <c r="L845" i="3"/>
  <c r="P846" i="3"/>
  <c r="Q846" i="3" s="1"/>
  <c r="R846" i="3" s="1"/>
  <c r="S846" i="3" s="1"/>
  <c r="AD846" i="3"/>
  <c r="AC846" i="3"/>
  <c r="Z846" i="3"/>
  <c r="AA846" i="3"/>
  <c r="U845" i="3" l="1"/>
  <c r="Y844" i="3"/>
  <c r="T846" i="3"/>
  <c r="AH846" i="3" s="1"/>
  <c r="D846" i="3" l="1"/>
  <c r="G846" i="3" s="1"/>
  <c r="E846" i="3"/>
  <c r="H846" i="3" s="1"/>
  <c r="K846" i="3" s="1"/>
  <c r="AE846" i="3" s="1"/>
  <c r="AG846" i="3"/>
  <c r="F846" i="3" l="1"/>
  <c r="I846" i="3"/>
  <c r="J846" i="3"/>
  <c r="M846" i="3"/>
  <c r="N846" i="3" s="1"/>
  <c r="V846" i="3"/>
  <c r="A847" i="3"/>
  <c r="B847" i="3" s="1"/>
  <c r="W846" i="3" l="1"/>
  <c r="L846" i="3"/>
  <c r="AC847" i="3"/>
  <c r="P847" i="3"/>
  <c r="Q847" i="3" s="1"/>
  <c r="R847" i="3" s="1"/>
  <c r="S847" i="3" s="1"/>
  <c r="AD847" i="3"/>
  <c r="AA847" i="3"/>
  <c r="Z847" i="3"/>
  <c r="U846" i="3" l="1"/>
  <c r="Y845" i="3"/>
  <c r="T847" i="3"/>
  <c r="D847" i="3" l="1"/>
  <c r="G847" i="3" s="1"/>
  <c r="E847" i="3"/>
  <c r="H847" i="3" s="1"/>
  <c r="K847" i="3" s="1"/>
  <c r="AE847" i="3" s="1"/>
  <c r="AH847" i="3"/>
  <c r="AG847" i="3"/>
  <c r="F847" i="3" l="1"/>
  <c r="I847" i="3"/>
  <c r="J847" i="3"/>
  <c r="M847" i="3"/>
  <c r="N847" i="3" s="1"/>
  <c r="V847" i="3"/>
  <c r="A848" i="3"/>
  <c r="B848" i="3" s="1"/>
  <c r="W847" i="3" l="1"/>
  <c r="L847" i="3"/>
  <c r="AA848" i="3"/>
  <c r="AD848" i="3"/>
  <c r="P848" i="3"/>
  <c r="Q848" i="3" s="1"/>
  <c r="R848" i="3" s="1"/>
  <c r="S848" i="3" s="1"/>
  <c r="Z848" i="3"/>
  <c r="AC848" i="3"/>
  <c r="U847" i="3" l="1"/>
  <c r="Y846" i="3"/>
  <c r="T848" i="3"/>
  <c r="AG848" i="3" s="1"/>
  <c r="D848" i="3" l="1"/>
  <c r="AH848" i="3"/>
  <c r="E848" i="3"/>
  <c r="H848" i="3" s="1"/>
  <c r="F848" i="3" l="1"/>
  <c r="G848" i="3"/>
  <c r="K848" i="3"/>
  <c r="AE848" i="3" s="1"/>
  <c r="V848" i="3" l="1"/>
  <c r="A849" i="3"/>
  <c r="B849" i="3" s="1"/>
  <c r="I848" i="3"/>
  <c r="J848" i="3"/>
  <c r="M848" i="3"/>
  <c r="N848" i="3" s="1"/>
  <c r="W848" i="3" l="1"/>
  <c r="L848" i="3"/>
  <c r="P849" i="3"/>
  <c r="Q849" i="3" s="1"/>
  <c r="R849" i="3" s="1"/>
  <c r="S849" i="3" s="1"/>
  <c r="AC849" i="3"/>
  <c r="Z849" i="3"/>
  <c r="AD849" i="3"/>
  <c r="AA849" i="3"/>
  <c r="U848" i="3" l="1"/>
  <c r="Y847" i="3"/>
  <c r="T849" i="3"/>
  <c r="AG849" i="3" s="1"/>
  <c r="E849" i="3" l="1"/>
  <c r="H849" i="3" s="1"/>
  <c r="K849" i="3" s="1"/>
  <c r="AE849" i="3" s="1"/>
  <c r="D849" i="3"/>
  <c r="G849" i="3" s="1"/>
  <c r="AH849" i="3"/>
  <c r="F849" i="3" l="1"/>
  <c r="V849" i="3"/>
  <c r="A850" i="3"/>
  <c r="B850" i="3" s="1"/>
  <c r="I849" i="3"/>
  <c r="J849" i="3"/>
  <c r="M849" i="3"/>
  <c r="N849" i="3" s="1"/>
  <c r="W849" i="3" l="1"/>
  <c r="L849" i="3"/>
  <c r="AA850" i="3"/>
  <c r="AC850" i="3"/>
  <c r="P850" i="3"/>
  <c r="Q850" i="3" s="1"/>
  <c r="R850" i="3" s="1"/>
  <c r="S850" i="3" s="1"/>
  <c r="AD850" i="3"/>
  <c r="Z850" i="3"/>
  <c r="T850" i="3" l="1"/>
  <c r="AG850" i="3" s="1"/>
  <c r="U849" i="3"/>
  <c r="Y848" i="3"/>
  <c r="E850" i="3" l="1"/>
  <c r="H850" i="3" s="1"/>
  <c r="D850" i="3"/>
  <c r="AH850" i="3"/>
  <c r="K850" i="3" l="1"/>
  <c r="AE850" i="3" s="1"/>
  <c r="F850" i="3"/>
  <c r="G850" i="3"/>
  <c r="I850" i="3" l="1"/>
  <c r="J850" i="3"/>
  <c r="M850" i="3"/>
  <c r="N850" i="3" s="1"/>
  <c r="V850" i="3"/>
  <c r="A851" i="3"/>
  <c r="B851" i="3" s="1"/>
  <c r="W850" i="3" l="1"/>
  <c r="L850" i="3"/>
  <c r="P851" i="3"/>
  <c r="Q851" i="3" s="1"/>
  <c r="R851" i="3" s="1"/>
  <c r="S851" i="3" s="1"/>
  <c r="AA851" i="3"/>
  <c r="AC851" i="3"/>
  <c r="AD851" i="3"/>
  <c r="Z851" i="3"/>
  <c r="U850" i="3" l="1"/>
  <c r="Y849" i="3"/>
  <c r="T851" i="3"/>
  <c r="AH851" i="3" s="1"/>
  <c r="E851" i="3" l="1"/>
  <c r="H851" i="3" s="1"/>
  <c r="K851" i="3" s="1"/>
  <c r="AE851" i="3" s="1"/>
  <c r="AG851" i="3"/>
  <c r="D851" i="3"/>
  <c r="F851" i="3" l="1"/>
  <c r="G851" i="3"/>
  <c r="M851" i="3" s="1"/>
  <c r="N851" i="3" s="1"/>
  <c r="V851" i="3"/>
  <c r="A852" i="3"/>
  <c r="B852" i="3" s="1"/>
  <c r="I851" i="3" l="1"/>
  <c r="W851" i="3" s="1"/>
  <c r="J851" i="3"/>
  <c r="L851" i="3" s="1"/>
  <c r="AC852" i="3"/>
  <c r="AA852" i="3"/>
  <c r="AD852" i="3"/>
  <c r="P852" i="3"/>
  <c r="Q852" i="3" s="1"/>
  <c r="R852" i="3" s="1"/>
  <c r="S852" i="3" s="1"/>
  <c r="Z852" i="3"/>
  <c r="T852" i="3" l="1"/>
  <c r="U851" i="3"/>
  <c r="Y850" i="3"/>
  <c r="D852" i="3" l="1"/>
  <c r="G852" i="3" s="1"/>
  <c r="AH852" i="3"/>
  <c r="E852" i="3"/>
  <c r="H852" i="3" s="1"/>
  <c r="AG852" i="3"/>
  <c r="F852" i="3" l="1"/>
  <c r="I852" i="3"/>
  <c r="J852" i="3"/>
  <c r="M852" i="3"/>
  <c r="N852" i="3" s="1"/>
  <c r="K852" i="3"/>
  <c r="AE852" i="3" s="1"/>
  <c r="L852" i="3" l="1"/>
  <c r="V852" i="3"/>
  <c r="W852" i="3" s="1"/>
  <c r="A853" i="3"/>
  <c r="B853" i="3" s="1"/>
  <c r="U852" i="3" l="1"/>
  <c r="Y851" i="3"/>
  <c r="AD853" i="3"/>
  <c r="AC853" i="3"/>
  <c r="P853" i="3"/>
  <c r="Q853" i="3" s="1"/>
  <c r="R853" i="3" s="1"/>
  <c r="S853" i="3" s="1"/>
  <c r="Z853" i="3"/>
  <c r="AA853" i="3"/>
  <c r="T853" i="3" l="1"/>
  <c r="AG853" i="3" s="1"/>
  <c r="E853" i="3" l="1"/>
  <c r="H853" i="3" s="1"/>
  <c r="AH853" i="3"/>
  <c r="D853" i="3"/>
  <c r="K853" i="3" l="1"/>
  <c r="AE853" i="3" s="1"/>
  <c r="F853" i="3"/>
  <c r="G853" i="3"/>
  <c r="I853" i="3" l="1"/>
  <c r="J853" i="3"/>
  <c r="M853" i="3"/>
  <c r="N853" i="3" s="1"/>
  <c r="V853" i="3"/>
  <c r="A854" i="3"/>
  <c r="B854" i="3" s="1"/>
  <c r="W853" i="3" l="1"/>
  <c r="L853" i="3"/>
  <c r="Z854" i="3"/>
  <c r="P854" i="3"/>
  <c r="Q854" i="3" s="1"/>
  <c r="R854" i="3" s="1"/>
  <c r="S854" i="3" s="1"/>
  <c r="AC854" i="3"/>
  <c r="AA854" i="3"/>
  <c r="U853" i="3" l="1"/>
  <c r="Y852" i="3"/>
  <c r="T854" i="3"/>
  <c r="AG854" i="3" s="1"/>
  <c r="E854" i="3" l="1"/>
  <c r="H854" i="3" s="1"/>
  <c r="K854" i="3" s="1"/>
  <c r="AE854" i="3" s="1"/>
  <c r="AH854" i="3"/>
  <c r="D854" i="3"/>
  <c r="G854" i="3" s="1"/>
  <c r="F854" i="3" l="1"/>
  <c r="I854" i="3"/>
  <c r="J854" i="3"/>
  <c r="AD854" i="3" s="1"/>
  <c r="M854" i="3"/>
  <c r="N854" i="3" s="1"/>
  <c r="V854" i="3"/>
  <c r="A855" i="3"/>
  <c r="B855" i="3" s="1"/>
  <c r="W854" i="3" l="1"/>
  <c r="L854" i="3"/>
  <c r="Z855" i="3"/>
  <c r="P855" i="3"/>
  <c r="Q855" i="3" s="1"/>
  <c r="R855" i="3" s="1"/>
  <c r="S855" i="3" s="1"/>
  <c r="AA855" i="3"/>
  <c r="AC855" i="3"/>
  <c r="AD855" i="3"/>
  <c r="T855" i="3" l="1"/>
  <c r="AG855" i="3" s="1"/>
  <c r="U854" i="3"/>
  <c r="Y853" i="3"/>
  <c r="E855" i="3" l="1"/>
  <c r="H855" i="3" s="1"/>
  <c r="K855" i="3" s="1"/>
  <c r="AE855" i="3" s="1"/>
  <c r="D855" i="3"/>
  <c r="AH855" i="3"/>
  <c r="F855" i="3" l="1"/>
  <c r="G855" i="3"/>
  <c r="V855" i="3"/>
  <c r="A856" i="3"/>
  <c r="B856" i="3" s="1"/>
  <c r="AA856" i="3" l="1"/>
  <c r="P856" i="3"/>
  <c r="Q856" i="3" s="1"/>
  <c r="R856" i="3" s="1"/>
  <c r="S856" i="3" s="1"/>
  <c r="Z856" i="3"/>
  <c r="AD856" i="3"/>
  <c r="AC856" i="3"/>
  <c r="I855" i="3"/>
  <c r="W855" i="3" s="1"/>
  <c r="J855" i="3"/>
  <c r="M855" i="3"/>
  <c r="N855" i="3" s="1"/>
  <c r="L855" i="3" l="1"/>
  <c r="T856" i="3"/>
  <c r="U855" i="3" l="1"/>
  <c r="D856" i="3" s="1"/>
  <c r="AH856" i="3"/>
  <c r="AG856" i="3"/>
  <c r="Y854" i="3"/>
  <c r="G856" i="3" l="1"/>
  <c r="E856" i="3"/>
  <c r="H856" i="3" s="1"/>
  <c r="F856" i="3" l="1"/>
  <c r="K856" i="3"/>
  <c r="AE856" i="3" s="1"/>
  <c r="I856" i="3"/>
  <c r="J856" i="3"/>
  <c r="M856" i="3"/>
  <c r="N856" i="3" s="1"/>
  <c r="L856" i="3" l="1"/>
  <c r="V856" i="3"/>
  <c r="W856" i="3" s="1"/>
  <c r="A857" i="3"/>
  <c r="B857" i="3" s="1"/>
  <c r="Z857" i="3" l="1"/>
  <c r="AC857" i="3"/>
  <c r="AD857" i="3"/>
  <c r="AA857" i="3"/>
  <c r="P857" i="3"/>
  <c r="Q857" i="3" s="1"/>
  <c r="R857" i="3" s="1"/>
  <c r="S857" i="3" s="1"/>
  <c r="U856" i="3"/>
  <c r="Y855" i="3"/>
  <c r="T857" i="3" l="1"/>
  <c r="E857" i="3" l="1"/>
  <c r="H857" i="3" s="1"/>
  <c r="AG857" i="3"/>
  <c r="D857" i="3"/>
  <c r="AH857" i="3"/>
  <c r="K857" i="3" l="1"/>
  <c r="AE857" i="3" s="1"/>
  <c r="F857" i="3"/>
  <c r="G857" i="3"/>
  <c r="I857" i="3" l="1"/>
  <c r="J857" i="3"/>
  <c r="M857" i="3"/>
  <c r="N857" i="3" s="1"/>
  <c r="V857" i="3"/>
  <c r="A858" i="3"/>
  <c r="B858" i="3" s="1"/>
  <c r="W857" i="3" l="1"/>
  <c r="L857" i="3"/>
  <c r="AA858" i="3"/>
  <c r="AD858" i="3"/>
  <c r="Z858" i="3"/>
  <c r="P858" i="3"/>
  <c r="Q858" i="3" s="1"/>
  <c r="R858" i="3" s="1"/>
  <c r="S858" i="3" s="1"/>
  <c r="AC858" i="3"/>
  <c r="U857" i="3" l="1"/>
  <c r="Y856" i="3"/>
  <c r="T858" i="3"/>
  <c r="D858" i="3" l="1"/>
  <c r="G858" i="3" s="1"/>
  <c r="E858" i="3"/>
  <c r="H858" i="3" s="1"/>
  <c r="K858" i="3" s="1"/>
  <c r="AE858" i="3" s="1"/>
  <c r="AG858" i="3"/>
  <c r="AH858" i="3"/>
  <c r="F858" i="3" l="1"/>
  <c r="V858" i="3"/>
  <c r="A859" i="3"/>
  <c r="B859" i="3" s="1"/>
  <c r="I858" i="3"/>
  <c r="J858" i="3"/>
  <c r="M858" i="3"/>
  <c r="N858" i="3" s="1"/>
  <c r="W858" i="3" l="1"/>
  <c r="L858" i="3"/>
  <c r="AC859" i="3"/>
  <c r="P859" i="3"/>
  <c r="Q859" i="3" s="1"/>
  <c r="R859" i="3" s="1"/>
  <c r="S859" i="3" s="1"/>
  <c r="AA859" i="3"/>
  <c r="Z859" i="3"/>
  <c r="AD859" i="3"/>
  <c r="U858" i="3" l="1"/>
  <c r="Y857" i="3"/>
  <c r="T859" i="3"/>
  <c r="D859" i="3" l="1"/>
  <c r="G859" i="3" s="1"/>
  <c r="AH859" i="3"/>
  <c r="AG859" i="3"/>
  <c r="E859" i="3"/>
  <c r="H859" i="3" s="1"/>
  <c r="K859" i="3" s="1"/>
  <c r="AE859" i="3" s="1"/>
  <c r="F859" i="3" l="1"/>
  <c r="I859" i="3"/>
  <c r="J859" i="3"/>
  <c r="M859" i="3"/>
  <c r="N859" i="3" s="1"/>
  <c r="V859" i="3"/>
  <c r="A860" i="3"/>
  <c r="B860" i="3" s="1"/>
  <c r="W859" i="3" l="1"/>
  <c r="AC860" i="3"/>
  <c r="AD860" i="3"/>
  <c r="Z860" i="3"/>
  <c r="AA860" i="3"/>
  <c r="P860" i="3"/>
  <c r="Q860" i="3" s="1"/>
  <c r="R860" i="3" s="1"/>
  <c r="S860" i="3" s="1"/>
  <c r="L859" i="3"/>
  <c r="T860" i="3" l="1"/>
  <c r="U859" i="3"/>
  <c r="Y858" i="3"/>
  <c r="D860" i="3" l="1"/>
  <c r="G860" i="3" s="1"/>
  <c r="AG860" i="3"/>
  <c r="AH860" i="3"/>
  <c r="E860" i="3"/>
  <c r="H860" i="3" s="1"/>
  <c r="I860" i="3" l="1"/>
  <c r="J860" i="3"/>
  <c r="M860" i="3"/>
  <c r="N860" i="3" s="1"/>
  <c r="K860" i="3"/>
  <c r="AE860" i="3" s="1"/>
  <c r="F860" i="3"/>
  <c r="L860" i="3" l="1"/>
  <c r="V860" i="3"/>
  <c r="W860" i="3" s="1"/>
  <c r="A861" i="3"/>
  <c r="B861" i="3" s="1"/>
  <c r="U860" i="3" l="1"/>
  <c r="Y859" i="3"/>
  <c r="Z861" i="3"/>
  <c r="AD861" i="3"/>
  <c r="P861" i="3"/>
  <c r="Q861" i="3" s="1"/>
  <c r="R861" i="3" s="1"/>
  <c r="S861" i="3" s="1"/>
  <c r="AC861" i="3"/>
  <c r="AA861" i="3"/>
  <c r="T861" i="3" l="1"/>
  <c r="E861" i="3" s="1"/>
  <c r="H861" i="3" s="1"/>
  <c r="K861" i="3" l="1"/>
  <c r="AE861" i="3" s="1"/>
  <c r="D861" i="3"/>
  <c r="AH861" i="3"/>
  <c r="AG861" i="3"/>
  <c r="F861" i="3" l="1"/>
  <c r="G861" i="3"/>
  <c r="V861" i="3"/>
  <c r="A862" i="3"/>
  <c r="B862" i="3" s="1"/>
  <c r="AD862" i="3" l="1"/>
  <c r="Z862" i="3"/>
  <c r="P862" i="3"/>
  <c r="Q862" i="3" s="1"/>
  <c r="R862" i="3" s="1"/>
  <c r="S862" i="3" s="1"/>
  <c r="AC862" i="3"/>
  <c r="AA862" i="3"/>
  <c r="I861" i="3"/>
  <c r="W861" i="3" s="1"/>
  <c r="J861" i="3"/>
  <c r="M861" i="3"/>
  <c r="N861" i="3" s="1"/>
  <c r="T862" i="3" l="1"/>
  <c r="L861" i="3"/>
  <c r="AH862" i="3" l="1"/>
  <c r="U861" i="3"/>
  <c r="D862" i="3" s="1"/>
  <c r="AG862" i="3"/>
  <c r="Y860" i="3"/>
  <c r="E862" i="3" l="1"/>
  <c r="H862" i="3" s="1"/>
  <c r="K862" i="3" s="1"/>
  <c r="AE862" i="3" s="1"/>
  <c r="G862" i="3"/>
  <c r="F862" i="3" l="1"/>
  <c r="I862" i="3"/>
  <c r="J862" i="3"/>
  <c r="M862" i="3"/>
  <c r="N862" i="3" s="1"/>
  <c r="V862" i="3"/>
  <c r="A863" i="3"/>
  <c r="B863" i="3" s="1"/>
  <c r="W862" i="3" l="1"/>
  <c r="L862" i="3"/>
  <c r="AA863" i="3"/>
  <c r="Z863" i="3"/>
  <c r="P863" i="3"/>
  <c r="Q863" i="3" s="1"/>
  <c r="R863" i="3" s="1"/>
  <c r="S863" i="3" s="1"/>
  <c r="AD863" i="3"/>
  <c r="AC863" i="3"/>
  <c r="T863" i="3" l="1"/>
  <c r="U862" i="3"/>
  <c r="Y861" i="3"/>
  <c r="E863" i="3" l="1"/>
  <c r="H863" i="3" s="1"/>
  <c r="K863" i="3" s="1"/>
  <c r="AE863" i="3" s="1"/>
  <c r="D863" i="3"/>
  <c r="G863" i="3" s="1"/>
  <c r="AH863" i="3"/>
  <c r="AG863" i="3"/>
  <c r="F863" i="3" l="1"/>
  <c r="I863" i="3"/>
  <c r="J863" i="3"/>
  <c r="M863" i="3"/>
  <c r="N863" i="3" s="1"/>
  <c r="V863" i="3"/>
  <c r="A864" i="3"/>
  <c r="B864" i="3" s="1"/>
  <c r="W863" i="3" l="1"/>
  <c r="L863" i="3"/>
  <c r="AC864" i="3"/>
  <c r="Z864" i="3"/>
  <c r="AA864" i="3"/>
  <c r="P864" i="3"/>
  <c r="Q864" i="3" s="1"/>
  <c r="R864" i="3" s="1"/>
  <c r="S864" i="3" s="1"/>
  <c r="U863" i="3" l="1"/>
  <c r="Y862" i="3"/>
  <c r="T864" i="3"/>
  <c r="AH864" i="3" s="1"/>
  <c r="E864" i="3" l="1"/>
  <c r="H864" i="3" s="1"/>
  <c r="D864" i="3"/>
  <c r="AG864" i="3"/>
  <c r="K864" i="3" l="1"/>
  <c r="AE864" i="3" s="1"/>
  <c r="F864" i="3"/>
  <c r="G864" i="3"/>
  <c r="I864" i="3" l="1"/>
  <c r="J864" i="3"/>
  <c r="AD864" i="3" s="1"/>
  <c r="M864" i="3"/>
  <c r="N864" i="3" s="1"/>
  <c r="V864" i="3"/>
  <c r="A865" i="3"/>
  <c r="B865" i="3" s="1"/>
  <c r="W864" i="3" l="1"/>
  <c r="L864" i="3"/>
  <c r="AD865" i="3"/>
  <c r="P865" i="3"/>
  <c r="Q865" i="3" s="1"/>
  <c r="R865" i="3" s="1"/>
  <c r="S865" i="3" s="1"/>
  <c r="AC865" i="3"/>
  <c r="Z865" i="3"/>
  <c r="AA865" i="3"/>
  <c r="U864" i="3" l="1"/>
  <c r="Y863" i="3"/>
  <c r="T865" i="3"/>
  <c r="AG865" i="3" s="1"/>
  <c r="E865" i="3" l="1"/>
  <c r="H865" i="3" s="1"/>
  <c r="K865" i="3" s="1"/>
  <c r="AE865" i="3" s="1"/>
  <c r="D865" i="3"/>
  <c r="G865" i="3" s="1"/>
  <c r="AH865" i="3"/>
  <c r="F865" i="3" l="1"/>
  <c r="V865" i="3"/>
  <c r="A866" i="3"/>
  <c r="B866" i="3" s="1"/>
  <c r="I865" i="3"/>
  <c r="J865" i="3"/>
  <c r="M865" i="3"/>
  <c r="N865" i="3" s="1"/>
  <c r="W865" i="3" l="1"/>
  <c r="L865" i="3"/>
  <c r="P866" i="3"/>
  <c r="Q866" i="3" s="1"/>
  <c r="R866" i="3" s="1"/>
  <c r="S866" i="3" s="1"/>
  <c r="AA866" i="3"/>
  <c r="Z866" i="3"/>
  <c r="AC866" i="3"/>
  <c r="AD866" i="3"/>
  <c r="T866" i="3" l="1"/>
  <c r="U865" i="3"/>
  <c r="Y864" i="3"/>
  <c r="D866" i="3" l="1"/>
  <c r="G866" i="3" s="1"/>
  <c r="AG866" i="3"/>
  <c r="AH866" i="3"/>
  <c r="E866" i="3"/>
  <c r="H866" i="3" s="1"/>
  <c r="F866" i="3" l="1"/>
  <c r="K866" i="3"/>
  <c r="AE866" i="3" s="1"/>
  <c r="I866" i="3"/>
  <c r="J866" i="3"/>
  <c r="M866" i="3"/>
  <c r="N866" i="3" s="1"/>
  <c r="L866" i="3" l="1"/>
  <c r="V866" i="3"/>
  <c r="W866" i="3" s="1"/>
  <c r="A867" i="3"/>
  <c r="B867" i="3" s="1"/>
  <c r="Z867" i="3" l="1"/>
  <c r="AA867" i="3"/>
  <c r="P867" i="3"/>
  <c r="Q867" i="3" s="1"/>
  <c r="R867" i="3" s="1"/>
  <c r="S867" i="3" s="1"/>
  <c r="AC867" i="3"/>
  <c r="AD867" i="3"/>
  <c r="U866" i="3"/>
  <c r="Y865" i="3"/>
  <c r="T867" i="3" l="1"/>
  <c r="D867" i="3" s="1"/>
  <c r="AG867" i="3" l="1"/>
  <c r="E867" i="3"/>
  <c r="H867" i="3" s="1"/>
  <c r="K867" i="3" s="1"/>
  <c r="AE867" i="3" s="1"/>
  <c r="AH867" i="3"/>
  <c r="G867" i="3"/>
  <c r="F867" i="3" l="1"/>
  <c r="I867" i="3"/>
  <c r="J867" i="3"/>
  <c r="M867" i="3"/>
  <c r="N867" i="3" s="1"/>
  <c r="V867" i="3"/>
  <c r="A868" i="3"/>
  <c r="B868" i="3" s="1"/>
  <c r="W867" i="3" l="1"/>
  <c r="L867" i="3"/>
  <c r="AD868" i="3"/>
  <c r="Z868" i="3"/>
  <c r="AA868" i="3"/>
  <c r="AC868" i="3"/>
  <c r="P868" i="3"/>
  <c r="Q868" i="3" s="1"/>
  <c r="R868" i="3" s="1"/>
  <c r="S868" i="3" s="1"/>
  <c r="T868" i="3" l="1"/>
  <c r="U867" i="3"/>
  <c r="Y866" i="3"/>
  <c r="E868" i="3" l="1"/>
  <c r="H868" i="3" s="1"/>
  <c r="K868" i="3" s="1"/>
  <c r="AE868" i="3" s="1"/>
  <c r="AH868" i="3"/>
  <c r="D868" i="3"/>
  <c r="G868" i="3" s="1"/>
  <c r="AG868" i="3"/>
  <c r="F868" i="3" l="1"/>
  <c r="I868" i="3"/>
  <c r="J868" i="3"/>
  <c r="M868" i="3"/>
  <c r="N868" i="3" s="1"/>
  <c r="V868" i="3"/>
  <c r="A869" i="3"/>
  <c r="B869" i="3" s="1"/>
  <c r="W868" i="3" l="1"/>
  <c r="L868" i="3"/>
  <c r="P869" i="3"/>
  <c r="Q869" i="3" s="1"/>
  <c r="R869" i="3" s="1"/>
  <c r="S869" i="3" s="1"/>
  <c r="Z869" i="3"/>
  <c r="AC869" i="3"/>
  <c r="AA869" i="3"/>
  <c r="AD869" i="3"/>
  <c r="T869" i="3" l="1"/>
  <c r="U868" i="3"/>
  <c r="Y867" i="3"/>
  <c r="E869" i="3" l="1"/>
  <c r="H869" i="3" s="1"/>
  <c r="K869" i="3" s="1"/>
  <c r="AE869" i="3" s="1"/>
  <c r="AG869" i="3"/>
  <c r="D869" i="3"/>
  <c r="AH869" i="3"/>
  <c r="V869" i="3" l="1"/>
  <c r="A870" i="3"/>
  <c r="B870" i="3" s="1"/>
  <c r="F869" i="3"/>
  <c r="G869" i="3"/>
  <c r="I869" i="3" l="1"/>
  <c r="W869" i="3" s="1"/>
  <c r="J869" i="3"/>
  <c r="M869" i="3"/>
  <c r="N869" i="3" s="1"/>
  <c r="AD870" i="3"/>
  <c r="Z870" i="3"/>
  <c r="AA870" i="3"/>
  <c r="P870" i="3"/>
  <c r="Q870" i="3" s="1"/>
  <c r="R870" i="3" s="1"/>
  <c r="S870" i="3" s="1"/>
  <c r="AC870" i="3"/>
  <c r="L869" i="3" l="1"/>
  <c r="T870" i="3"/>
  <c r="U869" i="3" l="1"/>
  <c r="E870" i="3" s="1"/>
  <c r="H870" i="3" s="1"/>
  <c r="AH870" i="3"/>
  <c r="AG870" i="3"/>
  <c r="Y868" i="3"/>
  <c r="D870" i="3" l="1"/>
  <c r="G870" i="3" s="1"/>
  <c r="K870" i="3"/>
  <c r="AE870" i="3" s="1"/>
  <c r="F870" i="3" l="1"/>
  <c r="V870" i="3"/>
  <c r="A871" i="3"/>
  <c r="B871" i="3" s="1"/>
  <c r="I870" i="3"/>
  <c r="J870" i="3"/>
  <c r="M870" i="3"/>
  <c r="N870" i="3" s="1"/>
  <c r="W870" i="3" l="1"/>
  <c r="L870" i="3"/>
  <c r="Z871" i="3"/>
  <c r="P871" i="3"/>
  <c r="Q871" i="3" s="1"/>
  <c r="R871" i="3" s="1"/>
  <c r="S871" i="3" s="1"/>
  <c r="AD871" i="3"/>
  <c r="AA871" i="3"/>
  <c r="AC871" i="3"/>
  <c r="T871" i="3" l="1"/>
  <c r="AH871" i="3" s="1"/>
  <c r="U870" i="3"/>
  <c r="Y869" i="3"/>
  <c r="E871" i="3" l="1"/>
  <c r="H871" i="3" s="1"/>
  <c r="K871" i="3" s="1"/>
  <c r="AE871" i="3" s="1"/>
  <c r="AG871" i="3"/>
  <c r="D871" i="3"/>
  <c r="F871" i="3" l="1"/>
  <c r="G871" i="3"/>
  <c r="V871" i="3"/>
  <c r="A872" i="3"/>
  <c r="B872" i="3" s="1"/>
  <c r="AC872" i="3" l="1"/>
  <c r="AA872" i="3"/>
  <c r="P872" i="3"/>
  <c r="Q872" i="3" s="1"/>
  <c r="R872" i="3" s="1"/>
  <c r="S872" i="3" s="1"/>
  <c r="Z872" i="3"/>
  <c r="AD872" i="3"/>
  <c r="I871" i="3"/>
  <c r="W871" i="3" s="1"/>
  <c r="J871" i="3"/>
  <c r="M871" i="3"/>
  <c r="N871" i="3" s="1"/>
  <c r="L871" i="3" l="1"/>
  <c r="T872" i="3"/>
  <c r="AG872" i="3" l="1"/>
  <c r="AH872" i="3"/>
  <c r="U871" i="3"/>
  <c r="E872" i="3" s="1"/>
  <c r="H872" i="3" s="1"/>
  <c r="Y870" i="3"/>
  <c r="D872" i="3" l="1"/>
  <c r="G872" i="3" s="1"/>
  <c r="K872" i="3"/>
  <c r="AE872" i="3" s="1"/>
  <c r="F872" i="3" l="1"/>
  <c r="I872" i="3"/>
  <c r="J872" i="3"/>
  <c r="M872" i="3"/>
  <c r="N872" i="3" s="1"/>
  <c r="V872" i="3"/>
  <c r="A873" i="3"/>
  <c r="B873" i="3" s="1"/>
  <c r="W872" i="3" l="1"/>
  <c r="L872" i="3"/>
  <c r="AA873" i="3"/>
  <c r="AC873" i="3"/>
  <c r="AD873" i="3"/>
  <c r="P873" i="3"/>
  <c r="Q873" i="3" s="1"/>
  <c r="R873" i="3" s="1"/>
  <c r="S873" i="3" s="1"/>
  <c r="Z873" i="3"/>
  <c r="T873" i="3" l="1"/>
  <c r="AH873" i="3" s="1"/>
  <c r="U872" i="3"/>
  <c r="Y871" i="3"/>
  <c r="AG873" i="3" l="1"/>
  <c r="E873" i="3"/>
  <c r="H873" i="3" s="1"/>
  <c r="D873" i="3"/>
  <c r="K873" i="3" l="1"/>
  <c r="AE873" i="3" s="1"/>
  <c r="F873" i="3"/>
  <c r="G873" i="3"/>
  <c r="I873" i="3" l="1"/>
  <c r="J873" i="3"/>
  <c r="M873" i="3"/>
  <c r="N873" i="3" s="1"/>
  <c r="V873" i="3"/>
  <c r="A874" i="3"/>
  <c r="B874" i="3" s="1"/>
  <c r="W873" i="3" l="1"/>
  <c r="L873" i="3"/>
  <c r="AA874" i="3"/>
  <c r="P874" i="3"/>
  <c r="Q874" i="3" s="1"/>
  <c r="R874" i="3" s="1"/>
  <c r="S874" i="3" s="1"/>
  <c r="Z874" i="3"/>
  <c r="AC874" i="3"/>
  <c r="T874" i="3" l="1"/>
  <c r="AH874" i="3" s="1"/>
  <c r="U873" i="3"/>
  <c r="Y872" i="3"/>
  <c r="E874" i="3" l="1"/>
  <c r="H874" i="3" s="1"/>
  <c r="D874" i="3"/>
  <c r="AG874" i="3"/>
  <c r="K874" i="3" l="1"/>
  <c r="AE874" i="3" s="1"/>
  <c r="F874" i="3"/>
  <c r="G874" i="3"/>
  <c r="I874" i="3" l="1"/>
  <c r="J874" i="3"/>
  <c r="AD874" i="3" s="1"/>
  <c r="M874" i="3"/>
  <c r="N874" i="3" s="1"/>
  <c r="V874" i="3"/>
  <c r="A875" i="3"/>
  <c r="B875" i="3" s="1"/>
  <c r="W874" i="3" l="1"/>
  <c r="L874" i="3"/>
  <c r="AA875" i="3"/>
  <c r="Z875" i="3"/>
  <c r="P875" i="3"/>
  <c r="Q875" i="3" s="1"/>
  <c r="R875" i="3" s="1"/>
  <c r="S875" i="3" s="1"/>
  <c r="AD875" i="3"/>
  <c r="AC875" i="3"/>
  <c r="T875" i="3" l="1"/>
  <c r="U874" i="3"/>
  <c r="Y873" i="3"/>
  <c r="D875" i="3" l="1"/>
  <c r="G875" i="3" s="1"/>
  <c r="E875" i="3"/>
  <c r="H875" i="3" s="1"/>
  <c r="K875" i="3" s="1"/>
  <c r="AE875" i="3" s="1"/>
  <c r="AH875" i="3"/>
  <c r="AG875" i="3"/>
  <c r="F875" i="3" l="1"/>
  <c r="V875" i="3"/>
  <c r="A876" i="3"/>
  <c r="B876" i="3" s="1"/>
  <c r="I875" i="3"/>
  <c r="J875" i="3"/>
  <c r="M875" i="3"/>
  <c r="N875" i="3" s="1"/>
  <c r="W875" i="3" l="1"/>
  <c r="L875" i="3"/>
  <c r="AC876" i="3"/>
  <c r="P876" i="3"/>
  <c r="Q876" i="3" s="1"/>
  <c r="R876" i="3" s="1"/>
  <c r="S876" i="3" s="1"/>
  <c r="Z876" i="3"/>
  <c r="AA876" i="3"/>
  <c r="AD876" i="3"/>
  <c r="U875" i="3" l="1"/>
  <c r="Y874" i="3"/>
  <c r="T876" i="3"/>
  <c r="AG876" i="3" s="1"/>
  <c r="D876" i="3" l="1"/>
  <c r="E876" i="3"/>
  <c r="H876" i="3" s="1"/>
  <c r="AH876" i="3"/>
  <c r="K876" i="3" l="1"/>
  <c r="AE876" i="3" s="1"/>
  <c r="F876" i="3"/>
  <c r="G876" i="3"/>
  <c r="I876" i="3" l="1"/>
  <c r="J876" i="3"/>
  <c r="M876" i="3"/>
  <c r="N876" i="3" s="1"/>
  <c r="V876" i="3"/>
  <c r="A877" i="3"/>
  <c r="B877" i="3" s="1"/>
  <c r="W876" i="3" l="1"/>
  <c r="L876" i="3"/>
  <c r="P877" i="3"/>
  <c r="Q877" i="3" s="1"/>
  <c r="R877" i="3" s="1"/>
  <c r="S877" i="3" s="1"/>
  <c r="AA877" i="3"/>
  <c r="Z877" i="3"/>
  <c r="AD877" i="3"/>
  <c r="AC877" i="3"/>
  <c r="U876" i="3" l="1"/>
  <c r="Y875" i="3"/>
  <c r="T877" i="3"/>
  <c r="D877" i="3" l="1"/>
  <c r="G877" i="3" s="1"/>
  <c r="AH877" i="3"/>
  <c r="AG877" i="3"/>
  <c r="E877" i="3"/>
  <c r="H877" i="3" s="1"/>
  <c r="I877" i="3" l="1"/>
  <c r="J877" i="3"/>
  <c r="M877" i="3"/>
  <c r="N877" i="3" s="1"/>
  <c r="K877" i="3"/>
  <c r="AE877" i="3" s="1"/>
  <c r="F877" i="3"/>
  <c r="V877" i="3" l="1"/>
  <c r="W877" i="3" s="1"/>
  <c r="A878" i="3"/>
  <c r="B878" i="3" s="1"/>
  <c r="L877" i="3"/>
  <c r="U877" i="3" l="1"/>
  <c r="Y876" i="3"/>
  <c r="Z878" i="3"/>
  <c r="AD878" i="3"/>
  <c r="AC878" i="3"/>
  <c r="AA878" i="3"/>
  <c r="P878" i="3"/>
  <c r="Q878" i="3" s="1"/>
  <c r="R878" i="3" s="1"/>
  <c r="S878" i="3" s="1"/>
  <c r="T878" i="3" l="1"/>
  <c r="E878" i="3" s="1"/>
  <c r="H878" i="3" s="1"/>
  <c r="D878" i="3" l="1"/>
  <c r="G878" i="3" s="1"/>
  <c r="AG878" i="3"/>
  <c r="AH878" i="3"/>
  <c r="K878" i="3"/>
  <c r="AE878" i="3" s="1"/>
  <c r="F878" i="3" l="1"/>
  <c r="I878" i="3"/>
  <c r="J878" i="3"/>
  <c r="M878" i="3"/>
  <c r="N878" i="3" s="1"/>
  <c r="V878" i="3"/>
  <c r="A879" i="3"/>
  <c r="B879" i="3" s="1"/>
  <c r="W878" i="3" l="1"/>
  <c r="L878" i="3"/>
  <c r="AC879" i="3"/>
  <c r="AD879" i="3"/>
  <c r="P879" i="3"/>
  <c r="Q879" i="3" s="1"/>
  <c r="R879" i="3" s="1"/>
  <c r="S879" i="3" s="1"/>
  <c r="AA879" i="3"/>
  <c r="Z879" i="3"/>
  <c r="T879" i="3" l="1"/>
  <c r="AG879" i="3" s="1"/>
  <c r="U878" i="3"/>
  <c r="Y877" i="3"/>
  <c r="E879" i="3" l="1"/>
  <c r="H879" i="3" s="1"/>
  <c r="D879" i="3"/>
  <c r="AH879" i="3"/>
  <c r="F879" i="3" l="1"/>
  <c r="G879" i="3"/>
  <c r="K879" i="3"/>
  <c r="AE879" i="3" s="1"/>
  <c r="I879" i="3" l="1"/>
  <c r="J879" i="3"/>
  <c r="M879" i="3"/>
  <c r="N879" i="3" s="1"/>
  <c r="V879" i="3"/>
  <c r="A880" i="3"/>
  <c r="B880" i="3" s="1"/>
  <c r="W879" i="3" l="1"/>
  <c r="L879" i="3"/>
  <c r="AD880" i="3"/>
  <c r="AA880" i="3"/>
  <c r="AC880" i="3"/>
  <c r="Z880" i="3"/>
  <c r="P880" i="3"/>
  <c r="Q880" i="3" s="1"/>
  <c r="R880" i="3" s="1"/>
  <c r="S880" i="3" s="1"/>
  <c r="T880" i="3" l="1"/>
  <c r="AG880" i="3" s="1"/>
  <c r="U879" i="3"/>
  <c r="Y878" i="3"/>
  <c r="D880" i="3" l="1"/>
  <c r="AH880" i="3"/>
  <c r="E880" i="3"/>
  <c r="H880" i="3" s="1"/>
  <c r="F880" i="3" l="1"/>
  <c r="G880" i="3"/>
  <c r="K880" i="3"/>
  <c r="AE880" i="3" s="1"/>
  <c r="V880" i="3" l="1"/>
  <c r="A881" i="3"/>
  <c r="B881" i="3" s="1"/>
  <c r="I880" i="3"/>
  <c r="J880" i="3"/>
  <c r="M880" i="3"/>
  <c r="N880" i="3" s="1"/>
  <c r="W880" i="3" l="1"/>
  <c r="L880" i="3"/>
  <c r="AA881" i="3"/>
  <c r="AD881" i="3"/>
  <c r="P881" i="3"/>
  <c r="Q881" i="3" s="1"/>
  <c r="R881" i="3" s="1"/>
  <c r="S881" i="3" s="1"/>
  <c r="Z881" i="3"/>
  <c r="AC881" i="3"/>
  <c r="U880" i="3" l="1"/>
  <c r="Y879" i="3"/>
  <c r="T881" i="3"/>
  <c r="E881" i="3" l="1"/>
  <c r="H881" i="3" s="1"/>
  <c r="K881" i="3" s="1"/>
  <c r="AE881" i="3" s="1"/>
  <c r="D881" i="3"/>
  <c r="AG881" i="3"/>
  <c r="AH881" i="3"/>
  <c r="F881" i="3" l="1"/>
  <c r="G881" i="3"/>
  <c r="I881" i="3" s="1"/>
  <c r="V881" i="3"/>
  <c r="A882" i="3"/>
  <c r="B882" i="3" s="1"/>
  <c r="W881" i="3" l="1"/>
  <c r="M881" i="3"/>
  <c r="N881" i="3" s="1"/>
  <c r="J881" i="3"/>
  <c r="L881" i="3" s="1"/>
  <c r="Z882" i="3"/>
  <c r="P882" i="3"/>
  <c r="Q882" i="3" s="1"/>
  <c r="R882" i="3" s="1"/>
  <c r="S882" i="3" s="1"/>
  <c r="AD882" i="3"/>
  <c r="AC882" i="3"/>
  <c r="AA882" i="3"/>
  <c r="T882" i="3" l="1"/>
  <c r="AG882" i="3" s="1"/>
  <c r="U881" i="3"/>
  <c r="Y880" i="3"/>
  <c r="AH882" i="3" l="1"/>
  <c r="D882" i="3"/>
  <c r="E882" i="3"/>
  <c r="H882" i="3" s="1"/>
  <c r="F882" i="3" l="1"/>
  <c r="G882" i="3"/>
  <c r="K882" i="3"/>
  <c r="AE882" i="3" s="1"/>
  <c r="I882" i="3" l="1"/>
  <c r="J882" i="3"/>
  <c r="M882" i="3"/>
  <c r="N882" i="3" s="1"/>
  <c r="V882" i="3"/>
  <c r="A883" i="3"/>
  <c r="B883" i="3" s="1"/>
  <c r="W882" i="3" l="1"/>
  <c r="L882" i="3"/>
  <c r="AC883" i="3"/>
  <c r="AA883" i="3"/>
  <c r="Z883" i="3"/>
  <c r="AD883" i="3"/>
  <c r="P883" i="3"/>
  <c r="Q883" i="3" s="1"/>
  <c r="R883" i="3" s="1"/>
  <c r="S883" i="3" s="1"/>
  <c r="T883" i="3" l="1"/>
  <c r="AG883" i="3" s="1"/>
  <c r="U882" i="3"/>
  <c r="Y881" i="3"/>
  <c r="E883" i="3" l="1"/>
  <c r="H883" i="3" s="1"/>
  <c r="K883" i="3" s="1"/>
  <c r="AE883" i="3" s="1"/>
  <c r="D883" i="3"/>
  <c r="AH883" i="3"/>
  <c r="V883" i="3" l="1"/>
  <c r="A884" i="3"/>
  <c r="B884" i="3" s="1"/>
  <c r="F883" i="3"/>
  <c r="G883" i="3"/>
  <c r="I883" i="3" l="1"/>
  <c r="W883" i="3" s="1"/>
  <c r="J883" i="3"/>
  <c r="M883" i="3"/>
  <c r="N883" i="3" s="1"/>
  <c r="AA884" i="3"/>
  <c r="Z884" i="3"/>
  <c r="P884" i="3"/>
  <c r="Q884" i="3" s="1"/>
  <c r="R884" i="3" s="1"/>
  <c r="S884" i="3" s="1"/>
  <c r="AC884" i="3"/>
  <c r="T884" i="3" l="1"/>
  <c r="L883" i="3"/>
  <c r="AG884" i="3" l="1"/>
  <c r="U883" i="3"/>
  <c r="D884" i="3" s="1"/>
  <c r="AH884" i="3"/>
  <c r="Y882" i="3"/>
  <c r="E884" i="3" l="1"/>
  <c r="H884" i="3" s="1"/>
  <c r="K884" i="3" s="1"/>
  <c r="AE884" i="3" s="1"/>
  <c r="G884" i="3"/>
  <c r="F884" i="3" l="1"/>
  <c r="V884" i="3"/>
  <c r="A885" i="3"/>
  <c r="B885" i="3" s="1"/>
  <c r="I884" i="3"/>
  <c r="J884" i="3"/>
  <c r="AD884" i="3" s="1"/>
  <c r="M884" i="3"/>
  <c r="N884" i="3" s="1"/>
  <c r="W884" i="3" l="1"/>
  <c r="L884" i="3"/>
  <c r="P885" i="3"/>
  <c r="Q885" i="3" s="1"/>
  <c r="R885" i="3" s="1"/>
  <c r="S885" i="3" s="1"/>
  <c r="AD885" i="3"/>
  <c r="Z885" i="3"/>
  <c r="AC885" i="3"/>
  <c r="AA885" i="3"/>
  <c r="U884" i="3" l="1"/>
  <c r="Y883" i="3"/>
  <c r="T885" i="3"/>
  <c r="AH885" i="3" s="1"/>
  <c r="D885" i="3" l="1"/>
  <c r="G885" i="3" s="1"/>
  <c r="E885" i="3"/>
  <c r="H885" i="3" s="1"/>
  <c r="K885" i="3" s="1"/>
  <c r="AE885" i="3" s="1"/>
  <c r="AG885" i="3"/>
  <c r="F885" i="3" l="1"/>
  <c r="V885" i="3"/>
  <c r="A886" i="3"/>
  <c r="B886" i="3" s="1"/>
  <c r="I885" i="3"/>
  <c r="J885" i="3"/>
  <c r="M885" i="3"/>
  <c r="N885" i="3" s="1"/>
  <c r="W885" i="3" l="1"/>
  <c r="L885" i="3"/>
  <c r="P886" i="3"/>
  <c r="Q886" i="3" s="1"/>
  <c r="R886" i="3" s="1"/>
  <c r="S886" i="3" s="1"/>
  <c r="AA886" i="3"/>
  <c r="AC886" i="3"/>
  <c r="AD886" i="3"/>
  <c r="Z886" i="3"/>
  <c r="U885" i="3" l="1"/>
  <c r="Y884" i="3"/>
  <c r="T886" i="3"/>
  <c r="E886" i="3" l="1"/>
  <c r="H886" i="3" s="1"/>
  <c r="K886" i="3" s="1"/>
  <c r="AE886" i="3" s="1"/>
  <c r="AH886" i="3"/>
  <c r="AG886" i="3"/>
  <c r="D886" i="3"/>
  <c r="F886" i="3" l="1"/>
  <c r="G886" i="3"/>
  <c r="V886" i="3"/>
  <c r="A887" i="3"/>
  <c r="B887" i="3" s="1"/>
  <c r="I886" i="3" l="1"/>
  <c r="W886" i="3" s="1"/>
  <c r="J886" i="3"/>
  <c r="M886" i="3"/>
  <c r="N886" i="3" s="1"/>
  <c r="P887" i="3"/>
  <c r="Q887" i="3" s="1"/>
  <c r="R887" i="3" s="1"/>
  <c r="S887" i="3" s="1"/>
  <c r="Z887" i="3"/>
  <c r="AD887" i="3"/>
  <c r="AA887" i="3"/>
  <c r="AC887" i="3"/>
  <c r="T887" i="3" l="1"/>
  <c r="L886" i="3"/>
  <c r="AG887" i="3" l="1"/>
  <c r="AH887" i="3"/>
  <c r="U886" i="3"/>
  <c r="D887" i="3" s="1"/>
  <c r="Y885" i="3"/>
  <c r="E887" i="3" l="1"/>
  <c r="H887" i="3" s="1"/>
  <c r="K887" i="3" s="1"/>
  <c r="AE887" i="3" s="1"/>
  <c r="G887" i="3"/>
  <c r="F887" i="3" l="1"/>
  <c r="I887" i="3"/>
  <c r="J887" i="3"/>
  <c r="M887" i="3"/>
  <c r="N887" i="3" s="1"/>
  <c r="V887" i="3"/>
  <c r="A888" i="3"/>
  <c r="B888" i="3" s="1"/>
  <c r="W887" i="3" l="1"/>
  <c r="L887" i="3"/>
  <c r="AC888" i="3"/>
  <c r="AD888" i="3"/>
  <c r="AA888" i="3"/>
  <c r="Z888" i="3"/>
  <c r="P888" i="3"/>
  <c r="Q888" i="3" s="1"/>
  <c r="R888" i="3" s="1"/>
  <c r="S888" i="3" s="1"/>
  <c r="T888" i="3" l="1"/>
  <c r="U887" i="3"/>
  <c r="Y886" i="3"/>
  <c r="E888" i="3" l="1"/>
  <c r="H888" i="3" s="1"/>
  <c r="K888" i="3" s="1"/>
  <c r="AE888" i="3" s="1"/>
  <c r="D888" i="3"/>
  <c r="G888" i="3" s="1"/>
  <c r="AG888" i="3"/>
  <c r="AH888" i="3"/>
  <c r="F888" i="3" l="1"/>
  <c r="I888" i="3"/>
  <c r="J888" i="3"/>
  <c r="M888" i="3"/>
  <c r="N888" i="3" s="1"/>
  <c r="V888" i="3"/>
  <c r="A889" i="3"/>
  <c r="B889" i="3" s="1"/>
  <c r="W888" i="3" l="1"/>
  <c r="L888" i="3"/>
  <c r="AA889" i="3"/>
  <c r="Z889" i="3"/>
  <c r="AD889" i="3"/>
  <c r="P889" i="3"/>
  <c r="Q889" i="3" s="1"/>
  <c r="R889" i="3" s="1"/>
  <c r="S889" i="3" s="1"/>
  <c r="AC889" i="3"/>
  <c r="T889" i="3" l="1"/>
  <c r="AG889" i="3" s="1"/>
  <c r="U888" i="3"/>
  <c r="Y887" i="3"/>
  <c r="AH889" i="3" l="1"/>
  <c r="D889" i="3"/>
  <c r="G889" i="3" s="1"/>
  <c r="E889" i="3"/>
  <c r="H889" i="3" s="1"/>
  <c r="I889" i="3" l="1"/>
  <c r="J889" i="3"/>
  <c r="M889" i="3"/>
  <c r="N889" i="3" s="1"/>
  <c r="K889" i="3"/>
  <c r="AE889" i="3" s="1"/>
  <c r="F889" i="3"/>
  <c r="L889" i="3" l="1"/>
  <c r="V889" i="3"/>
  <c r="W889" i="3" s="1"/>
  <c r="A890" i="3"/>
  <c r="B890" i="3" s="1"/>
  <c r="AA890" i="3" l="1"/>
  <c r="P890" i="3"/>
  <c r="Q890" i="3" s="1"/>
  <c r="R890" i="3" s="1"/>
  <c r="S890" i="3" s="1"/>
  <c r="Z890" i="3"/>
  <c r="AC890" i="3"/>
  <c r="AD890" i="3"/>
  <c r="U889" i="3"/>
  <c r="Y888" i="3"/>
  <c r="T890" i="3" l="1"/>
  <c r="AG890" i="3" s="1"/>
  <c r="E890" i="3" l="1"/>
  <c r="H890" i="3" s="1"/>
  <c r="K890" i="3" s="1"/>
  <c r="AE890" i="3" s="1"/>
  <c r="AH890" i="3"/>
  <c r="D890" i="3"/>
  <c r="F890" i="3" l="1"/>
  <c r="G890" i="3"/>
  <c r="V890" i="3"/>
  <c r="A891" i="3"/>
  <c r="B891" i="3" s="1"/>
  <c r="AD891" i="3" l="1"/>
  <c r="P891" i="3"/>
  <c r="Q891" i="3" s="1"/>
  <c r="R891" i="3" s="1"/>
  <c r="S891" i="3" s="1"/>
  <c r="AC891" i="3"/>
  <c r="Z891" i="3"/>
  <c r="AA891" i="3"/>
  <c r="I890" i="3"/>
  <c r="W890" i="3" s="1"/>
  <c r="J890" i="3"/>
  <c r="M890" i="3"/>
  <c r="N890" i="3" s="1"/>
  <c r="L890" i="3" l="1"/>
  <c r="T891" i="3"/>
  <c r="U890" i="3" l="1"/>
  <c r="D891" i="3" s="1"/>
  <c r="AH891" i="3"/>
  <c r="AG891" i="3"/>
  <c r="Y889" i="3"/>
  <c r="E891" i="3" l="1"/>
  <c r="H891" i="3" s="1"/>
  <c r="K891" i="3" s="1"/>
  <c r="AE891" i="3" s="1"/>
  <c r="G891" i="3"/>
  <c r="F891" i="3" l="1"/>
  <c r="I891" i="3"/>
  <c r="J891" i="3"/>
  <c r="M891" i="3"/>
  <c r="N891" i="3" s="1"/>
  <c r="V891" i="3"/>
  <c r="A892" i="3"/>
  <c r="B892" i="3" s="1"/>
  <c r="W891" i="3" l="1"/>
  <c r="L891" i="3"/>
  <c r="P892" i="3"/>
  <c r="Q892" i="3" s="1"/>
  <c r="R892" i="3" s="1"/>
  <c r="S892" i="3" s="1"/>
  <c r="AC892" i="3"/>
  <c r="AD892" i="3"/>
  <c r="Z892" i="3"/>
  <c r="AA892" i="3"/>
  <c r="U891" i="3" l="1"/>
  <c r="Y890" i="3"/>
  <c r="T892" i="3"/>
  <c r="AG892" i="3" s="1"/>
  <c r="AH892" i="3" l="1"/>
  <c r="D892" i="3"/>
  <c r="G892" i="3" s="1"/>
  <c r="E892" i="3"/>
  <c r="H892" i="3" s="1"/>
  <c r="F892" i="3" l="1"/>
  <c r="I892" i="3"/>
  <c r="J892" i="3"/>
  <c r="M892" i="3"/>
  <c r="N892" i="3" s="1"/>
  <c r="K892" i="3"/>
  <c r="AE892" i="3" s="1"/>
  <c r="V892" i="3" l="1"/>
  <c r="W892" i="3" s="1"/>
  <c r="A893" i="3"/>
  <c r="B893" i="3" s="1"/>
  <c r="L892" i="3"/>
  <c r="U892" i="3" l="1"/>
  <c r="Y891" i="3"/>
  <c r="AC893" i="3"/>
  <c r="P893" i="3"/>
  <c r="Q893" i="3" s="1"/>
  <c r="R893" i="3" s="1"/>
  <c r="S893" i="3" s="1"/>
  <c r="AD893" i="3"/>
  <c r="AA893" i="3"/>
  <c r="Z893" i="3"/>
  <c r="T893" i="3" l="1"/>
  <c r="E893" i="3" s="1"/>
  <c r="H893" i="3" s="1"/>
  <c r="AH893" i="3" l="1"/>
  <c r="D893" i="3"/>
  <c r="F893" i="3" s="1"/>
  <c r="AG893" i="3"/>
  <c r="K893" i="3"/>
  <c r="AE893" i="3" s="1"/>
  <c r="G893" i="3" l="1"/>
  <c r="M893" i="3" s="1"/>
  <c r="N893" i="3" s="1"/>
  <c r="V893" i="3"/>
  <c r="A894" i="3"/>
  <c r="B894" i="3" s="1"/>
  <c r="I893" i="3" l="1"/>
  <c r="W893" i="3" s="1"/>
  <c r="J893" i="3"/>
  <c r="L893" i="3" s="1"/>
  <c r="Z894" i="3"/>
  <c r="P894" i="3"/>
  <c r="Q894" i="3" s="1"/>
  <c r="R894" i="3" s="1"/>
  <c r="S894" i="3" s="1"/>
  <c r="AC894" i="3"/>
  <c r="AA894" i="3"/>
  <c r="U893" i="3" l="1"/>
  <c r="Y892" i="3"/>
  <c r="T894" i="3"/>
  <c r="AH894" i="3" s="1"/>
  <c r="D894" i="3" l="1"/>
  <c r="G894" i="3" s="1"/>
  <c r="AG894" i="3"/>
  <c r="E894" i="3"/>
  <c r="H894" i="3" s="1"/>
  <c r="F894" i="3" l="1"/>
  <c r="I894" i="3"/>
  <c r="J894" i="3"/>
  <c r="AD894" i="3" s="1"/>
  <c r="M894" i="3"/>
  <c r="N894" i="3" s="1"/>
  <c r="K894" i="3"/>
  <c r="AE894" i="3" s="1"/>
  <c r="V894" i="3" l="1"/>
  <c r="W894" i="3" s="1"/>
  <c r="A895" i="3"/>
  <c r="B895" i="3" s="1"/>
  <c r="L894" i="3"/>
  <c r="U894" i="3" l="1"/>
  <c r="Y893" i="3"/>
  <c r="AD895" i="3"/>
  <c r="P895" i="3"/>
  <c r="Q895" i="3" s="1"/>
  <c r="R895" i="3" s="1"/>
  <c r="S895" i="3" s="1"/>
  <c r="AA895" i="3"/>
  <c r="AC895" i="3"/>
  <c r="Z895" i="3"/>
  <c r="T895" i="3" l="1"/>
  <c r="AH895" i="3" s="1"/>
  <c r="E895" i="3" l="1"/>
  <c r="H895" i="3" s="1"/>
  <c r="K895" i="3" s="1"/>
  <c r="AE895" i="3" s="1"/>
  <c r="D895" i="3"/>
  <c r="AG895" i="3"/>
  <c r="F895" i="3" l="1"/>
  <c r="G895" i="3"/>
  <c r="V895" i="3"/>
  <c r="A896" i="3"/>
  <c r="B896" i="3" s="1"/>
  <c r="I895" i="3" l="1"/>
  <c r="W895" i="3" s="1"/>
  <c r="J895" i="3"/>
  <c r="M895" i="3"/>
  <c r="N895" i="3" s="1"/>
  <c r="Z896" i="3"/>
  <c r="P896" i="3"/>
  <c r="Q896" i="3" s="1"/>
  <c r="R896" i="3" s="1"/>
  <c r="S896" i="3" s="1"/>
  <c r="AC896" i="3"/>
  <c r="AD896" i="3"/>
  <c r="AA896" i="3"/>
  <c r="T896" i="3" l="1"/>
  <c r="L895" i="3"/>
  <c r="AG896" i="3" l="1"/>
  <c r="AH896" i="3"/>
  <c r="U895" i="3"/>
  <c r="E896" i="3" s="1"/>
  <c r="H896" i="3" s="1"/>
  <c r="Y894" i="3"/>
  <c r="D896" i="3" l="1"/>
  <c r="G896" i="3" s="1"/>
  <c r="K896" i="3"/>
  <c r="AE896" i="3" s="1"/>
  <c r="F896" i="3" l="1"/>
  <c r="V896" i="3"/>
  <c r="A897" i="3"/>
  <c r="B897" i="3" s="1"/>
  <c r="I896" i="3"/>
  <c r="J896" i="3"/>
  <c r="M896" i="3"/>
  <c r="N896" i="3" s="1"/>
  <c r="W896" i="3" l="1"/>
  <c r="L896" i="3"/>
  <c r="Z897" i="3"/>
  <c r="AC897" i="3"/>
  <c r="AA897" i="3"/>
  <c r="P897" i="3"/>
  <c r="Q897" i="3" s="1"/>
  <c r="R897" i="3" s="1"/>
  <c r="S897" i="3" s="1"/>
  <c r="AD897" i="3"/>
  <c r="U896" i="3" l="1"/>
  <c r="Y895" i="3"/>
  <c r="T897" i="3"/>
  <c r="D897" i="3" l="1"/>
  <c r="E897" i="3"/>
  <c r="H897" i="3" s="1"/>
  <c r="AH897" i="3"/>
  <c r="AG897" i="3"/>
  <c r="F897" i="3" l="1"/>
  <c r="G897" i="3"/>
  <c r="M897" i="3" s="1"/>
  <c r="N897" i="3" s="1"/>
  <c r="K897" i="3"/>
  <c r="AE897" i="3" s="1"/>
  <c r="I897" i="3" l="1"/>
  <c r="J897" i="3"/>
  <c r="L897" i="3" s="1"/>
  <c r="V897" i="3"/>
  <c r="A898" i="3"/>
  <c r="B898" i="3" s="1"/>
  <c r="W897" i="3" l="1"/>
  <c r="AA898" i="3"/>
  <c r="AD898" i="3"/>
  <c r="P898" i="3"/>
  <c r="Q898" i="3" s="1"/>
  <c r="R898" i="3" s="1"/>
  <c r="S898" i="3" s="1"/>
  <c r="Z898" i="3"/>
  <c r="AC898" i="3"/>
  <c r="U897" i="3"/>
  <c r="Y896" i="3"/>
  <c r="T898" i="3" l="1"/>
  <c r="D898" i="3" s="1"/>
  <c r="G898" i="3" l="1"/>
  <c r="AG898" i="3"/>
  <c r="E898" i="3"/>
  <c r="H898" i="3" s="1"/>
  <c r="AH898" i="3"/>
  <c r="F898" i="3" l="1"/>
  <c r="I898" i="3"/>
  <c r="J898" i="3"/>
  <c r="M898" i="3"/>
  <c r="N898" i="3" s="1"/>
  <c r="K898" i="3"/>
  <c r="AE898" i="3" s="1"/>
  <c r="V898" i="3" l="1"/>
  <c r="W898" i="3" s="1"/>
  <c r="A899" i="3"/>
  <c r="B899" i="3" s="1"/>
  <c r="L898" i="3"/>
  <c r="U898" i="3" l="1"/>
  <c r="Y897" i="3"/>
  <c r="AC899" i="3"/>
  <c r="Z899" i="3"/>
  <c r="P899" i="3"/>
  <c r="Q899" i="3" s="1"/>
  <c r="R899" i="3" s="1"/>
  <c r="S899" i="3" s="1"/>
  <c r="AD899" i="3"/>
  <c r="AA899" i="3"/>
  <c r="T899" i="3" l="1"/>
  <c r="E899" i="3" s="1"/>
  <c r="H899" i="3" s="1"/>
  <c r="D899" i="3" l="1"/>
  <c r="G899" i="3" s="1"/>
  <c r="AG899" i="3"/>
  <c r="AH899" i="3"/>
  <c r="K899" i="3"/>
  <c r="AE899" i="3" s="1"/>
  <c r="F899" i="3" l="1"/>
  <c r="I899" i="3"/>
  <c r="J899" i="3"/>
  <c r="M899" i="3"/>
  <c r="N899" i="3" s="1"/>
  <c r="V899" i="3"/>
  <c r="A900" i="3"/>
  <c r="B900" i="3" s="1"/>
  <c r="W899" i="3" l="1"/>
  <c r="L899" i="3"/>
  <c r="P900" i="3"/>
  <c r="Q900" i="3" s="1"/>
  <c r="R900" i="3" s="1"/>
  <c r="S900" i="3" s="1"/>
  <c r="AC900" i="3"/>
  <c r="Z900" i="3"/>
  <c r="AD900" i="3"/>
  <c r="AA900" i="3"/>
  <c r="U899" i="3" l="1"/>
  <c r="Y898" i="3"/>
  <c r="T900" i="3"/>
  <c r="D900" i="3" l="1"/>
  <c r="G900" i="3" s="1"/>
  <c r="AH900" i="3"/>
  <c r="AG900" i="3"/>
  <c r="E900" i="3"/>
  <c r="H900" i="3" s="1"/>
  <c r="K900" i="3" s="1"/>
  <c r="AE900" i="3" s="1"/>
  <c r="F900" i="3" l="1"/>
  <c r="V900" i="3"/>
  <c r="A901" i="3"/>
  <c r="B901" i="3" s="1"/>
  <c r="I900" i="3"/>
  <c r="J900" i="3"/>
  <c r="M900" i="3"/>
  <c r="N900" i="3" s="1"/>
  <c r="L900" i="3" l="1"/>
  <c r="W900" i="3"/>
  <c r="AD901" i="3"/>
  <c r="P901" i="3"/>
  <c r="Q901" i="3" s="1"/>
  <c r="R901" i="3" s="1"/>
  <c r="S901" i="3" s="1"/>
  <c r="AA901" i="3"/>
  <c r="AC901" i="3"/>
  <c r="Z901" i="3"/>
  <c r="U900" i="3" l="1"/>
  <c r="Y899" i="3"/>
  <c r="T901" i="3"/>
  <c r="E901" i="3" l="1"/>
  <c r="H901" i="3" s="1"/>
  <c r="K901" i="3" s="1"/>
  <c r="AE901" i="3" s="1"/>
  <c r="AG901" i="3"/>
  <c r="D901" i="3"/>
  <c r="AH901" i="3"/>
  <c r="F901" i="3" l="1"/>
  <c r="G901" i="3"/>
  <c r="V901" i="3"/>
  <c r="A902" i="3"/>
  <c r="B902" i="3" s="1"/>
  <c r="AD902" i="3" l="1"/>
  <c r="AC902" i="3"/>
  <c r="P902" i="3"/>
  <c r="Q902" i="3" s="1"/>
  <c r="R902" i="3" s="1"/>
  <c r="S902" i="3" s="1"/>
  <c r="Z902" i="3"/>
  <c r="AA902" i="3"/>
  <c r="I901" i="3"/>
  <c r="W901" i="3" s="1"/>
  <c r="J901" i="3"/>
  <c r="M901" i="3"/>
  <c r="N901" i="3" s="1"/>
  <c r="T902" i="3" l="1"/>
  <c r="L901" i="3"/>
  <c r="U901" i="3" l="1"/>
  <c r="E902" i="3" s="1"/>
  <c r="H902" i="3" s="1"/>
  <c r="AH902" i="3"/>
  <c r="AG902" i="3"/>
  <c r="Y900" i="3"/>
  <c r="D902" i="3" l="1"/>
  <c r="F902" i="3" s="1"/>
  <c r="K902" i="3"/>
  <c r="AE902" i="3" s="1"/>
  <c r="G902" i="3" l="1"/>
  <c r="J902" i="3" s="1"/>
  <c r="V902" i="3"/>
  <c r="A903" i="3"/>
  <c r="B903" i="3" s="1"/>
  <c r="M902" i="3" l="1"/>
  <c r="N902" i="3" s="1"/>
  <c r="I902" i="3"/>
  <c r="W902" i="3" s="1"/>
  <c r="L902" i="3"/>
  <c r="Z903" i="3"/>
  <c r="AC903" i="3"/>
  <c r="P903" i="3"/>
  <c r="Q903" i="3" s="1"/>
  <c r="R903" i="3" s="1"/>
  <c r="S903" i="3" s="1"/>
  <c r="AD903" i="3"/>
  <c r="AA903" i="3"/>
  <c r="T903" i="3" l="1"/>
  <c r="AH903" i="3" s="1"/>
  <c r="U902" i="3"/>
  <c r="Y901" i="3"/>
  <c r="D903" i="3" l="1"/>
  <c r="E903" i="3"/>
  <c r="H903" i="3" s="1"/>
  <c r="AG903" i="3"/>
  <c r="K903" i="3" l="1"/>
  <c r="AE903" i="3" s="1"/>
  <c r="F903" i="3"/>
  <c r="G903" i="3"/>
  <c r="I903" i="3" l="1"/>
  <c r="J903" i="3"/>
  <c r="M903" i="3"/>
  <c r="N903" i="3" s="1"/>
  <c r="V903" i="3"/>
  <c r="A904" i="3"/>
  <c r="B904" i="3" s="1"/>
  <c r="W903" i="3" l="1"/>
  <c r="L903" i="3"/>
  <c r="AC904" i="3"/>
  <c r="Z904" i="3"/>
  <c r="P904" i="3"/>
  <c r="Q904" i="3" s="1"/>
  <c r="R904" i="3" s="1"/>
  <c r="S904" i="3" s="1"/>
  <c r="AA904" i="3"/>
  <c r="U903" i="3" l="1"/>
  <c r="Y902" i="3"/>
  <c r="T904" i="3"/>
  <c r="AH904" i="3" s="1"/>
  <c r="E904" i="3" l="1"/>
  <c r="H904" i="3" s="1"/>
  <c r="AG904" i="3"/>
  <c r="D904" i="3"/>
  <c r="K904" i="3" l="1"/>
  <c r="AE904" i="3" s="1"/>
  <c r="F904" i="3"/>
  <c r="G904" i="3"/>
  <c r="V904" i="3" l="1"/>
  <c r="A905" i="3"/>
  <c r="B905" i="3" s="1"/>
  <c r="I904" i="3"/>
  <c r="J904" i="3"/>
  <c r="AD904" i="3" s="1"/>
  <c r="M904" i="3"/>
  <c r="N904" i="3" s="1"/>
  <c r="L904" i="3" l="1"/>
  <c r="W904" i="3"/>
  <c r="AA905" i="3"/>
  <c r="Z905" i="3"/>
  <c r="AD905" i="3"/>
  <c r="AC905" i="3"/>
  <c r="P905" i="3"/>
  <c r="Q905" i="3" s="1"/>
  <c r="R905" i="3" s="1"/>
  <c r="S905" i="3" s="1"/>
  <c r="U904" i="3" l="1"/>
  <c r="Y903" i="3"/>
  <c r="T905" i="3"/>
  <c r="D905" i="3" l="1"/>
  <c r="G905" i="3" s="1"/>
  <c r="E905" i="3"/>
  <c r="H905" i="3" s="1"/>
  <c r="K905" i="3" s="1"/>
  <c r="AE905" i="3" s="1"/>
  <c r="AG905" i="3"/>
  <c r="AH905" i="3"/>
  <c r="F905" i="3" l="1"/>
  <c r="I905" i="3"/>
  <c r="J905" i="3"/>
  <c r="M905" i="3"/>
  <c r="N905" i="3" s="1"/>
  <c r="V905" i="3"/>
  <c r="A906" i="3"/>
  <c r="B906" i="3" s="1"/>
  <c r="L905" i="3" l="1"/>
  <c r="W905" i="3"/>
  <c r="AC906" i="3"/>
  <c r="P906" i="3"/>
  <c r="Q906" i="3" s="1"/>
  <c r="R906" i="3" s="1"/>
  <c r="S906" i="3" s="1"/>
  <c r="Z906" i="3"/>
  <c r="AD906" i="3"/>
  <c r="AA906" i="3"/>
  <c r="T906" i="3" l="1"/>
  <c r="U905" i="3"/>
  <c r="Y904" i="3"/>
  <c r="D906" i="3" l="1"/>
  <c r="G906" i="3" s="1"/>
  <c r="AG906" i="3"/>
  <c r="E906" i="3"/>
  <c r="H906" i="3" s="1"/>
  <c r="AH906" i="3"/>
  <c r="F906" i="3" l="1"/>
  <c r="I906" i="3"/>
  <c r="J906" i="3"/>
  <c r="M906" i="3"/>
  <c r="N906" i="3" s="1"/>
  <c r="K906" i="3"/>
  <c r="AE906" i="3" s="1"/>
  <c r="V906" i="3" l="1"/>
  <c r="W906" i="3" s="1"/>
  <c r="A907" i="3"/>
  <c r="B907" i="3" s="1"/>
  <c r="L906" i="3"/>
  <c r="U906" i="3" l="1"/>
  <c r="Y905" i="3"/>
  <c r="Z907" i="3"/>
  <c r="AC907" i="3"/>
  <c r="AA907" i="3"/>
  <c r="P907" i="3"/>
  <c r="Q907" i="3" s="1"/>
  <c r="R907" i="3" s="1"/>
  <c r="S907" i="3" s="1"/>
  <c r="AD907" i="3"/>
  <c r="T907" i="3" l="1"/>
  <c r="AG907" i="3" s="1"/>
  <c r="E907" i="3" l="1"/>
  <c r="H907" i="3" s="1"/>
  <c r="K907" i="3" s="1"/>
  <c r="AE907" i="3" s="1"/>
  <c r="D907" i="3"/>
  <c r="AH907" i="3"/>
  <c r="V907" i="3" l="1"/>
  <c r="A908" i="3"/>
  <c r="B908" i="3" s="1"/>
  <c r="F907" i="3"/>
  <c r="G907" i="3"/>
  <c r="I907" i="3" l="1"/>
  <c r="W907" i="3" s="1"/>
  <c r="J907" i="3"/>
  <c r="M907" i="3"/>
  <c r="N907" i="3" s="1"/>
  <c r="P908" i="3"/>
  <c r="Q908" i="3" s="1"/>
  <c r="R908" i="3" s="1"/>
  <c r="S908" i="3" s="1"/>
  <c r="AA908" i="3"/>
  <c r="Z908" i="3"/>
  <c r="AD908" i="3"/>
  <c r="AC908" i="3"/>
  <c r="T908" i="3" l="1"/>
  <c r="L907" i="3"/>
  <c r="AG908" i="3" l="1"/>
  <c r="AH908" i="3"/>
  <c r="U907" i="3"/>
  <c r="E908" i="3" s="1"/>
  <c r="H908" i="3" s="1"/>
  <c r="Y906" i="3"/>
  <c r="D908" i="3" l="1"/>
  <c r="G908" i="3" s="1"/>
  <c r="K908" i="3"/>
  <c r="AE908" i="3" s="1"/>
  <c r="F908" i="3" l="1"/>
  <c r="I908" i="3"/>
  <c r="J908" i="3"/>
  <c r="M908" i="3"/>
  <c r="N908" i="3" s="1"/>
  <c r="V908" i="3"/>
  <c r="A909" i="3"/>
  <c r="B909" i="3" s="1"/>
  <c r="W908" i="3" l="1"/>
  <c r="L908" i="3"/>
  <c r="AA909" i="3"/>
  <c r="Z909" i="3"/>
  <c r="P909" i="3"/>
  <c r="Q909" i="3" s="1"/>
  <c r="R909" i="3" s="1"/>
  <c r="S909" i="3" s="1"/>
  <c r="AD909" i="3"/>
  <c r="AC909" i="3"/>
  <c r="U908" i="3" l="1"/>
  <c r="Y907" i="3"/>
  <c r="T909" i="3"/>
  <c r="AH909" i="3" s="1"/>
  <c r="AG909" i="3" l="1"/>
  <c r="D909" i="3"/>
  <c r="G909" i="3" s="1"/>
  <c r="E909" i="3"/>
  <c r="H909" i="3" s="1"/>
  <c r="K909" i="3" s="1"/>
  <c r="AE909" i="3" s="1"/>
  <c r="F909" i="3" l="1"/>
  <c r="V909" i="3"/>
  <c r="A910" i="3"/>
  <c r="B910" i="3" s="1"/>
  <c r="I909" i="3"/>
  <c r="J909" i="3"/>
  <c r="M909" i="3"/>
  <c r="N909" i="3" s="1"/>
  <c r="W909" i="3" l="1"/>
  <c r="L909" i="3"/>
  <c r="AA910" i="3"/>
  <c r="AC910" i="3"/>
  <c r="P910" i="3"/>
  <c r="Q910" i="3" s="1"/>
  <c r="R910" i="3" s="1"/>
  <c r="S910" i="3" s="1"/>
  <c r="AD910" i="3"/>
  <c r="Z910" i="3"/>
  <c r="U909" i="3" l="1"/>
  <c r="Y908" i="3"/>
  <c r="T910" i="3"/>
  <c r="AH910" i="3" s="1"/>
  <c r="D910" i="3" l="1"/>
  <c r="G910" i="3" s="1"/>
  <c r="AG910" i="3"/>
  <c r="E910" i="3"/>
  <c r="H910" i="3" s="1"/>
  <c r="F910" i="3" l="1"/>
  <c r="I910" i="3"/>
  <c r="J910" i="3"/>
  <c r="M910" i="3"/>
  <c r="N910" i="3" s="1"/>
  <c r="K910" i="3"/>
  <c r="AE910" i="3" s="1"/>
  <c r="V910" i="3" l="1"/>
  <c r="W910" i="3" s="1"/>
  <c r="A911" i="3"/>
  <c r="B911" i="3" s="1"/>
  <c r="L910" i="3"/>
  <c r="U910" i="3" l="1"/>
  <c r="Y909" i="3"/>
  <c r="AD911" i="3"/>
  <c r="AA911" i="3"/>
  <c r="P911" i="3"/>
  <c r="Q911" i="3" s="1"/>
  <c r="R911" i="3" s="1"/>
  <c r="S911" i="3" s="1"/>
  <c r="Z911" i="3"/>
  <c r="AC911" i="3"/>
  <c r="T911" i="3" l="1"/>
  <c r="E911" i="3" s="1"/>
  <c r="H911" i="3" s="1"/>
  <c r="AH911" i="3" l="1"/>
  <c r="D911" i="3"/>
  <c r="G911" i="3" s="1"/>
  <c r="AG911" i="3"/>
  <c r="K911" i="3"/>
  <c r="AE911" i="3" s="1"/>
  <c r="F911" i="3" l="1"/>
  <c r="I911" i="3"/>
  <c r="J911" i="3"/>
  <c r="M911" i="3"/>
  <c r="N911" i="3" s="1"/>
  <c r="V911" i="3"/>
  <c r="A912" i="3"/>
  <c r="B912" i="3" s="1"/>
  <c r="W911" i="3" l="1"/>
  <c r="L911" i="3"/>
  <c r="AA912" i="3"/>
  <c r="AD912" i="3"/>
  <c r="AC912" i="3"/>
  <c r="P912" i="3"/>
  <c r="Q912" i="3" s="1"/>
  <c r="R912" i="3" s="1"/>
  <c r="S912" i="3" s="1"/>
  <c r="Z912" i="3"/>
  <c r="T912" i="3" l="1"/>
  <c r="U911" i="3"/>
  <c r="Y910" i="3"/>
  <c r="D912" i="3" l="1"/>
  <c r="G912" i="3" s="1"/>
  <c r="AG912" i="3"/>
  <c r="AH912" i="3"/>
  <c r="E912" i="3"/>
  <c r="H912" i="3" s="1"/>
  <c r="I912" i="3" l="1"/>
  <c r="J912" i="3"/>
  <c r="M912" i="3"/>
  <c r="N912" i="3" s="1"/>
  <c r="F912" i="3"/>
  <c r="K912" i="3"/>
  <c r="AE912" i="3" s="1"/>
  <c r="L912" i="3" l="1"/>
  <c r="V912" i="3"/>
  <c r="W912" i="3" s="1"/>
  <c r="A913" i="3"/>
  <c r="B913" i="3" s="1"/>
  <c r="U912" i="3" l="1"/>
  <c r="Y911" i="3"/>
  <c r="Z913" i="3"/>
  <c r="AD913" i="3"/>
  <c r="P913" i="3"/>
  <c r="Q913" i="3" s="1"/>
  <c r="R913" i="3" s="1"/>
  <c r="S913" i="3" s="1"/>
  <c r="AA913" i="3"/>
  <c r="AC913" i="3"/>
  <c r="T913" i="3" l="1"/>
  <c r="AH913" i="3" s="1"/>
  <c r="D913" i="3" l="1"/>
  <c r="G913" i="3" s="1"/>
  <c r="AG913" i="3"/>
  <c r="E913" i="3"/>
  <c r="H913" i="3" s="1"/>
  <c r="F913" i="3" l="1"/>
  <c r="I913" i="3"/>
  <c r="J913" i="3"/>
  <c r="M913" i="3"/>
  <c r="N913" i="3" s="1"/>
  <c r="K913" i="3"/>
  <c r="AE913" i="3" s="1"/>
  <c r="V913" i="3" l="1"/>
  <c r="W913" i="3" s="1"/>
  <c r="A914" i="3"/>
  <c r="B914" i="3" s="1"/>
  <c r="L913" i="3"/>
  <c r="U913" i="3" l="1"/>
  <c r="Y912" i="3"/>
  <c r="AA914" i="3"/>
  <c r="Z914" i="3"/>
  <c r="AC914" i="3"/>
  <c r="P914" i="3"/>
  <c r="Q914" i="3" s="1"/>
  <c r="R914" i="3" s="1"/>
  <c r="S914" i="3" s="1"/>
  <c r="T914" i="3" l="1"/>
  <c r="D914" i="3" s="1"/>
  <c r="E914" i="3" l="1"/>
  <c r="H914" i="3" s="1"/>
  <c r="K914" i="3" s="1"/>
  <c r="AE914" i="3" s="1"/>
  <c r="G914" i="3"/>
  <c r="AH914" i="3"/>
  <c r="AG914" i="3"/>
  <c r="F914" i="3" l="1"/>
  <c r="I914" i="3"/>
  <c r="J914" i="3"/>
  <c r="AD914" i="3" s="1"/>
  <c r="M914" i="3"/>
  <c r="N914" i="3" s="1"/>
  <c r="V914" i="3"/>
  <c r="A915" i="3"/>
  <c r="B915" i="3" s="1"/>
  <c r="W914" i="3" l="1"/>
  <c r="L914" i="3"/>
  <c r="P915" i="3"/>
  <c r="Q915" i="3" s="1"/>
  <c r="R915" i="3" s="1"/>
  <c r="S915" i="3" s="1"/>
  <c r="AA915" i="3"/>
  <c r="AC915" i="3"/>
  <c r="Z915" i="3"/>
  <c r="U914" i="3" l="1"/>
  <c r="Y913" i="3"/>
  <c r="T915" i="3"/>
  <c r="AH915" i="3" s="1"/>
  <c r="E915" i="3" l="1"/>
  <c r="H915" i="3" s="1"/>
  <c r="D915" i="3"/>
  <c r="AG915" i="3"/>
  <c r="K915" i="3" l="1"/>
  <c r="AE915" i="3" s="1"/>
  <c r="F915" i="3"/>
  <c r="G915" i="3"/>
  <c r="I915" i="3" l="1"/>
  <c r="J915" i="3"/>
  <c r="AD915" i="3" s="1"/>
  <c r="M915" i="3"/>
  <c r="N915" i="3" s="1"/>
  <c r="V915" i="3"/>
  <c r="A916" i="3"/>
  <c r="B916" i="3" s="1"/>
  <c r="W915" i="3" l="1"/>
  <c r="L915" i="3"/>
  <c r="AC916" i="3"/>
  <c r="AA916" i="3"/>
  <c r="Z916" i="3"/>
  <c r="P916" i="3"/>
  <c r="Q916" i="3" s="1"/>
  <c r="R916" i="3" s="1"/>
  <c r="S916" i="3" s="1"/>
  <c r="U915" i="3" l="1"/>
  <c r="Y914" i="3"/>
  <c r="T916" i="3"/>
  <c r="D916" i="3" l="1"/>
  <c r="G916" i="3" s="1"/>
  <c r="AG916" i="3"/>
  <c r="AH916" i="3"/>
  <c r="E916" i="3"/>
  <c r="H916" i="3" s="1"/>
  <c r="K916" i="3" l="1"/>
  <c r="AE916" i="3" s="1"/>
  <c r="I916" i="3"/>
  <c r="J916" i="3"/>
  <c r="AD916" i="3" s="1"/>
  <c r="M916" i="3"/>
  <c r="N916" i="3" s="1"/>
  <c r="F916" i="3"/>
  <c r="L916" i="3" l="1"/>
  <c r="V916" i="3"/>
  <c r="W916" i="3" s="1"/>
  <c r="A917" i="3"/>
  <c r="B917" i="3" s="1"/>
  <c r="U916" i="3" l="1"/>
  <c r="Y915" i="3"/>
  <c r="AC917" i="3"/>
  <c r="Z917" i="3"/>
  <c r="P917" i="3"/>
  <c r="Q917" i="3" s="1"/>
  <c r="R917" i="3" s="1"/>
  <c r="S917" i="3" s="1"/>
  <c r="AA917" i="3"/>
  <c r="T917" i="3" l="1"/>
  <c r="AG917" i="3" s="1"/>
  <c r="E917" i="3" l="1"/>
  <c r="H917" i="3" s="1"/>
  <c r="K917" i="3" s="1"/>
  <c r="AE917" i="3" s="1"/>
  <c r="AH917" i="3"/>
  <c r="D917" i="3"/>
  <c r="F917" i="3" l="1"/>
  <c r="G917" i="3"/>
  <c r="J917" i="3" s="1"/>
  <c r="AD917" i="3" s="1"/>
  <c r="V917" i="3"/>
  <c r="A918" i="3"/>
  <c r="B918" i="3" s="1"/>
  <c r="M917" i="3" l="1"/>
  <c r="N917" i="3" s="1"/>
  <c r="I917" i="3"/>
  <c r="W917" i="3" s="1"/>
  <c r="L917" i="3"/>
  <c r="AC918" i="3"/>
  <c r="AA918" i="3"/>
  <c r="Z918" i="3"/>
  <c r="P918" i="3"/>
  <c r="Q918" i="3" s="1"/>
  <c r="R918" i="3" s="1"/>
  <c r="S918" i="3" s="1"/>
  <c r="T918" i="3" l="1"/>
  <c r="U917" i="3"/>
  <c r="Y916" i="3"/>
  <c r="E918" i="3" l="1"/>
  <c r="H918" i="3" s="1"/>
  <c r="K918" i="3" s="1"/>
  <c r="AE918" i="3" s="1"/>
  <c r="AH918" i="3"/>
  <c r="D918" i="3"/>
  <c r="G918" i="3" s="1"/>
  <c r="AG918" i="3"/>
  <c r="F918" i="3" l="1"/>
  <c r="I918" i="3"/>
  <c r="J918" i="3"/>
  <c r="AD918" i="3" s="1"/>
  <c r="M918" i="3"/>
  <c r="N918" i="3" s="1"/>
  <c r="V918" i="3"/>
  <c r="A919" i="3"/>
  <c r="B919" i="3" s="1"/>
  <c r="L918" i="3" l="1"/>
  <c r="W918" i="3"/>
  <c r="P919" i="3"/>
  <c r="Q919" i="3" s="1"/>
  <c r="R919" i="3" s="1"/>
  <c r="S919" i="3" s="1"/>
  <c r="Z919" i="3"/>
  <c r="AC919" i="3"/>
  <c r="AA919" i="3"/>
  <c r="U918" i="3" l="1"/>
  <c r="Y917" i="3"/>
  <c r="T919" i="3"/>
  <c r="AG919" i="3" s="1"/>
  <c r="E919" i="3" l="1"/>
  <c r="H919" i="3" s="1"/>
  <c r="K919" i="3" s="1"/>
  <c r="AE919" i="3" s="1"/>
  <c r="AH919" i="3"/>
  <c r="D919" i="3"/>
  <c r="V919" i="3" l="1"/>
  <c r="A920" i="3"/>
  <c r="B920" i="3" s="1"/>
  <c r="F919" i="3"/>
  <c r="G919" i="3"/>
  <c r="I919" i="3" l="1"/>
  <c r="W919" i="3" s="1"/>
  <c r="J919" i="3"/>
  <c r="AD919" i="3" s="1"/>
  <c r="M919" i="3"/>
  <c r="N919" i="3" s="1"/>
  <c r="AC920" i="3"/>
  <c r="P920" i="3"/>
  <c r="Q920" i="3" s="1"/>
  <c r="R920" i="3" s="1"/>
  <c r="S920" i="3" s="1"/>
  <c r="AA920" i="3"/>
  <c r="Z920" i="3"/>
  <c r="T920" i="3" l="1"/>
  <c r="L919" i="3"/>
  <c r="AH920" i="3" l="1"/>
  <c r="U919" i="3"/>
  <c r="E920" i="3" s="1"/>
  <c r="H920" i="3" s="1"/>
  <c r="AG920" i="3"/>
  <c r="Y918" i="3"/>
  <c r="D920" i="3" l="1"/>
  <c r="G920" i="3" s="1"/>
  <c r="K920" i="3"/>
  <c r="AE920" i="3" s="1"/>
  <c r="F920" i="3" l="1"/>
  <c r="V920" i="3"/>
  <c r="A921" i="3"/>
  <c r="B921" i="3" s="1"/>
  <c r="I920" i="3"/>
  <c r="J920" i="3"/>
  <c r="AD920" i="3" s="1"/>
  <c r="M920" i="3"/>
  <c r="N920" i="3" s="1"/>
  <c r="W920" i="3" l="1"/>
  <c r="L920" i="3"/>
  <c r="AA921" i="3"/>
  <c r="Z921" i="3"/>
  <c r="P921" i="3"/>
  <c r="Q921" i="3" s="1"/>
  <c r="R921" i="3" s="1"/>
  <c r="S921" i="3" s="1"/>
  <c r="AC921" i="3"/>
  <c r="U920" i="3" l="1"/>
  <c r="Y919" i="3"/>
  <c r="T921" i="3"/>
  <c r="AG921" i="3" s="1"/>
  <c r="E921" i="3" l="1"/>
  <c r="H921" i="3" s="1"/>
  <c r="K921" i="3" s="1"/>
  <c r="AE921" i="3" s="1"/>
  <c r="AH921" i="3"/>
  <c r="D921" i="3"/>
  <c r="G921" i="3" s="1"/>
  <c r="F921" i="3" l="1"/>
  <c r="I921" i="3"/>
  <c r="J921" i="3"/>
  <c r="AD921" i="3" s="1"/>
  <c r="M921" i="3"/>
  <c r="N921" i="3" s="1"/>
  <c r="V921" i="3"/>
  <c r="A922" i="3"/>
  <c r="B922" i="3" s="1"/>
  <c r="W921" i="3" l="1"/>
  <c r="L921" i="3"/>
  <c r="AC922" i="3"/>
  <c r="AA922" i="3"/>
  <c r="Z922" i="3"/>
  <c r="P922" i="3"/>
  <c r="Q922" i="3" s="1"/>
  <c r="R922" i="3" s="1"/>
  <c r="S922" i="3" s="1"/>
  <c r="U921" i="3" l="1"/>
  <c r="Y920" i="3"/>
  <c r="T922" i="3"/>
  <c r="E922" i="3" l="1"/>
  <c r="H922" i="3" s="1"/>
  <c r="K922" i="3" s="1"/>
  <c r="AE922" i="3" s="1"/>
  <c r="AH922" i="3"/>
  <c r="D922" i="3"/>
  <c r="AG922" i="3"/>
  <c r="F922" i="3" l="1"/>
  <c r="G922" i="3"/>
  <c r="V922" i="3"/>
  <c r="A923" i="3"/>
  <c r="B923" i="3" s="1"/>
  <c r="AC923" i="3" l="1"/>
  <c r="Z923" i="3"/>
  <c r="AA923" i="3"/>
  <c r="P923" i="3"/>
  <c r="Q923" i="3" s="1"/>
  <c r="R923" i="3" s="1"/>
  <c r="S923" i="3" s="1"/>
  <c r="I922" i="3"/>
  <c r="W922" i="3" s="1"/>
  <c r="J922" i="3"/>
  <c r="AD922" i="3" s="1"/>
  <c r="M922" i="3"/>
  <c r="N922" i="3" s="1"/>
  <c r="L922" i="3" l="1"/>
  <c r="T923" i="3"/>
  <c r="AH923" i="3" l="1"/>
  <c r="AG923" i="3"/>
  <c r="U922" i="3"/>
  <c r="D923" i="3" s="1"/>
  <c r="Y921" i="3"/>
  <c r="E923" i="3" l="1"/>
  <c r="H923" i="3" s="1"/>
  <c r="K923" i="3" s="1"/>
  <c r="AE923" i="3" s="1"/>
  <c r="G923" i="3"/>
  <c r="F923" i="3" l="1"/>
  <c r="V923" i="3"/>
  <c r="A924" i="3"/>
  <c r="B924" i="3" s="1"/>
  <c r="I923" i="3"/>
  <c r="J923" i="3"/>
  <c r="AD923" i="3" s="1"/>
  <c r="M923" i="3"/>
  <c r="N923" i="3" s="1"/>
  <c r="W923" i="3" l="1"/>
  <c r="L923" i="3"/>
  <c r="Z924" i="3"/>
  <c r="AC924" i="3"/>
  <c r="P924" i="3"/>
  <c r="Q924" i="3" s="1"/>
  <c r="R924" i="3" s="1"/>
  <c r="S924" i="3" s="1"/>
  <c r="AA924" i="3"/>
  <c r="U923" i="3" l="1"/>
  <c r="Y922" i="3"/>
  <c r="T924" i="3"/>
  <c r="AH924" i="3" s="1"/>
  <c r="D924" i="3" l="1"/>
  <c r="G924" i="3" s="1"/>
  <c r="AG924" i="3"/>
  <c r="E924" i="3"/>
  <c r="H924" i="3" s="1"/>
  <c r="K924" i="3" s="1"/>
  <c r="AE924" i="3" s="1"/>
  <c r="F924" i="3" l="1"/>
  <c r="I924" i="3"/>
  <c r="J924" i="3"/>
  <c r="AD924" i="3" s="1"/>
  <c r="M924" i="3"/>
  <c r="N924" i="3" s="1"/>
  <c r="V924" i="3"/>
  <c r="A925" i="3"/>
  <c r="B925" i="3" s="1"/>
  <c r="W924" i="3" l="1"/>
  <c r="L924" i="3"/>
  <c r="Z925" i="3"/>
  <c r="AA925" i="3"/>
  <c r="AD925" i="3"/>
  <c r="AC925" i="3"/>
  <c r="P925" i="3"/>
  <c r="Q925" i="3" s="1"/>
  <c r="R925" i="3" s="1"/>
  <c r="S925" i="3" s="1"/>
  <c r="T925" i="3" l="1"/>
  <c r="AG925" i="3" s="1"/>
  <c r="U924" i="3"/>
  <c r="Y923" i="3"/>
  <c r="AH925" i="3" l="1"/>
  <c r="E925" i="3"/>
  <c r="H925" i="3" s="1"/>
  <c r="D925" i="3"/>
  <c r="K925" i="3" l="1"/>
  <c r="AE925" i="3" s="1"/>
  <c r="F925" i="3"/>
  <c r="G925" i="3"/>
  <c r="I925" i="3" l="1"/>
  <c r="J925" i="3"/>
  <c r="M925" i="3"/>
  <c r="N925" i="3" s="1"/>
  <c r="V925" i="3"/>
  <c r="A926" i="3"/>
  <c r="B926" i="3" s="1"/>
  <c r="W925" i="3" l="1"/>
  <c r="L925" i="3"/>
  <c r="AC926" i="3"/>
  <c r="AA926" i="3"/>
  <c r="AD926" i="3"/>
  <c r="P926" i="3"/>
  <c r="Q926" i="3" s="1"/>
  <c r="R926" i="3" s="1"/>
  <c r="S926" i="3" s="1"/>
  <c r="Z926" i="3"/>
  <c r="U925" i="3" l="1"/>
  <c r="Y924" i="3"/>
  <c r="T926" i="3"/>
  <c r="AG926" i="3" s="1"/>
  <c r="E926" i="3" l="1"/>
  <c r="H926" i="3" s="1"/>
  <c r="K926" i="3" s="1"/>
  <c r="AE926" i="3" s="1"/>
  <c r="AH926" i="3"/>
  <c r="D926" i="3"/>
  <c r="V926" i="3" l="1"/>
  <c r="A927" i="3"/>
  <c r="B927" i="3" s="1"/>
  <c r="F926" i="3"/>
  <c r="G926" i="3"/>
  <c r="I926" i="3" l="1"/>
  <c r="W926" i="3" s="1"/>
  <c r="J926" i="3"/>
  <c r="M926" i="3"/>
  <c r="N926" i="3" s="1"/>
  <c r="AD927" i="3"/>
  <c r="Z927" i="3"/>
  <c r="P927" i="3"/>
  <c r="Q927" i="3" s="1"/>
  <c r="R927" i="3" s="1"/>
  <c r="S927" i="3" s="1"/>
  <c r="AA927" i="3"/>
  <c r="AC927" i="3"/>
  <c r="T927" i="3" l="1"/>
  <c r="L926" i="3"/>
  <c r="U926" i="3" l="1"/>
  <c r="D927" i="3" s="1"/>
  <c r="AG927" i="3"/>
  <c r="AH927" i="3"/>
  <c r="Y925" i="3"/>
  <c r="G927" i="3" l="1"/>
  <c r="E927" i="3"/>
  <c r="H927" i="3" s="1"/>
  <c r="F927" i="3" l="1"/>
  <c r="K927" i="3"/>
  <c r="AE927" i="3" s="1"/>
  <c r="I927" i="3"/>
  <c r="J927" i="3"/>
  <c r="M927" i="3"/>
  <c r="N927" i="3" s="1"/>
  <c r="L927" i="3" l="1"/>
  <c r="V927" i="3"/>
  <c r="W927" i="3" s="1"/>
  <c r="A928" i="3"/>
  <c r="B928" i="3" s="1"/>
  <c r="U927" i="3" l="1"/>
  <c r="Y926" i="3"/>
  <c r="AC928" i="3"/>
  <c r="AD928" i="3"/>
  <c r="AA928" i="3"/>
  <c r="Z928" i="3"/>
  <c r="P928" i="3"/>
  <c r="Q928" i="3" s="1"/>
  <c r="R928" i="3" s="1"/>
  <c r="S928" i="3" s="1"/>
  <c r="T928" i="3" l="1"/>
  <c r="D928" i="3" s="1"/>
  <c r="AH928" i="3" l="1"/>
  <c r="E928" i="3"/>
  <c r="H928" i="3" s="1"/>
  <c r="K928" i="3" s="1"/>
  <c r="AE928" i="3" s="1"/>
  <c r="AG928" i="3"/>
  <c r="G928" i="3"/>
  <c r="F928" i="3" l="1"/>
  <c r="I928" i="3"/>
  <c r="J928" i="3"/>
  <c r="M928" i="3"/>
  <c r="N928" i="3" s="1"/>
  <c r="V928" i="3"/>
  <c r="A929" i="3"/>
  <c r="B929" i="3" s="1"/>
  <c r="L928" i="3" l="1"/>
  <c r="P929" i="3"/>
  <c r="Q929" i="3" s="1"/>
  <c r="R929" i="3" s="1"/>
  <c r="S929" i="3" s="1"/>
  <c r="AD929" i="3"/>
  <c r="AC929" i="3"/>
  <c r="Z929" i="3"/>
  <c r="AA929" i="3"/>
  <c r="W928" i="3"/>
  <c r="T929" i="3" l="1"/>
  <c r="AG929" i="3" s="1"/>
  <c r="U928" i="3"/>
  <c r="Y927" i="3"/>
  <c r="AH929" i="3" l="1"/>
  <c r="D929" i="3"/>
  <c r="E929" i="3"/>
  <c r="H929" i="3" s="1"/>
  <c r="F929" i="3" l="1"/>
  <c r="G929" i="3"/>
  <c r="K929" i="3"/>
  <c r="AE929" i="3" s="1"/>
  <c r="V929" i="3" l="1"/>
  <c r="A930" i="3"/>
  <c r="B930" i="3" s="1"/>
  <c r="I929" i="3"/>
  <c r="J929" i="3"/>
  <c r="M929" i="3"/>
  <c r="N929" i="3" s="1"/>
  <c r="L929" i="3" l="1"/>
  <c r="AD930" i="3"/>
  <c r="P930" i="3"/>
  <c r="Q930" i="3" s="1"/>
  <c r="R930" i="3" s="1"/>
  <c r="S930" i="3" s="1"/>
  <c r="AC930" i="3"/>
  <c r="Z930" i="3"/>
  <c r="AA930" i="3"/>
  <c r="W929" i="3"/>
  <c r="T930" i="3" l="1"/>
  <c r="U929" i="3"/>
  <c r="Y928" i="3"/>
  <c r="D930" i="3" l="1"/>
  <c r="G930" i="3" s="1"/>
  <c r="AH930" i="3"/>
  <c r="E930" i="3"/>
  <c r="H930" i="3" s="1"/>
  <c r="AG930" i="3"/>
  <c r="F930" i="3" l="1"/>
  <c r="I930" i="3"/>
  <c r="J930" i="3"/>
  <c r="M930" i="3"/>
  <c r="N930" i="3" s="1"/>
  <c r="K930" i="3"/>
  <c r="AE930" i="3" s="1"/>
  <c r="V930" i="3" l="1"/>
  <c r="W930" i="3" s="1"/>
  <c r="A931" i="3"/>
  <c r="B931" i="3" s="1"/>
  <c r="L930" i="3"/>
  <c r="U930" i="3" l="1"/>
  <c r="Y929" i="3"/>
  <c r="AC931" i="3"/>
  <c r="AA931" i="3"/>
  <c r="Z931" i="3"/>
  <c r="P931" i="3"/>
  <c r="Q931" i="3" s="1"/>
  <c r="R931" i="3" s="1"/>
  <c r="S931" i="3" s="1"/>
  <c r="AD931" i="3"/>
  <c r="T931" i="3" l="1"/>
  <c r="AH931" i="3" s="1"/>
  <c r="E931" i="3" l="1"/>
  <c r="H931" i="3" s="1"/>
  <c r="D931" i="3"/>
  <c r="AG931" i="3"/>
  <c r="K931" i="3" l="1"/>
  <c r="AE931" i="3" s="1"/>
  <c r="F931" i="3"/>
  <c r="G931" i="3"/>
  <c r="I931" i="3" l="1"/>
  <c r="J931" i="3"/>
  <c r="M931" i="3"/>
  <c r="N931" i="3" s="1"/>
  <c r="V931" i="3"/>
  <c r="A932" i="3"/>
  <c r="B932" i="3" s="1"/>
  <c r="W931" i="3" l="1"/>
  <c r="L931" i="3"/>
  <c r="AA932" i="3"/>
  <c r="AD932" i="3"/>
  <c r="Z932" i="3"/>
  <c r="AC932" i="3"/>
  <c r="P932" i="3"/>
  <c r="Q932" i="3" s="1"/>
  <c r="R932" i="3" s="1"/>
  <c r="S932" i="3" s="1"/>
  <c r="U931" i="3" l="1"/>
  <c r="Y930" i="3"/>
  <c r="T932" i="3"/>
  <c r="AH932" i="3" s="1"/>
  <c r="E932" i="3" l="1"/>
  <c r="H932" i="3" s="1"/>
  <c r="D932" i="3"/>
  <c r="AG932" i="3"/>
  <c r="K932" i="3" l="1"/>
  <c r="AE932" i="3" s="1"/>
  <c r="F932" i="3"/>
  <c r="G932" i="3"/>
  <c r="V932" i="3" l="1"/>
  <c r="A933" i="3"/>
  <c r="B933" i="3" s="1"/>
  <c r="I932" i="3"/>
  <c r="J932" i="3"/>
  <c r="M932" i="3"/>
  <c r="N932" i="3" s="1"/>
  <c r="L932" i="3" l="1"/>
  <c r="W932" i="3"/>
  <c r="AA933" i="3"/>
  <c r="P933" i="3"/>
  <c r="Q933" i="3" s="1"/>
  <c r="R933" i="3" s="1"/>
  <c r="S933" i="3" s="1"/>
  <c r="Z933" i="3"/>
  <c r="AD933" i="3"/>
  <c r="AC933" i="3"/>
  <c r="U932" i="3" l="1"/>
  <c r="Y931" i="3"/>
  <c r="T933" i="3"/>
  <c r="D933" i="3" l="1"/>
  <c r="G933" i="3" s="1"/>
  <c r="AH933" i="3"/>
  <c r="AG933" i="3"/>
  <c r="E933" i="3"/>
  <c r="H933" i="3" s="1"/>
  <c r="K933" i="3" l="1"/>
  <c r="AE933" i="3" s="1"/>
  <c r="I933" i="3"/>
  <c r="J933" i="3"/>
  <c r="M933" i="3"/>
  <c r="N933" i="3" s="1"/>
  <c r="F933" i="3"/>
  <c r="V933" i="3" l="1"/>
  <c r="W933" i="3" s="1"/>
  <c r="A934" i="3"/>
  <c r="B934" i="3" s="1"/>
  <c r="L933" i="3"/>
  <c r="U933" i="3" l="1"/>
  <c r="Y932" i="3"/>
  <c r="AC934" i="3"/>
  <c r="Z934" i="3"/>
  <c r="P934" i="3"/>
  <c r="Q934" i="3" s="1"/>
  <c r="R934" i="3" s="1"/>
  <c r="S934" i="3" s="1"/>
  <c r="AA934" i="3"/>
  <c r="T934" i="3" l="1"/>
  <c r="AH934" i="3" s="1"/>
  <c r="AG934" i="3" l="1"/>
  <c r="D934" i="3"/>
  <c r="E934" i="3"/>
  <c r="H934" i="3" s="1"/>
  <c r="K934" i="3" l="1"/>
  <c r="AE934" i="3" s="1"/>
  <c r="F934" i="3"/>
  <c r="G934" i="3"/>
  <c r="V934" i="3" l="1"/>
  <c r="A935" i="3"/>
  <c r="B935" i="3" s="1"/>
  <c r="I934" i="3"/>
  <c r="J934" i="3"/>
  <c r="AD934" i="3" s="1"/>
  <c r="M934" i="3"/>
  <c r="N934" i="3" s="1"/>
  <c r="W934" i="3" l="1"/>
  <c r="L934" i="3"/>
  <c r="AD935" i="3"/>
  <c r="P935" i="3"/>
  <c r="Q935" i="3" s="1"/>
  <c r="R935" i="3" s="1"/>
  <c r="S935" i="3" s="1"/>
  <c r="AA935" i="3"/>
  <c r="AC935" i="3"/>
  <c r="Z935" i="3"/>
  <c r="T935" i="3" l="1"/>
  <c r="U934" i="3"/>
  <c r="Y933" i="3"/>
  <c r="E935" i="3" l="1"/>
  <c r="H935" i="3" s="1"/>
  <c r="K935" i="3" s="1"/>
  <c r="AE935" i="3" s="1"/>
  <c r="AH935" i="3"/>
  <c r="AG935" i="3"/>
  <c r="D935" i="3"/>
  <c r="V935" i="3" l="1"/>
  <c r="A936" i="3"/>
  <c r="B936" i="3" s="1"/>
  <c r="F935" i="3"/>
  <c r="G935" i="3"/>
  <c r="I935" i="3" l="1"/>
  <c r="W935" i="3" s="1"/>
  <c r="J935" i="3"/>
  <c r="M935" i="3"/>
  <c r="N935" i="3" s="1"/>
  <c r="P936" i="3"/>
  <c r="Q936" i="3" s="1"/>
  <c r="R936" i="3" s="1"/>
  <c r="S936" i="3" s="1"/>
  <c r="AD936" i="3"/>
  <c r="AC936" i="3"/>
  <c r="Z936" i="3"/>
  <c r="AA936" i="3"/>
  <c r="T936" i="3" l="1"/>
  <c r="L935" i="3"/>
  <c r="AH936" i="3" l="1"/>
  <c r="U935" i="3"/>
  <c r="E936" i="3" s="1"/>
  <c r="H936" i="3" s="1"/>
  <c r="AG936" i="3"/>
  <c r="Y934" i="3"/>
  <c r="D936" i="3" l="1"/>
  <c r="F936" i="3" s="1"/>
  <c r="K936" i="3"/>
  <c r="AE936" i="3" s="1"/>
  <c r="G936" i="3" l="1"/>
  <c r="J936" i="3" s="1"/>
  <c r="V936" i="3"/>
  <c r="A937" i="3"/>
  <c r="B937" i="3" s="1"/>
  <c r="M936" i="3" l="1"/>
  <c r="N936" i="3" s="1"/>
  <c r="I936" i="3"/>
  <c r="W936" i="3" s="1"/>
  <c r="L936" i="3"/>
  <c r="AD937" i="3"/>
  <c r="P937" i="3"/>
  <c r="Q937" i="3" s="1"/>
  <c r="R937" i="3" s="1"/>
  <c r="S937" i="3" s="1"/>
  <c r="AA937" i="3"/>
  <c r="Z937" i="3"/>
  <c r="AC937" i="3"/>
  <c r="U936" i="3" l="1"/>
  <c r="Y935" i="3"/>
  <c r="T937" i="3"/>
  <c r="AG937" i="3" s="1"/>
  <c r="E937" i="3" l="1"/>
  <c r="H937" i="3" s="1"/>
  <c r="K937" i="3" s="1"/>
  <c r="AE937" i="3" s="1"/>
  <c r="D937" i="3"/>
  <c r="G937" i="3" s="1"/>
  <c r="AH937" i="3"/>
  <c r="F937" i="3" l="1"/>
  <c r="V937" i="3"/>
  <c r="A938" i="3"/>
  <c r="B938" i="3" s="1"/>
  <c r="I937" i="3"/>
  <c r="J937" i="3"/>
  <c r="M937" i="3"/>
  <c r="N937" i="3" s="1"/>
  <c r="W937" i="3" l="1"/>
  <c r="L937" i="3"/>
  <c r="Z938" i="3"/>
  <c r="P938" i="3"/>
  <c r="Q938" i="3" s="1"/>
  <c r="R938" i="3" s="1"/>
  <c r="S938" i="3" s="1"/>
  <c r="AA938" i="3"/>
  <c r="AC938" i="3"/>
  <c r="AD938" i="3"/>
  <c r="T938" i="3" l="1"/>
  <c r="AG938" i="3" s="1"/>
  <c r="U937" i="3"/>
  <c r="Y936" i="3"/>
  <c r="D938" i="3" l="1"/>
  <c r="AH938" i="3"/>
  <c r="E938" i="3"/>
  <c r="H938" i="3" s="1"/>
  <c r="F938" i="3" l="1"/>
  <c r="G938" i="3"/>
  <c r="J938" i="3" s="1"/>
  <c r="K938" i="3"/>
  <c r="AE938" i="3" s="1"/>
  <c r="I938" i="3" l="1"/>
  <c r="M938" i="3"/>
  <c r="N938" i="3" s="1"/>
  <c r="V938" i="3"/>
  <c r="A939" i="3"/>
  <c r="B939" i="3" s="1"/>
  <c r="L938" i="3"/>
  <c r="W938" i="3" l="1"/>
  <c r="U938" i="3"/>
  <c r="Y937" i="3"/>
  <c r="AA939" i="3"/>
  <c r="P939" i="3"/>
  <c r="Q939" i="3" s="1"/>
  <c r="R939" i="3" s="1"/>
  <c r="S939" i="3" s="1"/>
  <c r="Z939" i="3"/>
  <c r="AD939" i="3"/>
  <c r="AC939" i="3"/>
  <c r="T939" i="3" l="1"/>
  <c r="E939" i="3" s="1"/>
  <c r="H939" i="3" s="1"/>
  <c r="K939" i="3" l="1"/>
  <c r="AE939" i="3" s="1"/>
  <c r="AG939" i="3"/>
  <c r="D939" i="3"/>
  <c r="AH939" i="3"/>
  <c r="F939" i="3" l="1"/>
  <c r="G939" i="3"/>
  <c r="V939" i="3"/>
  <c r="A940" i="3"/>
  <c r="B940" i="3" s="1"/>
  <c r="AC940" i="3" l="1"/>
  <c r="Z940" i="3"/>
  <c r="P940" i="3"/>
  <c r="Q940" i="3" s="1"/>
  <c r="R940" i="3" s="1"/>
  <c r="S940" i="3" s="1"/>
  <c r="AA940" i="3"/>
  <c r="AD940" i="3"/>
  <c r="I939" i="3"/>
  <c r="W939" i="3" s="1"/>
  <c r="J939" i="3"/>
  <c r="M939" i="3"/>
  <c r="N939" i="3" s="1"/>
  <c r="T940" i="3" l="1"/>
  <c r="L939" i="3"/>
  <c r="AG940" i="3" l="1"/>
  <c r="AH940" i="3"/>
  <c r="U939" i="3"/>
  <c r="D940" i="3" s="1"/>
  <c r="Y938" i="3"/>
  <c r="E940" i="3" l="1"/>
  <c r="H940" i="3" s="1"/>
  <c r="K940" i="3" s="1"/>
  <c r="AE940" i="3" s="1"/>
  <c r="G940" i="3"/>
  <c r="F940" i="3" l="1"/>
  <c r="I940" i="3"/>
  <c r="J940" i="3"/>
  <c r="M940" i="3"/>
  <c r="N940" i="3" s="1"/>
  <c r="V940" i="3"/>
  <c r="A941" i="3"/>
  <c r="B941" i="3" s="1"/>
  <c r="W940" i="3" l="1"/>
  <c r="L940" i="3"/>
  <c r="AD941" i="3"/>
  <c r="P941" i="3"/>
  <c r="Q941" i="3" s="1"/>
  <c r="R941" i="3" s="1"/>
  <c r="S941" i="3" s="1"/>
  <c r="Z941" i="3"/>
  <c r="AC941" i="3"/>
  <c r="AA941" i="3"/>
  <c r="T941" i="3" l="1"/>
  <c r="U940" i="3"/>
  <c r="Y939" i="3"/>
  <c r="E941" i="3" l="1"/>
  <c r="H941" i="3" s="1"/>
  <c r="K941" i="3" s="1"/>
  <c r="AE941" i="3" s="1"/>
  <c r="AH941" i="3"/>
  <c r="AG941" i="3"/>
  <c r="D941" i="3"/>
  <c r="F941" i="3" l="1"/>
  <c r="G941" i="3"/>
  <c r="V941" i="3"/>
  <c r="A942" i="3"/>
  <c r="B942" i="3" s="1"/>
  <c r="Z942" i="3" l="1"/>
  <c r="AD942" i="3"/>
  <c r="AC942" i="3"/>
  <c r="AA942" i="3"/>
  <c r="P942" i="3"/>
  <c r="Q942" i="3" s="1"/>
  <c r="R942" i="3" s="1"/>
  <c r="S942" i="3" s="1"/>
  <c r="I941" i="3"/>
  <c r="W941" i="3" s="1"/>
  <c r="J941" i="3"/>
  <c r="M941" i="3"/>
  <c r="N941" i="3" s="1"/>
  <c r="T942" i="3" l="1"/>
  <c r="L941" i="3"/>
  <c r="U941" i="3" l="1"/>
  <c r="E942" i="3" s="1"/>
  <c r="H942" i="3" s="1"/>
  <c r="AG942" i="3"/>
  <c r="AH942" i="3"/>
  <c r="Y940" i="3"/>
  <c r="D942" i="3" l="1"/>
  <c r="G942" i="3" s="1"/>
  <c r="K942" i="3"/>
  <c r="AE942" i="3" s="1"/>
  <c r="F942" i="3" l="1"/>
  <c r="I942" i="3"/>
  <c r="J942" i="3"/>
  <c r="M942" i="3"/>
  <c r="N942" i="3" s="1"/>
  <c r="V942" i="3"/>
  <c r="A943" i="3"/>
  <c r="B943" i="3" s="1"/>
  <c r="W942" i="3" l="1"/>
  <c r="L942" i="3"/>
  <c r="AA943" i="3"/>
  <c r="AC943" i="3"/>
  <c r="P943" i="3"/>
  <c r="Q943" i="3" s="1"/>
  <c r="R943" i="3" s="1"/>
  <c r="S943" i="3" s="1"/>
  <c r="Z943" i="3"/>
  <c r="AD943" i="3"/>
  <c r="U942" i="3" l="1"/>
  <c r="Y941" i="3"/>
  <c r="T943" i="3"/>
  <c r="AG943" i="3" s="1"/>
  <c r="E943" i="3" l="1"/>
  <c r="H943" i="3" s="1"/>
  <c r="K943" i="3" s="1"/>
  <c r="AE943" i="3" s="1"/>
  <c r="D943" i="3"/>
  <c r="AH943" i="3"/>
  <c r="F943" i="3" l="1"/>
  <c r="G943" i="3"/>
  <c r="M943" i="3" s="1"/>
  <c r="N943" i="3" s="1"/>
  <c r="V943" i="3"/>
  <c r="A944" i="3"/>
  <c r="B944" i="3" s="1"/>
  <c r="I943" i="3" l="1"/>
  <c r="W943" i="3" s="1"/>
  <c r="J943" i="3"/>
  <c r="L943" i="3" s="1"/>
  <c r="P944" i="3"/>
  <c r="Q944" i="3" s="1"/>
  <c r="R944" i="3" s="1"/>
  <c r="S944" i="3" s="1"/>
  <c r="AC944" i="3"/>
  <c r="Z944" i="3"/>
  <c r="AA944" i="3"/>
  <c r="U943" i="3" l="1"/>
  <c r="Y942" i="3"/>
  <c r="T944" i="3"/>
  <c r="AH944" i="3" s="1"/>
  <c r="D944" i="3" l="1"/>
  <c r="E944" i="3"/>
  <c r="H944" i="3" s="1"/>
  <c r="AG944" i="3"/>
  <c r="F944" i="3" l="1"/>
  <c r="G944" i="3"/>
  <c r="K944" i="3"/>
  <c r="AE944" i="3" s="1"/>
  <c r="I944" i="3" l="1"/>
  <c r="J944" i="3"/>
  <c r="AD944" i="3" s="1"/>
  <c r="M944" i="3"/>
  <c r="N944" i="3" s="1"/>
  <c r="V944" i="3"/>
  <c r="A945" i="3"/>
  <c r="B945" i="3" s="1"/>
  <c r="W944" i="3" l="1"/>
  <c r="L944" i="3"/>
  <c r="P945" i="3"/>
  <c r="Q945" i="3" s="1"/>
  <c r="R945" i="3" s="1"/>
  <c r="S945" i="3" s="1"/>
  <c r="AC945" i="3"/>
  <c r="Z945" i="3"/>
  <c r="AA945" i="3"/>
  <c r="U944" i="3" l="1"/>
  <c r="Y943" i="3"/>
  <c r="T945" i="3"/>
  <c r="D945" i="3" l="1"/>
  <c r="G945" i="3" s="1"/>
  <c r="AH945" i="3"/>
  <c r="E945" i="3"/>
  <c r="H945" i="3" s="1"/>
  <c r="AG945" i="3"/>
  <c r="F945" i="3" l="1"/>
  <c r="I945" i="3"/>
  <c r="J945" i="3"/>
  <c r="AD945" i="3" s="1"/>
  <c r="M945" i="3"/>
  <c r="N945" i="3" s="1"/>
  <c r="K945" i="3"/>
  <c r="AE945" i="3" s="1"/>
  <c r="V945" i="3" l="1"/>
  <c r="W945" i="3" s="1"/>
  <c r="A946" i="3"/>
  <c r="B946" i="3" s="1"/>
  <c r="L945" i="3"/>
  <c r="U945" i="3" l="1"/>
  <c r="Y944" i="3"/>
  <c r="P946" i="3"/>
  <c r="Q946" i="3" s="1"/>
  <c r="R946" i="3" s="1"/>
  <c r="S946" i="3" s="1"/>
  <c r="AC946" i="3"/>
  <c r="AA946" i="3"/>
  <c r="Z946" i="3"/>
  <c r="T946" i="3" l="1"/>
  <c r="E946" i="3" s="1"/>
  <c r="H946" i="3" s="1"/>
  <c r="K946" i="3" l="1"/>
  <c r="AE946" i="3" s="1"/>
  <c r="AG946" i="3"/>
  <c r="D946" i="3"/>
  <c r="AH946" i="3"/>
  <c r="F946" i="3" l="1"/>
  <c r="G946" i="3"/>
  <c r="V946" i="3"/>
  <c r="A947" i="3"/>
  <c r="B947" i="3" s="1"/>
  <c r="Z947" i="3" l="1"/>
  <c r="AC947" i="3"/>
  <c r="P947" i="3"/>
  <c r="Q947" i="3" s="1"/>
  <c r="R947" i="3" s="1"/>
  <c r="S947" i="3" s="1"/>
  <c r="AA947" i="3"/>
  <c r="I946" i="3"/>
  <c r="W946" i="3" s="1"/>
  <c r="J946" i="3"/>
  <c r="AD946" i="3" s="1"/>
  <c r="M946" i="3"/>
  <c r="N946" i="3" s="1"/>
  <c r="L946" i="3" l="1"/>
  <c r="T947" i="3"/>
  <c r="AH947" i="3" l="1"/>
  <c r="AG947" i="3"/>
  <c r="U946" i="3"/>
  <c r="E947" i="3" s="1"/>
  <c r="H947" i="3" s="1"/>
  <c r="Y945" i="3"/>
  <c r="D947" i="3" l="1"/>
  <c r="G947" i="3" s="1"/>
  <c r="K947" i="3"/>
  <c r="AE947" i="3" s="1"/>
  <c r="F947" i="3" l="1"/>
  <c r="V947" i="3"/>
  <c r="A948" i="3"/>
  <c r="B948" i="3" s="1"/>
  <c r="I947" i="3"/>
  <c r="J947" i="3"/>
  <c r="AD947" i="3" s="1"/>
  <c r="M947" i="3"/>
  <c r="N947" i="3" s="1"/>
  <c r="W947" i="3" l="1"/>
  <c r="L947" i="3"/>
  <c r="P948" i="3"/>
  <c r="Q948" i="3" s="1"/>
  <c r="R948" i="3" s="1"/>
  <c r="S948" i="3" s="1"/>
  <c r="AA948" i="3"/>
  <c r="Z948" i="3"/>
  <c r="AC948" i="3"/>
  <c r="U947" i="3" l="1"/>
  <c r="Y946" i="3"/>
  <c r="T948" i="3"/>
  <c r="AH948" i="3" s="1"/>
  <c r="AG948" i="3" l="1"/>
  <c r="E948" i="3"/>
  <c r="H948" i="3" s="1"/>
  <c r="D948" i="3"/>
  <c r="K948" i="3" l="1"/>
  <c r="AE948" i="3" s="1"/>
  <c r="F948" i="3"/>
  <c r="G948" i="3"/>
  <c r="I948" i="3" l="1"/>
  <c r="J948" i="3"/>
  <c r="AD948" i="3" s="1"/>
  <c r="M948" i="3"/>
  <c r="N948" i="3" s="1"/>
  <c r="V948" i="3"/>
  <c r="A949" i="3"/>
  <c r="B949" i="3" s="1"/>
  <c r="W948" i="3" l="1"/>
  <c r="L948" i="3"/>
  <c r="AA949" i="3"/>
  <c r="AC949" i="3"/>
  <c r="Z949" i="3"/>
  <c r="P949" i="3"/>
  <c r="Q949" i="3" s="1"/>
  <c r="R949" i="3" s="1"/>
  <c r="S949" i="3" s="1"/>
  <c r="U948" i="3" l="1"/>
  <c r="Y947" i="3"/>
  <c r="T949" i="3"/>
  <c r="AH949" i="3" s="1"/>
  <c r="AG949" i="3" l="1"/>
  <c r="D949" i="3"/>
  <c r="G949" i="3" s="1"/>
  <c r="E949" i="3"/>
  <c r="H949" i="3" s="1"/>
  <c r="K949" i="3" s="1"/>
  <c r="AE949" i="3" s="1"/>
  <c r="F949" i="3" l="1"/>
  <c r="I949" i="3"/>
  <c r="J949" i="3"/>
  <c r="AD949" i="3" s="1"/>
  <c r="M949" i="3"/>
  <c r="N949" i="3" s="1"/>
  <c r="V949" i="3"/>
  <c r="A950" i="3"/>
  <c r="B950" i="3" s="1"/>
  <c r="W949" i="3" l="1"/>
  <c r="L949" i="3"/>
  <c r="Z950" i="3"/>
  <c r="AC950" i="3"/>
  <c r="P950" i="3"/>
  <c r="Q950" i="3" s="1"/>
  <c r="R950" i="3" s="1"/>
  <c r="S950" i="3" s="1"/>
  <c r="AA950" i="3"/>
  <c r="T950" i="3" l="1"/>
  <c r="U949" i="3"/>
  <c r="Y948" i="3"/>
  <c r="D950" i="3" l="1"/>
  <c r="G950" i="3" s="1"/>
  <c r="AG950" i="3"/>
  <c r="E950" i="3"/>
  <c r="H950" i="3" s="1"/>
  <c r="K950" i="3" s="1"/>
  <c r="AE950" i="3" s="1"/>
  <c r="AH950" i="3"/>
  <c r="F950" i="3" l="1"/>
  <c r="I950" i="3"/>
  <c r="J950" i="3"/>
  <c r="AD950" i="3" s="1"/>
  <c r="M950" i="3"/>
  <c r="N950" i="3" s="1"/>
  <c r="V950" i="3"/>
  <c r="A951" i="3"/>
  <c r="B951" i="3" s="1"/>
  <c r="W950" i="3" l="1"/>
  <c r="P951" i="3"/>
  <c r="Q951" i="3" s="1"/>
  <c r="R951" i="3" s="1"/>
  <c r="S951" i="3" s="1"/>
  <c r="AA951" i="3"/>
  <c r="AC951" i="3"/>
  <c r="Z951" i="3"/>
  <c r="L950" i="3"/>
  <c r="T951" i="3" l="1"/>
  <c r="U950" i="3"/>
  <c r="Y949" i="3"/>
  <c r="D951" i="3" l="1"/>
  <c r="G951" i="3" s="1"/>
  <c r="AH951" i="3"/>
  <c r="AG951" i="3"/>
  <c r="E951" i="3"/>
  <c r="H951" i="3" s="1"/>
  <c r="K951" i="3" s="1"/>
  <c r="AE951" i="3" s="1"/>
  <c r="F951" i="3" l="1"/>
  <c r="I951" i="3"/>
  <c r="J951" i="3"/>
  <c r="AD951" i="3" s="1"/>
  <c r="M951" i="3"/>
  <c r="N951" i="3" s="1"/>
  <c r="V951" i="3"/>
  <c r="A952" i="3"/>
  <c r="B952" i="3" s="1"/>
  <c r="AC952" i="3" l="1"/>
  <c r="Z952" i="3"/>
  <c r="P952" i="3"/>
  <c r="Q952" i="3" s="1"/>
  <c r="R952" i="3" s="1"/>
  <c r="S952" i="3" s="1"/>
  <c r="AA952" i="3"/>
  <c r="W951" i="3"/>
  <c r="L951" i="3"/>
  <c r="U951" i="3" l="1"/>
  <c r="Y950" i="3"/>
  <c r="T952" i="3"/>
  <c r="D952" i="3" l="1"/>
  <c r="G952" i="3" s="1"/>
  <c r="E952" i="3"/>
  <c r="H952" i="3" s="1"/>
  <c r="AH952" i="3"/>
  <c r="AG952" i="3"/>
  <c r="F952" i="3" l="1"/>
  <c r="I952" i="3"/>
  <c r="J952" i="3"/>
  <c r="AD952" i="3" s="1"/>
  <c r="M952" i="3"/>
  <c r="N952" i="3" s="1"/>
  <c r="K952" i="3"/>
  <c r="AE952" i="3" s="1"/>
  <c r="V952" i="3" l="1"/>
  <c r="W952" i="3" s="1"/>
  <c r="A953" i="3"/>
  <c r="B953" i="3" s="1"/>
  <c r="L952" i="3"/>
  <c r="U952" i="3" l="1"/>
  <c r="Y951" i="3"/>
  <c r="Z953" i="3"/>
  <c r="AA953" i="3"/>
  <c r="P953" i="3"/>
  <c r="Q953" i="3" s="1"/>
  <c r="R953" i="3" s="1"/>
  <c r="S953" i="3" s="1"/>
  <c r="AC953" i="3"/>
  <c r="T953" i="3" l="1"/>
  <c r="AG953" i="3" s="1"/>
  <c r="E953" i="3" l="1"/>
  <c r="H953" i="3" s="1"/>
  <c r="K953" i="3" s="1"/>
  <c r="AE953" i="3" s="1"/>
  <c r="AH953" i="3"/>
  <c r="D953" i="3"/>
  <c r="G953" i="3" s="1"/>
  <c r="F953" i="3" l="1"/>
  <c r="I953" i="3"/>
  <c r="J953" i="3"/>
  <c r="AD953" i="3" s="1"/>
  <c r="M953" i="3"/>
  <c r="N953" i="3" s="1"/>
  <c r="V953" i="3"/>
  <c r="A954" i="3"/>
  <c r="B954" i="3" s="1"/>
  <c r="W953" i="3" l="1"/>
  <c r="L953" i="3"/>
  <c r="AA954" i="3"/>
  <c r="P954" i="3"/>
  <c r="Q954" i="3" s="1"/>
  <c r="R954" i="3" s="1"/>
  <c r="S954" i="3" s="1"/>
  <c r="AC954" i="3"/>
  <c r="Z954" i="3"/>
  <c r="T954" i="3" l="1"/>
  <c r="U953" i="3"/>
  <c r="Y952" i="3"/>
  <c r="E954" i="3" l="1"/>
  <c r="H954" i="3" s="1"/>
  <c r="K954" i="3" s="1"/>
  <c r="AE954" i="3" s="1"/>
  <c r="AG954" i="3"/>
  <c r="AH954" i="3"/>
  <c r="D954" i="3"/>
  <c r="G954" i="3" s="1"/>
  <c r="F954" i="3" l="1"/>
  <c r="V954" i="3"/>
  <c r="A955" i="3"/>
  <c r="B955" i="3" s="1"/>
  <c r="I954" i="3"/>
  <c r="J954" i="3"/>
  <c r="AD954" i="3" s="1"/>
  <c r="M954" i="3"/>
  <c r="N954" i="3" s="1"/>
  <c r="W954" i="3" l="1"/>
  <c r="L954" i="3"/>
  <c r="P955" i="3"/>
  <c r="Q955" i="3" s="1"/>
  <c r="R955" i="3" s="1"/>
  <c r="S955" i="3" s="1"/>
  <c r="AA955" i="3"/>
  <c r="AC955" i="3"/>
  <c r="Z955" i="3"/>
  <c r="U954" i="3" l="1"/>
  <c r="Y953" i="3"/>
  <c r="T955" i="3"/>
  <c r="AG955" i="3" s="1"/>
  <c r="AH955" i="3" l="1"/>
  <c r="D955" i="3"/>
  <c r="E955" i="3"/>
  <c r="H955" i="3" s="1"/>
  <c r="F955" i="3" l="1"/>
  <c r="G955" i="3"/>
  <c r="K955" i="3"/>
  <c r="AE955" i="3" s="1"/>
  <c r="I955" i="3" l="1"/>
  <c r="J955" i="3"/>
  <c r="AD955" i="3" s="1"/>
  <c r="M955" i="3"/>
  <c r="N955" i="3" s="1"/>
  <c r="V955" i="3"/>
  <c r="A956" i="3"/>
  <c r="B956" i="3" s="1"/>
  <c r="W955" i="3" l="1"/>
  <c r="L955" i="3"/>
  <c r="AA956" i="3"/>
  <c r="P956" i="3"/>
  <c r="Q956" i="3" s="1"/>
  <c r="R956" i="3" s="1"/>
  <c r="S956" i="3" s="1"/>
  <c r="Z956" i="3"/>
  <c r="AC956" i="3"/>
  <c r="U955" i="3" l="1"/>
  <c r="Y954" i="3"/>
  <c r="T956" i="3"/>
  <c r="AH956" i="3" s="1"/>
  <c r="AG956" i="3" l="1"/>
  <c r="E956" i="3"/>
  <c r="H956" i="3" s="1"/>
  <c r="K956" i="3" s="1"/>
  <c r="AE956" i="3" s="1"/>
  <c r="D956" i="3"/>
  <c r="V956" i="3" l="1"/>
  <c r="A957" i="3"/>
  <c r="B957" i="3" s="1"/>
  <c r="F956" i="3"/>
  <c r="G956" i="3"/>
  <c r="I956" i="3" l="1"/>
  <c r="W956" i="3" s="1"/>
  <c r="J956" i="3"/>
  <c r="AD956" i="3" s="1"/>
  <c r="M956" i="3"/>
  <c r="N956" i="3" s="1"/>
  <c r="AA957" i="3"/>
  <c r="Z957" i="3"/>
  <c r="P957" i="3"/>
  <c r="Q957" i="3" s="1"/>
  <c r="R957" i="3" s="1"/>
  <c r="S957" i="3" s="1"/>
  <c r="AC957" i="3"/>
  <c r="T957" i="3" l="1"/>
  <c r="L956" i="3"/>
  <c r="AG957" i="3" l="1"/>
  <c r="U956" i="3"/>
  <c r="E957" i="3" s="1"/>
  <c r="H957" i="3" s="1"/>
  <c r="AH957" i="3"/>
  <c r="Y955" i="3"/>
  <c r="D957" i="3" l="1"/>
  <c r="G957" i="3" s="1"/>
  <c r="K957" i="3"/>
  <c r="AE957" i="3" s="1"/>
  <c r="F957" i="3" l="1"/>
  <c r="I957" i="3"/>
  <c r="J957" i="3"/>
  <c r="AD957" i="3" s="1"/>
  <c r="M957" i="3"/>
  <c r="N957" i="3" s="1"/>
  <c r="V957" i="3"/>
  <c r="A958" i="3"/>
  <c r="B958" i="3" s="1"/>
  <c r="W957" i="3" l="1"/>
  <c r="L957" i="3"/>
  <c r="AC958" i="3"/>
  <c r="AA958" i="3"/>
  <c r="P958" i="3"/>
  <c r="Q958" i="3" s="1"/>
  <c r="R958" i="3" s="1"/>
  <c r="S958" i="3" s="1"/>
  <c r="Z958" i="3"/>
  <c r="T958" i="3" l="1"/>
  <c r="AH958" i="3" s="1"/>
  <c r="U957" i="3"/>
  <c r="Y956" i="3"/>
  <c r="AG958" i="3" l="1"/>
  <c r="D958" i="3"/>
  <c r="E958" i="3"/>
  <c r="H958" i="3" s="1"/>
  <c r="K958" i="3" l="1"/>
  <c r="AE958" i="3" s="1"/>
  <c r="F958" i="3"/>
  <c r="G958" i="3"/>
  <c r="V958" i="3" l="1"/>
  <c r="A959" i="3"/>
  <c r="B959" i="3" s="1"/>
  <c r="I958" i="3"/>
  <c r="J958" i="3"/>
  <c r="AD958" i="3" s="1"/>
  <c r="M958" i="3"/>
  <c r="N958" i="3" s="1"/>
  <c r="W958" i="3" l="1"/>
  <c r="L958" i="3"/>
  <c r="Z959" i="3"/>
  <c r="AC959" i="3"/>
  <c r="P959" i="3"/>
  <c r="Q959" i="3" s="1"/>
  <c r="R959" i="3" s="1"/>
  <c r="S959" i="3" s="1"/>
  <c r="AA959" i="3"/>
  <c r="T959" i="3" l="1"/>
  <c r="AH959" i="3" s="1"/>
  <c r="U958" i="3"/>
  <c r="Y957" i="3"/>
  <c r="AG959" i="3" l="1"/>
  <c r="E959" i="3"/>
  <c r="H959" i="3" s="1"/>
  <c r="K959" i="3" s="1"/>
  <c r="AE959" i="3" s="1"/>
  <c r="D959" i="3"/>
  <c r="F959" i="3" l="1"/>
  <c r="G959" i="3"/>
  <c r="V959" i="3"/>
  <c r="A960" i="3"/>
  <c r="B960" i="3" s="1"/>
  <c r="Z960" i="3" l="1"/>
  <c r="AA960" i="3"/>
  <c r="P960" i="3"/>
  <c r="Q960" i="3" s="1"/>
  <c r="R960" i="3" s="1"/>
  <c r="S960" i="3" s="1"/>
  <c r="AC960" i="3"/>
  <c r="I959" i="3"/>
  <c r="W959" i="3" s="1"/>
  <c r="J959" i="3"/>
  <c r="AD959" i="3" s="1"/>
  <c r="M959" i="3"/>
  <c r="N959" i="3" s="1"/>
  <c r="T960" i="3" l="1"/>
  <c r="L959" i="3"/>
  <c r="U959" i="3" l="1"/>
  <c r="E960" i="3" s="1"/>
  <c r="H960" i="3" s="1"/>
  <c r="AG960" i="3"/>
  <c r="AH960" i="3"/>
  <c r="Y958" i="3"/>
  <c r="D960" i="3" l="1"/>
  <c r="G960" i="3" s="1"/>
  <c r="K960" i="3"/>
  <c r="AE960" i="3" s="1"/>
  <c r="F960" i="3" l="1"/>
  <c r="I960" i="3"/>
  <c r="J960" i="3"/>
  <c r="AD960" i="3" s="1"/>
  <c r="M960" i="3"/>
  <c r="N960" i="3" s="1"/>
  <c r="V960" i="3"/>
  <c r="A961" i="3"/>
  <c r="B961" i="3" s="1"/>
  <c r="W960" i="3" l="1"/>
  <c r="P961" i="3"/>
  <c r="Q961" i="3" s="1"/>
  <c r="R961" i="3" s="1"/>
  <c r="S961" i="3" s="1"/>
  <c r="AC961" i="3"/>
  <c r="Z961" i="3"/>
  <c r="AA961" i="3"/>
  <c r="L960" i="3"/>
  <c r="U960" i="3" l="1"/>
  <c r="Y959" i="3"/>
  <c r="T961" i="3"/>
  <c r="D961" i="3" l="1"/>
  <c r="G961" i="3" s="1"/>
  <c r="AH961" i="3"/>
  <c r="AG961" i="3"/>
  <c r="E961" i="3"/>
  <c r="H961" i="3" s="1"/>
  <c r="K961" i="3" l="1"/>
  <c r="AE961" i="3" s="1"/>
  <c r="I961" i="3"/>
  <c r="J961" i="3"/>
  <c r="AD961" i="3" s="1"/>
  <c r="M961" i="3"/>
  <c r="N961" i="3" s="1"/>
  <c r="F961" i="3"/>
  <c r="L961" i="3" l="1"/>
  <c r="V961" i="3"/>
  <c r="W961" i="3" s="1"/>
  <c r="A962" i="3"/>
  <c r="B962" i="3" s="1"/>
  <c r="Z962" i="3" l="1"/>
  <c r="AA962" i="3"/>
  <c r="P962" i="3"/>
  <c r="Q962" i="3" s="1"/>
  <c r="R962" i="3" s="1"/>
  <c r="S962" i="3" s="1"/>
  <c r="AC962" i="3"/>
  <c r="U961" i="3"/>
  <c r="Y960" i="3"/>
  <c r="T962" i="3" l="1"/>
  <c r="E962" i="3" s="1"/>
  <c r="H962" i="3" s="1"/>
  <c r="AH962" i="3" l="1"/>
  <c r="K962" i="3"/>
  <c r="AE962" i="3" s="1"/>
  <c r="D962" i="3"/>
  <c r="AG962" i="3"/>
  <c r="V962" i="3" l="1"/>
  <c r="A963" i="3"/>
  <c r="B963" i="3" s="1"/>
  <c r="F962" i="3"/>
  <c r="G962" i="3"/>
  <c r="P963" i="3" l="1"/>
  <c r="Q963" i="3" s="1"/>
  <c r="R963" i="3" s="1"/>
  <c r="S963" i="3" s="1"/>
  <c r="AC963" i="3"/>
  <c r="Z963" i="3"/>
  <c r="AA963" i="3"/>
  <c r="I962" i="3"/>
  <c r="W962" i="3" s="1"/>
  <c r="J962" i="3"/>
  <c r="AD962" i="3" s="1"/>
  <c r="M962" i="3"/>
  <c r="N962" i="3" s="1"/>
  <c r="T963" i="3" l="1"/>
  <c r="L962" i="3"/>
  <c r="U962" i="3" l="1"/>
  <c r="E963" i="3" s="1"/>
  <c r="H963" i="3" s="1"/>
  <c r="AG963" i="3"/>
  <c r="AH963" i="3"/>
  <c r="Y961" i="3"/>
  <c r="D963" i="3" l="1"/>
  <c r="G963" i="3" s="1"/>
  <c r="K963" i="3"/>
  <c r="AE963" i="3" s="1"/>
  <c r="F963" i="3" l="1"/>
  <c r="I963" i="3"/>
  <c r="J963" i="3"/>
  <c r="AD963" i="3" s="1"/>
  <c r="M963" i="3"/>
  <c r="N963" i="3" s="1"/>
  <c r="V963" i="3"/>
  <c r="A964" i="3"/>
  <c r="B964" i="3" s="1"/>
  <c r="W963" i="3" l="1"/>
  <c r="L963" i="3"/>
  <c r="Z964" i="3"/>
  <c r="P964" i="3"/>
  <c r="Q964" i="3" s="1"/>
  <c r="R964" i="3" s="1"/>
  <c r="S964" i="3" s="1"/>
  <c r="AA964" i="3"/>
  <c r="AC964" i="3"/>
  <c r="U963" i="3" l="1"/>
  <c r="Y962" i="3"/>
  <c r="T964" i="3"/>
  <c r="D964" i="3" l="1"/>
  <c r="G964" i="3" s="1"/>
  <c r="E964" i="3"/>
  <c r="H964" i="3" s="1"/>
  <c r="K964" i="3" s="1"/>
  <c r="AE964" i="3" s="1"/>
  <c r="AH964" i="3"/>
  <c r="AG964" i="3"/>
  <c r="F964" i="3" l="1"/>
  <c r="I964" i="3"/>
  <c r="J964" i="3"/>
  <c r="AD964" i="3" s="1"/>
  <c r="M964" i="3"/>
  <c r="N964" i="3" s="1"/>
  <c r="V964" i="3"/>
  <c r="A965" i="3"/>
  <c r="B965" i="3" s="1"/>
  <c r="W964" i="3" l="1"/>
  <c r="L964" i="3"/>
  <c r="AC965" i="3"/>
  <c r="AD965" i="3"/>
  <c r="P965" i="3"/>
  <c r="Q965" i="3" s="1"/>
  <c r="R965" i="3" s="1"/>
  <c r="S965" i="3" s="1"/>
  <c r="AA965" i="3"/>
  <c r="Z965" i="3"/>
  <c r="U964" i="3" l="1"/>
  <c r="Y963" i="3"/>
  <c r="T965" i="3"/>
  <c r="AH965" i="3" s="1"/>
  <c r="AG965" i="3" l="1"/>
  <c r="E965" i="3"/>
  <c r="H965" i="3" s="1"/>
  <c r="D965" i="3"/>
  <c r="F965" i="3" l="1"/>
  <c r="G965" i="3"/>
  <c r="K965" i="3"/>
  <c r="AE965" i="3" s="1"/>
  <c r="V965" i="3" l="1"/>
  <c r="A966" i="3"/>
  <c r="B966" i="3" s="1"/>
  <c r="I965" i="3"/>
  <c r="J965" i="3"/>
  <c r="M965" i="3"/>
  <c r="N965" i="3" s="1"/>
  <c r="L965" i="3" l="1"/>
  <c r="P966" i="3"/>
  <c r="Q966" i="3" s="1"/>
  <c r="R966" i="3" s="1"/>
  <c r="S966" i="3" s="1"/>
  <c r="AD966" i="3"/>
  <c r="AA966" i="3"/>
  <c r="Z966" i="3"/>
  <c r="AC966" i="3"/>
  <c r="W965" i="3"/>
  <c r="T966" i="3" l="1"/>
  <c r="AG966" i="3" s="1"/>
  <c r="U965" i="3"/>
  <c r="Y964" i="3"/>
  <c r="E966" i="3" l="1"/>
  <c r="H966" i="3" s="1"/>
  <c r="D966" i="3"/>
  <c r="AH966" i="3"/>
  <c r="K966" i="3" l="1"/>
  <c r="AE966" i="3" s="1"/>
  <c r="F966" i="3"/>
  <c r="G966" i="3"/>
  <c r="I966" i="3" l="1"/>
  <c r="J966" i="3"/>
  <c r="M966" i="3"/>
  <c r="N966" i="3" s="1"/>
  <c r="V966" i="3"/>
  <c r="A967" i="3"/>
  <c r="B967" i="3" s="1"/>
  <c r="W966" i="3" l="1"/>
  <c r="L966" i="3"/>
  <c r="AA967" i="3"/>
  <c r="P967" i="3"/>
  <c r="Q967" i="3" s="1"/>
  <c r="R967" i="3" s="1"/>
  <c r="S967" i="3" s="1"/>
  <c r="AC967" i="3"/>
  <c r="Z967" i="3"/>
  <c r="AD967" i="3"/>
  <c r="U966" i="3" l="1"/>
  <c r="Y965" i="3"/>
  <c r="T967" i="3"/>
  <c r="E967" i="3" l="1"/>
  <c r="H967" i="3" s="1"/>
  <c r="K967" i="3" s="1"/>
  <c r="AE967" i="3" s="1"/>
  <c r="AH967" i="3"/>
  <c r="AG967" i="3"/>
  <c r="D967" i="3"/>
  <c r="V967" i="3" l="1"/>
  <c r="A968" i="3"/>
  <c r="B968" i="3" s="1"/>
  <c r="F967" i="3"/>
  <c r="G967" i="3"/>
  <c r="I967" i="3" l="1"/>
  <c r="W967" i="3" s="1"/>
  <c r="J967" i="3"/>
  <c r="M967" i="3"/>
  <c r="N967" i="3" s="1"/>
  <c r="Z968" i="3"/>
  <c r="AA968" i="3"/>
  <c r="P968" i="3"/>
  <c r="Q968" i="3" s="1"/>
  <c r="R968" i="3" s="1"/>
  <c r="S968" i="3" s="1"/>
  <c r="AC968" i="3"/>
  <c r="AD968" i="3"/>
  <c r="L967" i="3" l="1"/>
  <c r="T968" i="3"/>
  <c r="AH968" i="3" l="1"/>
  <c r="AG968" i="3"/>
  <c r="U967" i="3"/>
  <c r="E968" i="3" s="1"/>
  <c r="H968" i="3" s="1"/>
  <c r="Y966" i="3"/>
  <c r="K968" i="3" l="1"/>
  <c r="AE968" i="3" s="1"/>
  <c r="D968" i="3"/>
  <c r="V968" i="3" l="1"/>
  <c r="A969" i="3"/>
  <c r="B969" i="3" s="1"/>
  <c r="F968" i="3"/>
  <c r="G968" i="3"/>
  <c r="I968" i="3" l="1"/>
  <c r="W968" i="3" s="1"/>
  <c r="J968" i="3"/>
  <c r="M968" i="3"/>
  <c r="N968" i="3" s="1"/>
  <c r="AA969" i="3"/>
  <c r="Z969" i="3"/>
  <c r="AD969" i="3"/>
  <c r="P969" i="3"/>
  <c r="Q969" i="3" s="1"/>
  <c r="R969" i="3" s="1"/>
  <c r="S969" i="3" s="1"/>
  <c r="AC969" i="3"/>
  <c r="T969" i="3" l="1"/>
  <c r="L968" i="3"/>
  <c r="AH969" i="3" l="1"/>
  <c r="U968" i="3"/>
  <c r="D969" i="3" s="1"/>
  <c r="AG969" i="3"/>
  <c r="Y967" i="3"/>
  <c r="G969" i="3" l="1"/>
  <c r="E969" i="3"/>
  <c r="H969" i="3" s="1"/>
  <c r="F969" i="3" l="1"/>
  <c r="I969" i="3"/>
  <c r="J969" i="3"/>
  <c r="M969" i="3"/>
  <c r="N969" i="3" s="1"/>
  <c r="K969" i="3"/>
  <c r="AE969" i="3" s="1"/>
  <c r="V969" i="3" l="1"/>
  <c r="W969" i="3" s="1"/>
  <c r="A970" i="3"/>
  <c r="B970" i="3" s="1"/>
  <c r="L969" i="3"/>
  <c r="U969" i="3" l="1"/>
  <c r="Y968" i="3"/>
  <c r="AA970" i="3"/>
  <c r="P970" i="3"/>
  <c r="Q970" i="3" s="1"/>
  <c r="R970" i="3" s="1"/>
  <c r="S970" i="3" s="1"/>
  <c r="AC970" i="3"/>
  <c r="Z970" i="3"/>
  <c r="AD970" i="3"/>
  <c r="T970" i="3" l="1"/>
  <c r="E970" i="3" s="1"/>
  <c r="H970" i="3" s="1"/>
  <c r="AH970" i="3" l="1"/>
  <c r="K970" i="3"/>
  <c r="AE970" i="3" s="1"/>
  <c r="D970" i="3"/>
  <c r="AG970" i="3"/>
  <c r="V970" i="3" l="1"/>
  <c r="A971" i="3"/>
  <c r="B971" i="3" s="1"/>
  <c r="F970" i="3"/>
  <c r="G970" i="3"/>
  <c r="I970" i="3" l="1"/>
  <c r="W970" i="3" s="1"/>
  <c r="J970" i="3"/>
  <c r="M970" i="3"/>
  <c r="N970" i="3" s="1"/>
  <c r="P971" i="3"/>
  <c r="Q971" i="3" s="1"/>
  <c r="R971" i="3" s="1"/>
  <c r="S971" i="3" s="1"/>
  <c r="AD971" i="3"/>
  <c r="Z971" i="3"/>
  <c r="AC971" i="3"/>
  <c r="AA971" i="3"/>
  <c r="T971" i="3" l="1"/>
  <c r="L970" i="3"/>
  <c r="U970" i="3" l="1"/>
  <c r="E971" i="3" s="1"/>
  <c r="H971" i="3" s="1"/>
  <c r="AH971" i="3"/>
  <c r="AG971" i="3"/>
  <c r="Y969" i="3"/>
  <c r="K971" i="3" l="1"/>
  <c r="AE971" i="3" s="1"/>
  <c r="D971" i="3"/>
  <c r="V971" i="3" l="1"/>
  <c r="A972" i="3"/>
  <c r="B972" i="3" s="1"/>
  <c r="F971" i="3"/>
  <c r="G971" i="3"/>
  <c r="I971" i="3" l="1"/>
  <c r="W971" i="3" s="1"/>
  <c r="J971" i="3"/>
  <c r="M971" i="3"/>
  <c r="N971" i="3" s="1"/>
  <c r="AC972" i="3"/>
  <c r="AD972" i="3"/>
  <c r="Z972" i="3"/>
  <c r="P972" i="3"/>
  <c r="Q972" i="3" s="1"/>
  <c r="R972" i="3" s="1"/>
  <c r="S972" i="3" s="1"/>
  <c r="AA972" i="3"/>
  <c r="T972" i="3" l="1"/>
  <c r="L971" i="3"/>
  <c r="U971" i="3" l="1"/>
  <c r="D972" i="3" s="1"/>
  <c r="AH972" i="3"/>
  <c r="AG972" i="3"/>
  <c r="Y970" i="3"/>
  <c r="E972" i="3" l="1"/>
  <c r="H972" i="3" s="1"/>
  <c r="K972" i="3" s="1"/>
  <c r="AE972" i="3" s="1"/>
  <c r="G972" i="3"/>
  <c r="F972" i="3" l="1"/>
  <c r="V972" i="3"/>
  <c r="A973" i="3"/>
  <c r="B973" i="3" s="1"/>
  <c r="I972" i="3"/>
  <c r="J972" i="3"/>
  <c r="M972" i="3"/>
  <c r="N972" i="3" s="1"/>
  <c r="W972" i="3" l="1"/>
  <c r="L972" i="3"/>
  <c r="AC973" i="3"/>
  <c r="P973" i="3"/>
  <c r="Q973" i="3" s="1"/>
  <c r="R973" i="3" s="1"/>
  <c r="S973" i="3" s="1"/>
  <c r="Z973" i="3"/>
  <c r="AD973" i="3"/>
  <c r="AA973" i="3"/>
  <c r="U972" i="3" l="1"/>
  <c r="Y971" i="3"/>
  <c r="T973" i="3"/>
  <c r="AG973" i="3" s="1"/>
  <c r="D973" i="3" l="1"/>
  <c r="G973" i="3" s="1"/>
  <c r="E973" i="3"/>
  <c r="H973" i="3" s="1"/>
  <c r="K973" i="3" s="1"/>
  <c r="AE973" i="3" s="1"/>
  <c r="AH973" i="3"/>
  <c r="F973" i="3" l="1"/>
  <c r="I973" i="3"/>
  <c r="J973" i="3"/>
  <c r="M973" i="3"/>
  <c r="N973" i="3" s="1"/>
  <c r="V973" i="3"/>
  <c r="A974" i="3"/>
  <c r="B974" i="3" s="1"/>
  <c r="W973" i="3" l="1"/>
  <c r="L973" i="3"/>
  <c r="P974" i="3"/>
  <c r="Q974" i="3" s="1"/>
  <c r="R974" i="3" s="1"/>
  <c r="S974" i="3" s="1"/>
  <c r="AA974" i="3"/>
  <c r="Z974" i="3"/>
  <c r="AC974" i="3"/>
  <c r="T974" i="3" l="1"/>
  <c r="AG974" i="3" s="1"/>
  <c r="U973" i="3"/>
  <c r="Y972" i="3"/>
  <c r="AH974" i="3" l="1"/>
  <c r="E974" i="3"/>
  <c r="H974" i="3" s="1"/>
  <c r="D974" i="3"/>
  <c r="K974" i="3" l="1"/>
  <c r="AE974" i="3" s="1"/>
  <c r="F974" i="3"/>
  <c r="G974" i="3"/>
  <c r="I974" i="3" l="1"/>
  <c r="J974" i="3"/>
  <c r="AD974" i="3" s="1"/>
  <c r="M974" i="3"/>
  <c r="N974" i="3" s="1"/>
  <c r="V974" i="3"/>
  <c r="A975" i="3"/>
  <c r="B975" i="3" s="1"/>
  <c r="W974" i="3" l="1"/>
  <c r="L974" i="3"/>
  <c r="AD975" i="3"/>
  <c r="P975" i="3"/>
  <c r="Q975" i="3" s="1"/>
  <c r="R975" i="3" s="1"/>
  <c r="S975" i="3" s="1"/>
  <c r="AC975" i="3"/>
  <c r="Z975" i="3"/>
  <c r="AA975" i="3"/>
  <c r="U974" i="3" l="1"/>
  <c r="Y973" i="3"/>
  <c r="T975" i="3"/>
  <c r="D975" i="3" l="1"/>
  <c r="G975" i="3" s="1"/>
  <c r="AH975" i="3"/>
  <c r="E975" i="3"/>
  <c r="H975" i="3" s="1"/>
  <c r="K975" i="3" s="1"/>
  <c r="AE975" i="3" s="1"/>
  <c r="AG975" i="3"/>
  <c r="F975" i="3" l="1"/>
  <c r="V975" i="3"/>
  <c r="A976" i="3"/>
  <c r="B976" i="3" s="1"/>
  <c r="I975" i="3"/>
  <c r="J975" i="3"/>
  <c r="M975" i="3"/>
  <c r="N975" i="3" s="1"/>
  <c r="W975" i="3" l="1"/>
  <c r="L975" i="3"/>
  <c r="AA976" i="3"/>
  <c r="AC976" i="3"/>
  <c r="Z976" i="3"/>
  <c r="AD976" i="3"/>
  <c r="P976" i="3"/>
  <c r="Q976" i="3" s="1"/>
  <c r="R976" i="3" s="1"/>
  <c r="S976" i="3" s="1"/>
  <c r="U975" i="3" l="1"/>
  <c r="Y974" i="3"/>
  <c r="T976" i="3"/>
  <c r="AG976" i="3" s="1"/>
  <c r="AH976" i="3" l="1"/>
  <c r="E976" i="3"/>
  <c r="H976" i="3" s="1"/>
  <c r="D976" i="3"/>
  <c r="K976" i="3" l="1"/>
  <c r="AE976" i="3" s="1"/>
  <c r="F976" i="3"/>
  <c r="G976" i="3"/>
  <c r="I976" i="3" l="1"/>
  <c r="J976" i="3"/>
  <c r="M976" i="3"/>
  <c r="N976" i="3" s="1"/>
  <c r="V976" i="3"/>
  <c r="A977" i="3"/>
  <c r="B977" i="3" s="1"/>
  <c r="W976" i="3" l="1"/>
  <c r="L976" i="3"/>
  <c r="Z977" i="3"/>
  <c r="P977" i="3"/>
  <c r="Q977" i="3" s="1"/>
  <c r="R977" i="3" s="1"/>
  <c r="S977" i="3" s="1"/>
  <c r="AC977" i="3"/>
  <c r="AA977" i="3"/>
  <c r="AD977" i="3"/>
  <c r="T977" i="3" l="1"/>
  <c r="U976" i="3"/>
  <c r="Y975" i="3"/>
  <c r="E977" i="3" l="1"/>
  <c r="H977" i="3" s="1"/>
  <c r="K977" i="3" s="1"/>
  <c r="AE977" i="3" s="1"/>
  <c r="AG977" i="3"/>
  <c r="D977" i="3"/>
  <c r="G977" i="3" s="1"/>
  <c r="AH977" i="3"/>
  <c r="F977" i="3" l="1"/>
  <c r="I977" i="3"/>
  <c r="J977" i="3"/>
  <c r="M977" i="3"/>
  <c r="N977" i="3" s="1"/>
  <c r="V977" i="3"/>
  <c r="A978" i="3"/>
  <c r="B978" i="3" s="1"/>
  <c r="W977" i="3" l="1"/>
  <c r="L977" i="3"/>
  <c r="AC978" i="3"/>
  <c r="AD978" i="3"/>
  <c r="Z978" i="3"/>
  <c r="AA978" i="3"/>
  <c r="P978" i="3"/>
  <c r="Q978" i="3" s="1"/>
  <c r="R978" i="3" s="1"/>
  <c r="S978" i="3" s="1"/>
  <c r="T978" i="3" l="1"/>
  <c r="U977" i="3"/>
  <c r="Y976" i="3"/>
  <c r="D978" i="3" l="1"/>
  <c r="G978" i="3" s="1"/>
  <c r="E978" i="3"/>
  <c r="H978" i="3" s="1"/>
  <c r="K978" i="3" s="1"/>
  <c r="AE978" i="3" s="1"/>
  <c r="AH978" i="3"/>
  <c r="AG978" i="3"/>
  <c r="F978" i="3" l="1"/>
  <c r="I978" i="3"/>
  <c r="J978" i="3"/>
  <c r="M978" i="3"/>
  <c r="N978" i="3" s="1"/>
  <c r="V978" i="3"/>
  <c r="A979" i="3"/>
  <c r="B979" i="3" s="1"/>
  <c r="W978" i="3" l="1"/>
  <c r="L978" i="3"/>
  <c r="AC979" i="3"/>
  <c r="AA979" i="3"/>
  <c r="AD979" i="3"/>
  <c r="Z979" i="3"/>
  <c r="P979" i="3"/>
  <c r="Q979" i="3" s="1"/>
  <c r="R979" i="3" s="1"/>
  <c r="S979" i="3" s="1"/>
  <c r="T979" i="3" l="1"/>
  <c r="U978" i="3"/>
  <c r="Y977" i="3"/>
  <c r="D979" i="3" l="1"/>
  <c r="G979" i="3" s="1"/>
  <c r="AH979" i="3"/>
  <c r="E979" i="3"/>
  <c r="H979" i="3" s="1"/>
  <c r="K979" i="3" s="1"/>
  <c r="AE979" i="3" s="1"/>
  <c r="AG979" i="3"/>
  <c r="F979" i="3" l="1"/>
  <c r="V979" i="3"/>
  <c r="A980" i="3"/>
  <c r="B980" i="3" s="1"/>
  <c r="I979" i="3"/>
  <c r="J979" i="3"/>
  <c r="M979" i="3"/>
  <c r="N979" i="3" s="1"/>
  <c r="W979" i="3" l="1"/>
  <c r="L979" i="3"/>
  <c r="P980" i="3"/>
  <c r="Q980" i="3" s="1"/>
  <c r="R980" i="3" s="1"/>
  <c r="S980" i="3" s="1"/>
  <c r="AA980" i="3"/>
  <c r="AD980" i="3"/>
  <c r="AC980" i="3"/>
  <c r="Z980" i="3"/>
  <c r="U979" i="3" l="1"/>
  <c r="Y978" i="3"/>
  <c r="T980" i="3"/>
  <c r="AH980" i="3" s="1"/>
  <c r="D980" i="3" l="1"/>
  <c r="G980" i="3" s="1"/>
  <c r="E980" i="3"/>
  <c r="H980" i="3" s="1"/>
  <c r="K980" i="3" s="1"/>
  <c r="AE980" i="3" s="1"/>
  <c r="AG980" i="3"/>
  <c r="F980" i="3" l="1"/>
  <c r="I980" i="3"/>
  <c r="J980" i="3"/>
  <c r="M980" i="3"/>
  <c r="N980" i="3" s="1"/>
  <c r="V980" i="3"/>
  <c r="A981" i="3"/>
  <c r="B981" i="3" s="1"/>
  <c r="W980" i="3" l="1"/>
  <c r="L980" i="3"/>
  <c r="AD981" i="3"/>
  <c r="AA981" i="3"/>
  <c r="AC981" i="3"/>
  <c r="Z981" i="3"/>
  <c r="P981" i="3"/>
  <c r="Q981" i="3" s="1"/>
  <c r="R981" i="3" s="1"/>
  <c r="S981" i="3" s="1"/>
  <c r="U980" i="3" l="1"/>
  <c r="Y979" i="3"/>
  <c r="T981" i="3"/>
  <c r="AH981" i="3" s="1"/>
  <c r="D981" i="3" l="1"/>
  <c r="G981" i="3" s="1"/>
  <c r="AG981" i="3"/>
  <c r="E981" i="3"/>
  <c r="H981" i="3" s="1"/>
  <c r="F981" i="3" l="1"/>
  <c r="I981" i="3"/>
  <c r="J981" i="3"/>
  <c r="M981" i="3"/>
  <c r="N981" i="3" s="1"/>
  <c r="K981" i="3"/>
  <c r="AE981" i="3" s="1"/>
  <c r="V981" i="3" l="1"/>
  <c r="W981" i="3" s="1"/>
  <c r="A982" i="3"/>
  <c r="B982" i="3" s="1"/>
  <c r="L981" i="3"/>
  <c r="U981" i="3" l="1"/>
  <c r="Y980" i="3"/>
  <c r="P982" i="3"/>
  <c r="Q982" i="3" s="1"/>
  <c r="R982" i="3" s="1"/>
  <c r="S982" i="3" s="1"/>
  <c r="AD982" i="3"/>
  <c r="AC982" i="3"/>
  <c r="AA982" i="3"/>
  <c r="Z982" i="3"/>
  <c r="T982" i="3" l="1"/>
  <c r="E982" i="3" s="1"/>
  <c r="H982" i="3" s="1"/>
  <c r="AG982" i="3" l="1"/>
  <c r="AH982" i="3"/>
  <c r="D982" i="3"/>
  <c r="G982" i="3" s="1"/>
  <c r="K982" i="3"/>
  <c r="AE982" i="3" s="1"/>
  <c r="F982" i="3" l="1"/>
  <c r="I982" i="3"/>
  <c r="J982" i="3"/>
  <c r="M982" i="3"/>
  <c r="N982" i="3" s="1"/>
  <c r="V982" i="3"/>
  <c r="A983" i="3"/>
  <c r="B983" i="3" s="1"/>
  <c r="W982" i="3" l="1"/>
  <c r="L982" i="3"/>
  <c r="AD983" i="3"/>
  <c r="Z983" i="3"/>
  <c r="P983" i="3"/>
  <c r="Q983" i="3" s="1"/>
  <c r="R983" i="3" s="1"/>
  <c r="S983" i="3" s="1"/>
  <c r="AA983" i="3"/>
  <c r="AC983" i="3"/>
  <c r="U982" i="3" l="1"/>
  <c r="Y981" i="3"/>
  <c r="T983" i="3"/>
  <c r="AG983" i="3" s="1"/>
  <c r="E983" i="3" l="1"/>
  <c r="H983" i="3" s="1"/>
  <c r="K983" i="3" s="1"/>
  <c r="AE983" i="3" s="1"/>
  <c r="D983" i="3"/>
  <c r="AH983" i="3"/>
  <c r="F983" i="3" l="1"/>
  <c r="G983" i="3"/>
  <c r="M983" i="3" s="1"/>
  <c r="N983" i="3" s="1"/>
  <c r="V983" i="3"/>
  <c r="A984" i="3"/>
  <c r="B984" i="3" s="1"/>
  <c r="I983" i="3" l="1"/>
  <c r="W983" i="3" s="1"/>
  <c r="J983" i="3"/>
  <c r="L983" i="3" s="1"/>
  <c r="P984" i="3"/>
  <c r="Q984" i="3" s="1"/>
  <c r="R984" i="3" s="1"/>
  <c r="S984" i="3" s="1"/>
  <c r="AA984" i="3"/>
  <c r="Z984" i="3"/>
  <c r="AC984" i="3"/>
  <c r="U983" i="3" l="1"/>
  <c r="Y982" i="3"/>
  <c r="T984" i="3"/>
  <c r="E984" i="3" l="1"/>
  <c r="H984" i="3" s="1"/>
  <c r="K984" i="3" s="1"/>
  <c r="AE984" i="3" s="1"/>
  <c r="AG984" i="3"/>
  <c r="D984" i="3"/>
  <c r="AH984" i="3"/>
  <c r="F984" i="3" l="1"/>
  <c r="G984" i="3"/>
  <c r="V984" i="3"/>
  <c r="A985" i="3"/>
  <c r="B985" i="3" s="1"/>
  <c r="AA985" i="3" l="1"/>
  <c r="Z985" i="3"/>
  <c r="P985" i="3"/>
  <c r="Q985" i="3" s="1"/>
  <c r="R985" i="3" s="1"/>
  <c r="S985" i="3" s="1"/>
  <c r="AC985" i="3"/>
  <c r="I984" i="3"/>
  <c r="W984" i="3" s="1"/>
  <c r="J984" i="3"/>
  <c r="AD984" i="3" s="1"/>
  <c r="M984" i="3"/>
  <c r="N984" i="3" s="1"/>
  <c r="T985" i="3" l="1"/>
  <c r="L984" i="3"/>
  <c r="AG985" i="3" l="1"/>
  <c r="AH985" i="3"/>
  <c r="U984" i="3"/>
  <c r="D985" i="3" s="1"/>
  <c r="Y983" i="3"/>
  <c r="G985" i="3" l="1"/>
  <c r="E985" i="3"/>
  <c r="H985" i="3" s="1"/>
  <c r="I985" i="3" l="1"/>
  <c r="J985" i="3"/>
  <c r="AD985" i="3" s="1"/>
  <c r="M985" i="3"/>
  <c r="N985" i="3" s="1"/>
  <c r="F985" i="3"/>
  <c r="K985" i="3"/>
  <c r="AE985" i="3" s="1"/>
  <c r="L985" i="3" l="1"/>
  <c r="V985" i="3"/>
  <c r="W985" i="3" s="1"/>
  <c r="A986" i="3"/>
  <c r="B986" i="3" s="1"/>
  <c r="U985" i="3" l="1"/>
  <c r="Y984" i="3"/>
  <c r="AC986" i="3"/>
  <c r="P986" i="3"/>
  <c r="Q986" i="3" s="1"/>
  <c r="R986" i="3" s="1"/>
  <c r="S986" i="3" s="1"/>
  <c r="Z986" i="3"/>
  <c r="AA986" i="3"/>
  <c r="T986" i="3" l="1"/>
  <c r="E986" i="3" s="1"/>
  <c r="H986" i="3" s="1"/>
  <c r="AG986" i="3" l="1"/>
  <c r="K986" i="3"/>
  <c r="AE986" i="3" s="1"/>
  <c r="AH986" i="3"/>
  <c r="D986" i="3"/>
  <c r="F986" i="3" l="1"/>
  <c r="G986" i="3"/>
  <c r="V986" i="3"/>
  <c r="A987" i="3"/>
  <c r="B987" i="3" s="1"/>
  <c r="Z987" i="3" l="1"/>
  <c r="AC987" i="3"/>
  <c r="P987" i="3"/>
  <c r="Q987" i="3" s="1"/>
  <c r="R987" i="3" s="1"/>
  <c r="S987" i="3" s="1"/>
  <c r="AA987" i="3"/>
  <c r="I986" i="3"/>
  <c r="W986" i="3" s="1"/>
  <c r="J986" i="3"/>
  <c r="AD986" i="3" s="1"/>
  <c r="M986" i="3"/>
  <c r="N986" i="3" s="1"/>
  <c r="L986" i="3" l="1"/>
  <c r="T987" i="3"/>
  <c r="U986" i="3" l="1"/>
  <c r="E987" i="3" s="1"/>
  <c r="H987" i="3" s="1"/>
  <c r="AH987" i="3"/>
  <c r="AG987" i="3"/>
  <c r="Y985" i="3"/>
  <c r="K987" i="3" l="1"/>
  <c r="AE987" i="3" s="1"/>
  <c r="D987" i="3"/>
  <c r="V987" i="3" l="1"/>
  <c r="A988" i="3"/>
  <c r="B988" i="3" s="1"/>
  <c r="F987" i="3"/>
  <c r="G987" i="3"/>
  <c r="I987" i="3" l="1"/>
  <c r="W987" i="3" s="1"/>
  <c r="J987" i="3"/>
  <c r="AD987" i="3" s="1"/>
  <c r="M987" i="3"/>
  <c r="N987" i="3" s="1"/>
  <c r="AC988" i="3"/>
  <c r="Z988" i="3"/>
  <c r="AA988" i="3"/>
  <c r="P988" i="3"/>
  <c r="Q988" i="3" s="1"/>
  <c r="R988" i="3" s="1"/>
  <c r="S988" i="3" s="1"/>
  <c r="L987" i="3" l="1"/>
  <c r="T988" i="3"/>
  <c r="AH988" i="3" l="1"/>
  <c r="U987" i="3"/>
  <c r="E988" i="3" s="1"/>
  <c r="H988" i="3" s="1"/>
  <c r="AG988" i="3"/>
  <c r="Y986" i="3"/>
  <c r="D988" i="3" l="1"/>
  <c r="G988" i="3" s="1"/>
  <c r="K988" i="3"/>
  <c r="AE988" i="3" s="1"/>
  <c r="F988" i="3" l="1"/>
  <c r="I988" i="3"/>
  <c r="J988" i="3"/>
  <c r="AD988" i="3" s="1"/>
  <c r="M988" i="3"/>
  <c r="N988" i="3" s="1"/>
  <c r="V988" i="3"/>
  <c r="A989" i="3"/>
  <c r="B989" i="3" s="1"/>
  <c r="W988" i="3" l="1"/>
  <c r="L988" i="3"/>
  <c r="AC989" i="3"/>
  <c r="P989" i="3"/>
  <c r="Q989" i="3" s="1"/>
  <c r="R989" i="3" s="1"/>
  <c r="S989" i="3" s="1"/>
  <c r="Z989" i="3"/>
  <c r="AA989" i="3"/>
  <c r="T989" i="3" l="1"/>
  <c r="U988" i="3"/>
  <c r="Y987" i="3"/>
  <c r="D989" i="3" l="1"/>
  <c r="G989" i="3" s="1"/>
  <c r="AG989" i="3"/>
  <c r="E989" i="3"/>
  <c r="H989" i="3" s="1"/>
  <c r="AH989" i="3"/>
  <c r="F989" i="3" l="1"/>
  <c r="I989" i="3"/>
  <c r="J989" i="3"/>
  <c r="AD989" i="3" s="1"/>
  <c r="M989" i="3"/>
  <c r="N989" i="3" s="1"/>
  <c r="K989" i="3"/>
  <c r="AE989" i="3" s="1"/>
  <c r="L989" i="3" l="1"/>
  <c r="V989" i="3"/>
  <c r="W989" i="3" s="1"/>
  <c r="A990" i="3"/>
  <c r="B990" i="3" s="1"/>
  <c r="U989" i="3" l="1"/>
  <c r="Y988" i="3"/>
  <c r="AC990" i="3"/>
  <c r="AA990" i="3"/>
  <c r="Z990" i="3"/>
  <c r="P990" i="3"/>
  <c r="Q990" i="3" s="1"/>
  <c r="R990" i="3" s="1"/>
  <c r="S990" i="3" s="1"/>
  <c r="T990" i="3" l="1"/>
  <c r="E990" i="3" s="1"/>
  <c r="H990" i="3" s="1"/>
  <c r="AH990" i="3" l="1"/>
  <c r="D990" i="3"/>
  <c r="G990" i="3" s="1"/>
  <c r="AG990" i="3"/>
  <c r="K990" i="3"/>
  <c r="AE990" i="3" s="1"/>
  <c r="F990" i="3" l="1"/>
  <c r="V990" i="3"/>
  <c r="A991" i="3"/>
  <c r="B991" i="3" s="1"/>
  <c r="I990" i="3"/>
  <c r="J990" i="3"/>
  <c r="AD990" i="3" s="1"/>
  <c r="M990" i="3"/>
  <c r="N990" i="3" s="1"/>
  <c r="L990" i="3" l="1"/>
  <c r="W990" i="3"/>
  <c r="AA991" i="3"/>
  <c r="P991" i="3"/>
  <c r="Q991" i="3" s="1"/>
  <c r="R991" i="3" s="1"/>
  <c r="S991" i="3" s="1"/>
  <c r="Z991" i="3"/>
  <c r="AC991" i="3"/>
  <c r="U990" i="3" l="1"/>
  <c r="Y989" i="3"/>
  <c r="T991" i="3"/>
  <c r="D991" i="3" l="1"/>
  <c r="G991" i="3" s="1"/>
  <c r="E991" i="3"/>
  <c r="H991" i="3" s="1"/>
  <c r="K991" i="3" s="1"/>
  <c r="AE991" i="3" s="1"/>
  <c r="AG991" i="3"/>
  <c r="AH991" i="3"/>
  <c r="F991" i="3" l="1"/>
  <c r="V991" i="3"/>
  <c r="A992" i="3"/>
  <c r="B992" i="3" s="1"/>
  <c r="I991" i="3"/>
  <c r="J991" i="3"/>
  <c r="AD991" i="3" s="1"/>
  <c r="M991" i="3"/>
  <c r="N991" i="3" s="1"/>
  <c r="W991" i="3" l="1"/>
  <c r="L991" i="3"/>
  <c r="AC992" i="3"/>
  <c r="Z992" i="3"/>
  <c r="AA992" i="3"/>
  <c r="P992" i="3"/>
  <c r="Q992" i="3" s="1"/>
  <c r="R992" i="3" s="1"/>
  <c r="S992" i="3" s="1"/>
  <c r="U991" i="3" l="1"/>
  <c r="Y990" i="3"/>
  <c r="T992" i="3"/>
  <c r="AG992" i="3" s="1"/>
  <c r="D992" i="3" l="1"/>
  <c r="AH992" i="3"/>
  <c r="E992" i="3"/>
  <c r="H992" i="3" s="1"/>
  <c r="K992" i="3" s="1"/>
  <c r="AE992" i="3" s="1"/>
  <c r="F992" i="3" l="1"/>
  <c r="G992" i="3"/>
  <c r="M992" i="3" s="1"/>
  <c r="N992" i="3" s="1"/>
  <c r="V992" i="3"/>
  <c r="A993" i="3"/>
  <c r="B993" i="3" s="1"/>
  <c r="I992" i="3" l="1"/>
  <c r="W992" i="3" s="1"/>
  <c r="J992" i="3"/>
  <c r="Z993" i="3"/>
  <c r="AA993" i="3"/>
  <c r="P993" i="3"/>
  <c r="Q993" i="3" s="1"/>
  <c r="R993" i="3" s="1"/>
  <c r="S993" i="3" s="1"/>
  <c r="AC993" i="3"/>
  <c r="L992" i="3" l="1"/>
  <c r="AD992" i="3"/>
  <c r="U992" i="3"/>
  <c r="Y991" i="3"/>
  <c r="T993" i="3"/>
  <c r="AH993" i="3" s="1"/>
  <c r="D993" i="3" l="1"/>
  <c r="G993" i="3" s="1"/>
  <c r="E993" i="3"/>
  <c r="H993" i="3" s="1"/>
  <c r="K993" i="3" s="1"/>
  <c r="AE993" i="3" s="1"/>
  <c r="AG993" i="3"/>
  <c r="F993" i="3" l="1"/>
  <c r="V993" i="3"/>
  <c r="A994" i="3"/>
  <c r="B994" i="3" s="1"/>
  <c r="I993" i="3"/>
  <c r="J993" i="3"/>
  <c r="AD993" i="3" s="1"/>
  <c r="M993" i="3"/>
  <c r="N993" i="3" s="1"/>
  <c r="L993" i="3" l="1"/>
  <c r="W993" i="3"/>
  <c r="AA994" i="3"/>
  <c r="P994" i="3"/>
  <c r="Q994" i="3" s="1"/>
  <c r="R994" i="3" s="1"/>
  <c r="S994" i="3" s="1"/>
  <c r="Z994" i="3"/>
  <c r="AC994" i="3"/>
  <c r="U993" i="3" l="1"/>
  <c r="Y992" i="3"/>
  <c r="T994" i="3"/>
  <c r="AH994" i="3" s="1"/>
  <c r="E994" i="3" l="1"/>
  <c r="H994" i="3" s="1"/>
  <c r="K994" i="3" s="1"/>
  <c r="AE994" i="3" s="1"/>
  <c r="D994" i="3"/>
  <c r="AG994" i="3"/>
  <c r="F994" i="3" l="1"/>
  <c r="G994" i="3"/>
  <c r="J994" i="3" s="1"/>
  <c r="AD994" i="3" s="1"/>
  <c r="V994" i="3"/>
  <c r="A995" i="3"/>
  <c r="B995" i="3" s="1"/>
  <c r="M994" i="3" l="1"/>
  <c r="N994" i="3" s="1"/>
  <c r="I994" i="3"/>
  <c r="W994" i="3" s="1"/>
  <c r="L994" i="3"/>
  <c r="AA995" i="3"/>
  <c r="AD995" i="3"/>
  <c r="P995" i="3"/>
  <c r="Q995" i="3" s="1"/>
  <c r="R995" i="3" s="1"/>
  <c r="S995" i="3" s="1"/>
  <c r="AC995" i="3"/>
  <c r="Z995" i="3"/>
  <c r="T995" i="3" l="1"/>
  <c r="U994" i="3"/>
  <c r="Y993" i="3"/>
  <c r="D995" i="3" l="1"/>
  <c r="G995" i="3" s="1"/>
  <c r="E995" i="3"/>
  <c r="H995" i="3" s="1"/>
  <c r="K995" i="3" s="1"/>
  <c r="AE995" i="3" s="1"/>
  <c r="AH995" i="3"/>
  <c r="AG995" i="3"/>
  <c r="F995" i="3" l="1"/>
  <c r="I995" i="3"/>
  <c r="J995" i="3"/>
  <c r="M995" i="3"/>
  <c r="N995" i="3" s="1"/>
  <c r="V995" i="3"/>
  <c r="A996" i="3"/>
  <c r="B996" i="3" s="1"/>
  <c r="W995" i="3" l="1"/>
  <c r="L995" i="3"/>
  <c r="Z996" i="3"/>
  <c r="AD996" i="3"/>
  <c r="P996" i="3"/>
  <c r="Q996" i="3" s="1"/>
  <c r="R996" i="3" s="1"/>
  <c r="S996" i="3" s="1"/>
  <c r="AA996" i="3"/>
  <c r="AC996" i="3"/>
  <c r="U995" i="3" l="1"/>
  <c r="Y994" i="3"/>
  <c r="T996" i="3"/>
  <c r="D996" i="3" l="1"/>
  <c r="G996" i="3" s="1"/>
  <c r="AG996" i="3"/>
  <c r="E996" i="3"/>
  <c r="H996" i="3" s="1"/>
  <c r="K996" i="3" s="1"/>
  <c r="AE996" i="3" s="1"/>
  <c r="AH996" i="3"/>
  <c r="F996" i="3" l="1"/>
  <c r="I996" i="3"/>
  <c r="J996" i="3"/>
  <c r="M996" i="3"/>
  <c r="N996" i="3" s="1"/>
  <c r="V996" i="3"/>
  <c r="A997" i="3"/>
  <c r="B997" i="3" s="1"/>
  <c r="AD997" i="3" l="1"/>
  <c r="P997" i="3"/>
  <c r="Q997" i="3" s="1"/>
  <c r="R997" i="3" s="1"/>
  <c r="S997" i="3" s="1"/>
  <c r="Z997" i="3"/>
  <c r="AA997" i="3"/>
  <c r="AC997" i="3"/>
  <c r="L996" i="3"/>
  <c r="W996" i="3"/>
  <c r="U996" i="3" l="1"/>
  <c r="Y995" i="3"/>
  <c r="T997" i="3"/>
  <c r="AH997" i="3" s="1"/>
  <c r="AG997" i="3" l="1"/>
  <c r="D997" i="3"/>
  <c r="E997" i="3"/>
  <c r="H997" i="3" s="1"/>
  <c r="K997" i="3" s="1"/>
  <c r="AE997" i="3" s="1"/>
  <c r="F997" i="3" l="1"/>
  <c r="G997" i="3"/>
  <c r="I997" i="3" s="1"/>
  <c r="V997" i="3"/>
  <c r="A998" i="3"/>
  <c r="B998" i="3" s="1"/>
  <c r="J997" i="3" l="1"/>
  <c r="L997" i="3" s="1"/>
  <c r="M997" i="3"/>
  <c r="N997" i="3" s="1"/>
  <c r="W997" i="3"/>
  <c r="Z998" i="3"/>
  <c r="P998" i="3"/>
  <c r="Q998" i="3" s="1"/>
  <c r="R998" i="3" s="1"/>
  <c r="S998" i="3" s="1"/>
  <c r="AD998" i="3"/>
  <c r="AC998" i="3"/>
  <c r="AA998" i="3"/>
  <c r="T998" i="3" l="1"/>
  <c r="AG998" i="3" s="1"/>
  <c r="U997" i="3"/>
  <c r="Y996" i="3"/>
  <c r="E998" i="3" l="1"/>
  <c r="H998" i="3" s="1"/>
  <c r="K998" i="3" s="1"/>
  <c r="AE998" i="3" s="1"/>
  <c r="AH998" i="3"/>
  <c r="D998" i="3"/>
  <c r="V998" i="3" l="1"/>
  <c r="A999" i="3"/>
  <c r="B999" i="3" s="1"/>
  <c r="F998" i="3"/>
  <c r="G998" i="3"/>
  <c r="I998" i="3" l="1"/>
  <c r="W998" i="3" s="1"/>
  <c r="J998" i="3"/>
  <c r="M998" i="3"/>
  <c r="N998" i="3" s="1"/>
  <c r="AD999" i="3"/>
  <c r="Z999" i="3"/>
  <c r="AC999" i="3"/>
  <c r="AA999" i="3"/>
  <c r="P999" i="3"/>
  <c r="Q999" i="3" s="1"/>
  <c r="R999" i="3" s="1"/>
  <c r="S999" i="3" s="1"/>
  <c r="T999" i="3" l="1"/>
  <c r="L998" i="3"/>
  <c r="AG999" i="3" l="1"/>
  <c r="U998" i="3"/>
  <c r="D999" i="3" s="1"/>
  <c r="AH999" i="3"/>
  <c r="Y997" i="3"/>
  <c r="E999" i="3" l="1"/>
  <c r="H999" i="3" s="1"/>
  <c r="K999" i="3" s="1"/>
  <c r="AE999" i="3" s="1"/>
  <c r="G999" i="3"/>
  <c r="F999" i="3" l="1"/>
  <c r="I999" i="3"/>
  <c r="J999" i="3"/>
  <c r="M999" i="3"/>
  <c r="N999" i="3" s="1"/>
  <c r="V999" i="3"/>
  <c r="A1000" i="3"/>
  <c r="B1000" i="3" s="1"/>
  <c r="W999" i="3" l="1"/>
  <c r="L999" i="3"/>
  <c r="AC1000" i="3"/>
  <c r="AD1000" i="3"/>
  <c r="P1000" i="3"/>
  <c r="Q1000" i="3" s="1"/>
  <c r="R1000" i="3" s="1"/>
  <c r="S1000" i="3" s="1"/>
  <c r="Z1000" i="3"/>
  <c r="AA1000" i="3"/>
  <c r="U999" i="3" l="1"/>
  <c r="Y998" i="3"/>
  <c r="T1000" i="3"/>
  <c r="AG1000" i="3" s="1"/>
  <c r="D1000" i="3" l="1"/>
  <c r="G1000" i="3" s="1"/>
  <c r="AH1000" i="3"/>
  <c r="E1000" i="3"/>
  <c r="H1000" i="3" s="1"/>
  <c r="K1000" i="3" s="1"/>
  <c r="AE1000" i="3" s="1"/>
  <c r="F1000" i="3" l="1"/>
  <c r="I1000" i="3"/>
  <c r="J1000" i="3"/>
  <c r="M1000" i="3"/>
  <c r="N1000" i="3" s="1"/>
  <c r="V1000" i="3"/>
  <c r="W1000" i="3" s="1"/>
  <c r="A1001" i="3"/>
  <c r="B1001" i="3" s="1"/>
  <c r="L1000" i="3" l="1"/>
  <c r="P1001" i="3"/>
  <c r="Q1001" i="3" s="1"/>
  <c r="R1001" i="3" s="1"/>
  <c r="S1001" i="3" s="1"/>
  <c r="Z1001" i="3"/>
  <c r="AC1001" i="3"/>
  <c r="AA1001" i="3"/>
  <c r="AD1001" i="3"/>
  <c r="U1000" i="3" l="1"/>
  <c r="Y999" i="3"/>
  <c r="T1001" i="3"/>
  <c r="D1001" i="3" l="1"/>
  <c r="G1001" i="3" s="1"/>
  <c r="E1001" i="3"/>
  <c r="H1001" i="3" s="1"/>
  <c r="AG1001" i="3"/>
  <c r="AH1001" i="3"/>
  <c r="F1001" i="3" l="1"/>
  <c r="I1001" i="3"/>
  <c r="J1001" i="3"/>
  <c r="M1001" i="3"/>
  <c r="N1001" i="3" s="1"/>
  <c r="K1001" i="3"/>
  <c r="AE1001" i="3" s="1"/>
  <c r="V1001" i="3" l="1"/>
  <c r="W1001" i="3" s="1"/>
  <c r="A1002" i="3"/>
  <c r="B1002" i="3" s="1"/>
  <c r="L1001" i="3"/>
  <c r="U1001" i="3" l="1"/>
  <c r="Y1000" i="3"/>
  <c r="AD1002" i="3"/>
  <c r="AA1002" i="3"/>
  <c r="Z1002" i="3"/>
  <c r="AC1002" i="3"/>
  <c r="P1002" i="3"/>
  <c r="Q1002" i="3" s="1"/>
  <c r="R1002" i="3" s="1"/>
  <c r="S1002" i="3" s="1"/>
  <c r="T1002" i="3" l="1"/>
  <c r="AG1002" i="3" s="1"/>
  <c r="AH1002" i="3" l="1"/>
  <c r="D1002" i="3"/>
  <c r="G1002" i="3" s="1"/>
  <c r="E1002" i="3"/>
  <c r="H1002" i="3" s="1"/>
  <c r="K1002" i="3" s="1"/>
  <c r="AE1002" i="3" s="1"/>
  <c r="F1002" i="3" l="1"/>
  <c r="I1002" i="3"/>
  <c r="J1002" i="3"/>
  <c r="M1002" i="3"/>
  <c r="N1002" i="3" s="1"/>
  <c r="V1002" i="3"/>
  <c r="A1003" i="3"/>
  <c r="B1003" i="3" s="1"/>
  <c r="W1002" i="3" l="1"/>
  <c r="L1002" i="3"/>
  <c r="AC1003" i="3"/>
  <c r="P1003" i="3"/>
  <c r="Q1003" i="3" s="1"/>
  <c r="R1003" i="3" s="1"/>
  <c r="S1003" i="3" s="1"/>
  <c r="AA1003" i="3"/>
  <c r="Z1003" i="3"/>
  <c r="AD1003" i="3"/>
  <c r="T1003" i="3" l="1"/>
  <c r="AH1003" i="3" s="1"/>
  <c r="U1002" i="3"/>
  <c r="Y1001" i="3"/>
  <c r="D1003" i="3" l="1"/>
  <c r="G1003" i="3" s="1"/>
  <c r="E1003" i="3"/>
  <c r="H1003" i="3" s="1"/>
  <c r="K1003" i="3" s="1"/>
  <c r="AE1003" i="3" s="1"/>
  <c r="AG1003" i="3"/>
  <c r="F1003" i="3" l="1"/>
  <c r="I1003" i="3"/>
  <c r="J1003" i="3"/>
  <c r="M1003" i="3"/>
  <c r="N1003" i="3" s="1"/>
  <c r="V1003" i="3"/>
  <c r="W1003" i="3" s="1"/>
  <c r="A1004" i="3"/>
  <c r="B1004" i="3" s="1"/>
  <c r="L1003" i="3" l="1"/>
  <c r="P1004" i="3"/>
  <c r="Q1004" i="3" s="1"/>
  <c r="R1004" i="3" s="1"/>
  <c r="S1004" i="3" s="1"/>
  <c r="T1004" i="3" s="1"/>
  <c r="AA1004" i="3"/>
  <c r="Z1004" i="3"/>
  <c r="AC1004" i="3"/>
  <c r="AG1004" i="3" l="1"/>
  <c r="AH1004" i="3"/>
  <c r="U1003" i="3"/>
  <c r="D1004" i="3" s="1"/>
  <c r="Y1002" i="3"/>
  <c r="J48" i="1"/>
  <c r="L48" i="1"/>
  <c r="I48" i="1"/>
  <c r="J25" i="1"/>
  <c r="K48" i="1"/>
  <c r="M48" i="1"/>
  <c r="K25" i="1"/>
  <c r="I25" i="1"/>
  <c r="K27" i="1"/>
  <c r="I46" i="1"/>
  <c r="L46" i="1"/>
  <c r="M46" i="1"/>
  <c r="K46" i="1"/>
  <c r="J46" i="1"/>
  <c r="I27" i="1"/>
  <c r="J27" i="1"/>
  <c r="E1004" i="3" l="1"/>
  <c r="H1004" i="3" s="1"/>
  <c r="K1004" i="3" s="1"/>
  <c r="AE1004" i="3" s="1"/>
  <c r="C122" i="1"/>
  <c r="C155" i="1"/>
  <c r="C31" i="1"/>
  <c r="C126" i="1"/>
  <c r="C121" i="1"/>
  <c r="C124" i="1"/>
  <c r="C33" i="1"/>
  <c r="J47" i="1" s="1"/>
  <c r="C129" i="1"/>
  <c r="C130" i="1" s="1"/>
  <c r="M25" i="1"/>
  <c r="I72" i="7"/>
  <c r="I73" i="7" s="1"/>
  <c r="I70" i="7"/>
  <c r="G1004" i="3"/>
  <c r="B128" i="1"/>
  <c r="B123" i="1"/>
  <c r="B127" i="1"/>
  <c r="D155" i="1"/>
  <c r="B124" i="1"/>
  <c r="B126" i="1"/>
  <c r="B129" i="1"/>
  <c r="B125" i="1"/>
  <c r="D31" i="1"/>
  <c r="D33" i="1"/>
  <c r="J49" i="1" s="1"/>
  <c r="C146" i="1"/>
  <c r="C147" i="1" s="1"/>
  <c r="C138" i="1"/>
  <c r="C141" i="1"/>
  <c r="C143" i="1"/>
  <c r="C139" i="1"/>
  <c r="B140" i="1"/>
  <c r="B143" i="1"/>
  <c r="B142" i="1"/>
  <c r="B146" i="1"/>
  <c r="B144" i="1"/>
  <c r="B141" i="1"/>
  <c r="B145" i="1"/>
  <c r="M27" i="1"/>
  <c r="H72" i="7"/>
  <c r="H73" i="7" s="1"/>
  <c r="H70" i="7"/>
  <c r="F1004" i="3" l="1"/>
  <c r="L24" i="1" s="1"/>
  <c r="H49" i="1"/>
  <c r="D32" i="1"/>
  <c r="L42" i="1"/>
  <c r="I1004" i="3"/>
  <c r="J1004" i="3"/>
  <c r="M1004" i="3"/>
  <c r="N1004" i="3" s="1"/>
  <c r="E31" i="7"/>
  <c r="H47" i="1"/>
  <c r="C32" i="1"/>
  <c r="V1004" i="3"/>
  <c r="L1004" i="3" l="1"/>
  <c r="Y1004" i="3" s="1"/>
  <c r="AD1004" i="3"/>
  <c r="W1004" i="3"/>
  <c r="B135" i="1"/>
  <c r="B137" i="1"/>
  <c r="B133" i="1"/>
  <c r="B132" i="1" s="1"/>
  <c r="F133" i="1"/>
  <c r="F134" i="1"/>
  <c r="C133" i="1"/>
  <c r="C135" i="1"/>
  <c r="K24" i="1"/>
  <c r="K42" i="1"/>
  <c r="B150" i="1"/>
  <c r="B149" i="1" s="1"/>
  <c r="B154" i="1"/>
  <c r="B152" i="1"/>
  <c r="M41" i="1"/>
  <c r="H117" i="7"/>
  <c r="E62" i="7"/>
  <c r="F62" i="7" s="1"/>
  <c r="E120" i="7"/>
  <c r="F120" i="7" s="1"/>
  <c r="E119" i="7"/>
  <c r="F119" i="7" s="1"/>
  <c r="E133" i="7"/>
  <c r="E63" i="7"/>
  <c r="F63" i="7" s="1"/>
  <c r="H59" i="7"/>
  <c r="L31" i="7"/>
  <c r="E65" i="7"/>
  <c r="F65" i="7" s="1"/>
  <c r="Y1003" i="3" l="1"/>
  <c r="U1004" i="3"/>
  <c r="J43" i="1"/>
  <c r="I41" i="1"/>
  <c r="K41" i="1"/>
  <c r="H26" i="1"/>
  <c r="J31" i="7" s="1"/>
  <c r="L43" i="1"/>
  <c r="M43" i="1"/>
  <c r="K43" i="1"/>
  <c r="H43" i="1"/>
  <c r="I44" i="1"/>
  <c r="H44" i="1"/>
  <c r="J26" i="1"/>
  <c r="D161" i="1" s="1"/>
  <c r="M44" i="1"/>
  <c r="K26" i="1"/>
  <c r="K31" i="7" s="1"/>
  <c r="K23" i="1"/>
  <c r="S26" i="6" s="1"/>
  <c r="L41" i="1"/>
  <c r="L44" i="1"/>
  <c r="I26" i="1"/>
  <c r="B163" i="1" s="1"/>
  <c r="J41" i="1"/>
  <c r="I43" i="1"/>
  <c r="J44" i="1"/>
  <c r="H28" i="1"/>
  <c r="F151" i="1" s="1"/>
  <c r="M31" i="7"/>
  <c r="E121" i="7"/>
  <c r="F121" i="7" s="1"/>
  <c r="H116" i="7"/>
  <c r="H58" i="7"/>
  <c r="E64" i="7"/>
  <c r="F64" i="7" s="1"/>
  <c r="H55" i="7" l="1"/>
  <c r="H112" i="7"/>
  <c r="H53" i="7"/>
  <c r="P31" i="1"/>
  <c r="P32" i="1"/>
  <c r="I67" i="7"/>
  <c r="H41" i="1"/>
  <c r="K44" i="1"/>
  <c r="H45" i="1"/>
  <c r="M45" i="1"/>
  <c r="L45" i="1"/>
  <c r="K45" i="1"/>
  <c r="K28" i="1" s="1"/>
  <c r="M28" i="1" s="1"/>
  <c r="J45" i="1"/>
  <c r="J28" i="1"/>
  <c r="P30" i="1"/>
  <c r="F193" i="1"/>
  <c r="F190" i="1"/>
  <c r="F171" i="1"/>
  <c r="D186" i="1"/>
  <c r="F161" i="1"/>
  <c r="F163" i="1"/>
  <c r="D166" i="1"/>
  <c r="D192" i="1"/>
  <c r="D194" i="1"/>
  <c r="D196" i="1"/>
  <c r="D173" i="1"/>
  <c r="D168" i="1"/>
  <c r="D197" i="1"/>
  <c r="D159" i="1"/>
  <c r="D185" i="1"/>
  <c r="F194" i="1"/>
  <c r="D165" i="1"/>
  <c r="D191" i="1"/>
  <c r="F183" i="1"/>
  <c r="F162" i="1"/>
  <c r="F170" i="1"/>
  <c r="F184" i="1"/>
  <c r="F168" i="1"/>
  <c r="F169" i="1"/>
  <c r="D164" i="1"/>
  <c r="F21" i="1"/>
  <c r="D177" i="1"/>
  <c r="F197" i="1"/>
  <c r="D160" i="1"/>
  <c r="F196" i="1"/>
  <c r="D162" i="1"/>
  <c r="D170" i="1"/>
  <c r="D181" i="1"/>
  <c r="F164" i="1"/>
  <c r="F165" i="1"/>
  <c r="D190" i="1"/>
  <c r="F182" i="1"/>
  <c r="F166" i="1"/>
  <c r="H44" i="7"/>
  <c r="D171" i="1"/>
  <c r="D169" i="1"/>
  <c r="F172" i="1"/>
  <c r="D179" i="1"/>
  <c r="D189" i="1"/>
  <c r="D183" i="1"/>
  <c r="F160" i="1"/>
  <c r="F195" i="1"/>
  <c r="D193" i="1"/>
  <c r="F179" i="1"/>
  <c r="D188" i="1"/>
  <c r="F185" i="1"/>
  <c r="F159" i="1"/>
  <c r="F173" i="1"/>
  <c r="D163" i="1"/>
  <c r="D184" i="1"/>
  <c r="D195" i="1"/>
  <c r="F191" i="1"/>
  <c r="H11" i="7"/>
  <c r="F181" i="1"/>
  <c r="D180" i="1"/>
  <c r="F186" i="1"/>
  <c r="F180" i="1"/>
  <c r="F187" i="1"/>
  <c r="F178" i="1"/>
  <c r="D178" i="1"/>
  <c r="D182" i="1"/>
  <c r="F192" i="1"/>
  <c r="D174" i="1"/>
  <c r="F189" i="1"/>
  <c r="F167" i="1"/>
  <c r="D187" i="1"/>
  <c r="F188" i="1"/>
  <c r="D172" i="1"/>
  <c r="F174" i="1"/>
  <c r="F177" i="1"/>
  <c r="D167" i="1"/>
  <c r="B171" i="1"/>
  <c r="B181" i="1"/>
  <c r="B170" i="1"/>
  <c r="B186" i="1"/>
  <c r="B164" i="1"/>
  <c r="B175" i="1"/>
  <c r="B166" i="1"/>
  <c r="B174" i="1"/>
  <c r="B172" i="1"/>
  <c r="B184" i="1"/>
  <c r="H113" i="7"/>
  <c r="B180" i="1"/>
  <c r="B199" i="1"/>
  <c r="B188" i="1"/>
  <c r="B165" i="1"/>
  <c r="B185" i="1"/>
  <c r="B168" i="1"/>
  <c r="H114" i="7"/>
  <c r="B198" i="1"/>
  <c r="B197" i="1"/>
  <c r="B179" i="1"/>
  <c r="B191" i="1"/>
  <c r="C156" i="1"/>
  <c r="B192" i="1"/>
  <c r="E128" i="7"/>
  <c r="F128" i="7" s="1"/>
  <c r="B194" i="1"/>
  <c r="B173" i="1"/>
  <c r="B182" i="1"/>
  <c r="B190" i="1"/>
  <c r="B193" i="1"/>
  <c r="B176" i="1"/>
  <c r="B183" i="1"/>
  <c r="B195" i="1"/>
  <c r="F132" i="1"/>
  <c r="C134" i="1" s="1"/>
  <c r="B189" i="1"/>
  <c r="B162" i="1"/>
  <c r="B169" i="1"/>
  <c r="B196" i="1"/>
  <c r="H31" i="7"/>
  <c r="B161" i="1"/>
  <c r="B167" i="1"/>
  <c r="H54" i="7"/>
  <c r="B187" i="1"/>
  <c r="B158" i="1"/>
  <c r="H57" i="7"/>
  <c r="F150" i="1"/>
  <c r="B151" i="1" s="1"/>
  <c r="H115" i="7" l="1"/>
  <c r="S25" i="6"/>
  <c r="D31" i="7"/>
  <c r="D156" i="1"/>
  <c r="H19" i="7"/>
  <c r="C118" i="1"/>
  <c r="P29" i="1"/>
  <c r="B120" i="1"/>
  <c r="H56" i="7"/>
  <c r="E129" i="7"/>
  <c r="F129" i="7" s="1"/>
  <c r="B153" i="1"/>
  <c r="C132" i="1"/>
  <c r="C151" i="1"/>
  <c r="C149" i="1"/>
  <c r="B134" i="1"/>
  <c r="B13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M363040</author>
    <author>Léo Côme</author>
    <author>collectif</author>
  </authors>
  <commentList>
    <comment ref="M5" authorId="0" shapeId="0" xr:uid="{00000000-0006-0000-0000-000001000000}">
      <text>
        <r>
          <rPr>
            <sz val="8"/>
            <color indexed="8"/>
            <rFont val="Tahoma"/>
            <family val="2"/>
          </rPr>
          <t xml:space="preserve">Définir les propriétés du 1er changement de diamètre.
Laisser cette colonne vide si la fusée n'a pas de Jupe ou Rétreint.
</t>
        </r>
        <r>
          <rPr>
            <i/>
            <sz val="8"/>
            <color indexed="8"/>
            <rFont val="Tahoma"/>
            <family val="2"/>
          </rPr>
          <t>Set properties of the 1st diameter transition.
Leave this column blank if no skirt/shrink on the rocket.</t>
        </r>
      </text>
    </comment>
    <comment ref="O5" authorId="0" shapeId="0" xr:uid="{00000000-0006-0000-0000-000002000000}">
      <text>
        <r>
          <rPr>
            <sz val="8"/>
            <color indexed="8"/>
            <rFont val="Tahoma"/>
            <family val="2"/>
          </rPr>
          <t xml:space="preserve">Définir les propriétés du 2e changement de diamètre.
Laisser cette colonne vide si la fusée n'a pas de 2e Jupe ou Rétreint.
</t>
        </r>
        <r>
          <rPr>
            <i/>
            <sz val="8"/>
            <color indexed="8"/>
            <rFont val="Tahoma"/>
            <family val="2"/>
          </rPr>
          <t>Set properties of the 2nd diameter transition.
Leave this column blank if no 2nd skirt/shrink on the rocket.</t>
        </r>
      </text>
    </comment>
    <comment ref="L6" authorId="1" shapeId="0" xr:uid="{00000000-0006-0000-0000-000003000000}">
      <text>
        <r>
          <rPr>
            <b/>
            <sz val="8"/>
            <color indexed="8"/>
            <rFont val="Tahoma"/>
            <family val="2"/>
          </rPr>
          <t>Hauteur</t>
        </r>
        <r>
          <rPr>
            <sz val="8"/>
            <color indexed="8"/>
            <rFont val="Tahoma"/>
            <family val="2"/>
          </rPr>
          <t xml:space="preserve"> du changement de diamètre (cf. schéma sur fond bleu).
</t>
        </r>
        <r>
          <rPr>
            <i/>
            <sz val="8"/>
            <color indexed="8"/>
            <rFont val="Tahoma"/>
            <family val="2"/>
          </rPr>
          <t>Height of the tronconical transition (cf. blue schematic).</t>
        </r>
      </text>
    </comment>
    <comment ref="L7" authorId="1" shapeId="0" xr:uid="{00000000-0006-0000-0000-000004000000}">
      <text>
        <r>
          <rPr>
            <sz val="8"/>
            <color indexed="8"/>
            <rFont val="Tahoma"/>
            <family val="2"/>
          </rPr>
          <t xml:space="preserve">Diamètre de la partie située </t>
        </r>
        <r>
          <rPr>
            <b/>
            <sz val="8"/>
            <color indexed="8"/>
            <rFont val="Tahoma"/>
            <family val="2"/>
          </rPr>
          <t>au dessus</t>
        </r>
        <r>
          <rPr>
            <sz val="8"/>
            <color indexed="8"/>
            <rFont val="Tahoma"/>
            <family val="2"/>
          </rPr>
          <t xml:space="preserve"> du changement de diamètre.
</t>
        </r>
        <r>
          <rPr>
            <i/>
            <sz val="8"/>
            <color indexed="8"/>
            <rFont val="Tahoma"/>
            <family val="2"/>
          </rPr>
          <t>Upper Diameter (cf. blue schematic).</t>
        </r>
      </text>
    </comment>
    <comment ref="L8" authorId="1" shapeId="0" xr:uid="{00000000-0006-0000-0000-000005000000}">
      <text>
        <r>
          <rPr>
            <sz val="8"/>
            <color indexed="8"/>
            <rFont val="Tahoma"/>
            <family val="2"/>
          </rPr>
          <t xml:space="preserve">Diamètre de la partie située </t>
        </r>
        <r>
          <rPr>
            <b/>
            <sz val="8"/>
            <color indexed="8"/>
            <rFont val="Tahoma"/>
            <family val="2"/>
          </rPr>
          <t>en dessous</t>
        </r>
        <r>
          <rPr>
            <sz val="8"/>
            <color indexed="8"/>
            <rFont val="Tahoma"/>
            <family val="2"/>
          </rPr>
          <t xml:space="preserve"> du changement de diamètre.
</t>
        </r>
        <r>
          <rPr>
            <i/>
            <sz val="8"/>
            <color indexed="8"/>
            <rFont val="Tahoma"/>
            <family val="2"/>
          </rPr>
          <t>Lower Diameter (cf. blue schematic).</t>
        </r>
      </text>
    </comment>
    <comment ref="L9" authorId="0" shapeId="0" xr:uid="{00000000-0006-0000-0000-000006000000}">
      <text>
        <r>
          <rPr>
            <sz val="8"/>
            <color indexed="8"/>
            <rFont val="Tahoma"/>
            <family val="2"/>
          </rPr>
          <t xml:space="preserve">Distance entre la pointe de l'ogive et le haut du changement de diamètre.
</t>
        </r>
        <r>
          <rPr>
            <i/>
            <sz val="8"/>
            <color indexed="8"/>
            <rFont val="Tahoma"/>
            <family val="2"/>
          </rPr>
          <t>Distance betwenn the tip of the nose cone and the top of the skirt/shrink.</t>
        </r>
      </text>
    </comment>
    <comment ref="B12" authorId="0" shapeId="0" xr:uid="{00000000-0006-0000-0000-000007000000}">
      <text>
        <r>
          <rPr>
            <sz val="8"/>
            <color indexed="8"/>
            <rFont val="Tahoma"/>
            <family val="2"/>
          </rPr>
          <t xml:space="preserve">Position du </t>
        </r>
        <r>
          <rPr>
            <b/>
            <sz val="8"/>
            <color indexed="8"/>
            <rFont val="Tahoma"/>
            <family val="2"/>
          </rPr>
          <t>Centre de Masse</t>
        </r>
        <r>
          <rPr>
            <sz val="8"/>
            <color indexed="8"/>
            <rFont val="Tahoma"/>
            <family val="2"/>
          </rPr>
          <t xml:space="preserve"> (CdG) par rapport à la pointe de l'ogive,
à mesurer ou estimer sur votre fusée.
</t>
        </r>
        <r>
          <rPr>
            <i/>
            <sz val="8"/>
            <color indexed="8"/>
            <rFont val="Tahoma"/>
            <family val="2"/>
          </rPr>
          <t>Position of Center of Mass (CoG) from the top of the nose cone.</t>
        </r>
      </text>
    </comment>
    <comment ref="S12" authorId="0" shapeId="0" xr:uid="{00000000-0006-0000-0000-000008000000}">
      <text>
        <r>
          <rPr>
            <sz val="8"/>
            <color indexed="8"/>
            <rFont val="Tahoma"/>
            <family val="2"/>
          </rPr>
          <t xml:space="preserve">Distance entre la pointe de l'ogive et le </t>
        </r>
        <r>
          <rPr>
            <b/>
            <sz val="8"/>
            <color indexed="8"/>
            <rFont val="Tahoma"/>
            <family val="2"/>
          </rPr>
          <t>haut</t>
        </r>
        <r>
          <rPr>
            <sz val="8"/>
            <color indexed="8"/>
            <rFont val="Tahoma"/>
            <family val="2"/>
          </rPr>
          <t xml:space="preserve"> du propulseur (hors ergot).
</t>
        </r>
        <r>
          <rPr>
            <i/>
            <sz val="8"/>
            <color indexed="8"/>
            <rFont val="Tahoma"/>
            <family val="2"/>
          </rPr>
          <t xml:space="preserve">Distance between the tip of the nose cone and the </t>
        </r>
        <r>
          <rPr>
            <b/>
            <i/>
            <sz val="8"/>
            <color indexed="8"/>
            <rFont val="Tahoma"/>
            <family val="2"/>
          </rPr>
          <t xml:space="preserve">top </t>
        </r>
        <r>
          <rPr>
            <i/>
            <sz val="8"/>
            <color indexed="8"/>
            <rFont val="Tahoma"/>
            <family val="2"/>
          </rPr>
          <t>of the motor.</t>
        </r>
      </text>
    </comment>
    <comment ref="B13" authorId="0" shapeId="0" xr:uid="{00000000-0006-0000-0000-000009000000}">
      <text>
        <r>
          <rPr>
            <sz val="8"/>
            <color indexed="8"/>
            <rFont val="Tahoma"/>
            <family val="2"/>
          </rPr>
          <t xml:space="preserve">Longueur totale du fuselage avec l'ogive,
hors propu hors antenne hors ailerons.
</t>
        </r>
        <r>
          <rPr>
            <i/>
            <sz val="8"/>
            <color indexed="8"/>
            <rFont val="Tahoma"/>
            <family val="2"/>
          </rPr>
          <t>Total length of the body including nose cone.</t>
        </r>
      </text>
    </comment>
    <comment ref="L13" authorId="1" shapeId="0" xr:uid="{00000000-0006-0000-0000-00000A000000}">
      <text>
        <r>
          <rPr>
            <sz val="8"/>
            <color indexed="8"/>
            <rFont val="Tahoma"/>
            <family val="2"/>
          </rPr>
          <t xml:space="preserve">Centre de Masse du propulseur par rapport au haut du propulseur.
</t>
        </r>
        <r>
          <rPr>
            <i/>
            <sz val="8"/>
            <color indexed="8"/>
            <rFont val="Tahoma"/>
            <family val="2"/>
          </rPr>
          <t>Motor Center of Mass, mesured from top of motor.</t>
        </r>
      </text>
    </comment>
    <comment ref="B14" authorId="0" shapeId="0" xr:uid="{00000000-0006-0000-0000-00000B000000}">
      <text>
        <r>
          <rPr>
            <sz val="8"/>
            <color indexed="8"/>
            <rFont val="Tahoma"/>
            <family val="2"/>
          </rPr>
          <t xml:space="preserve">Diamètre de référence, utilisé pour calculer : Cnα, Finesse, Marge Statique.
Par défaut D_réf = D_ogive ; on peux écraser avec le diamètre "principal".
</t>
        </r>
        <r>
          <rPr>
            <i/>
            <sz val="8"/>
            <color indexed="8"/>
            <rFont val="Tahoma"/>
            <family val="2"/>
          </rPr>
          <t>Reference Diameter, used to compute: Cnα, Finesse, Static Margin.
By default D_ref = D_ogive ; one can overwrtie with the "main" diameter.</t>
        </r>
      </text>
    </comment>
    <comment ref="S14" authorId="0" shapeId="0" xr:uid="{00000000-0006-0000-0000-00000C000000}">
      <text>
        <r>
          <rPr>
            <sz val="8"/>
            <color indexed="8"/>
            <rFont val="Tahoma"/>
            <family val="2"/>
          </rPr>
          <t xml:space="preserve">Distance entre la pointe de l'ogive et le </t>
        </r>
        <r>
          <rPr>
            <b/>
            <sz val="8"/>
            <color indexed="8"/>
            <rFont val="Tahoma"/>
            <family val="2"/>
          </rPr>
          <t>bas</t>
        </r>
        <r>
          <rPr>
            <sz val="8"/>
            <color indexed="8"/>
            <rFont val="Tahoma"/>
            <family val="2"/>
          </rPr>
          <t xml:space="preserve"> du propulseur (hors tuyère).
</t>
        </r>
        <r>
          <rPr>
            <i/>
            <sz val="8"/>
            <color indexed="8"/>
            <rFont val="Tahoma"/>
            <family val="2"/>
          </rPr>
          <t xml:space="preserve">Distance between the tip of the nose cone and the </t>
        </r>
        <r>
          <rPr>
            <b/>
            <i/>
            <sz val="8"/>
            <color indexed="8"/>
            <rFont val="Tahoma"/>
            <family val="2"/>
          </rPr>
          <t>bottom</t>
        </r>
        <r>
          <rPr>
            <i/>
            <sz val="8"/>
            <color indexed="8"/>
            <rFont val="Tahoma"/>
            <family val="2"/>
          </rPr>
          <t xml:space="preserve"> of the motor.</t>
        </r>
      </text>
    </comment>
    <comment ref="L15" authorId="1" shapeId="0" xr:uid="{00000000-0006-0000-0000-00000D000000}">
      <text>
        <r>
          <rPr>
            <sz val="8"/>
            <color indexed="8"/>
            <rFont val="Tahoma"/>
            <family val="2"/>
          </rPr>
          <t xml:space="preserve">Les positions des </t>
        </r>
        <r>
          <rPr>
            <sz val="8"/>
            <color indexed="12"/>
            <rFont val="Tahoma"/>
            <family val="2"/>
          </rPr>
          <t>Centres de Masse</t>
        </r>
        <r>
          <rPr>
            <sz val="8"/>
            <color indexed="8"/>
            <rFont val="Tahoma"/>
            <family val="2"/>
          </rPr>
          <t xml:space="preserve"> de la fusée avec propulseur plein et vide
sont représentées sur le schéma de la fusée par un </t>
        </r>
        <r>
          <rPr>
            <sz val="8"/>
            <color indexed="12"/>
            <rFont val="Tahoma"/>
            <family val="2"/>
          </rPr>
          <t>segment vertical bleu</t>
        </r>
        <r>
          <rPr>
            <sz val="8"/>
            <color indexed="8"/>
            <rFont val="Tahoma"/>
            <family val="2"/>
          </rPr>
          <t xml:space="preserve">.
</t>
        </r>
        <r>
          <rPr>
            <i/>
            <sz val="8"/>
            <color indexed="8"/>
            <rFont val="Tahoma"/>
            <family val="2"/>
          </rPr>
          <t xml:space="preserve">Rocket Center of Mass are shown whith a </t>
        </r>
        <r>
          <rPr>
            <i/>
            <sz val="8"/>
            <color indexed="12"/>
            <rFont val="Tahoma"/>
            <family val="2"/>
          </rPr>
          <t>blue segment</t>
        </r>
        <r>
          <rPr>
            <i/>
            <sz val="8"/>
            <color indexed="8"/>
            <rFont val="Tahoma"/>
            <family val="2"/>
          </rPr>
          <t xml:space="preserve"> in Rocket schematic.</t>
        </r>
      </text>
    </comment>
    <comment ref="S17" authorId="0" shapeId="0" xr:uid="{00000000-0006-0000-0000-00000E000000}">
      <text>
        <r>
          <rPr>
            <sz val="8"/>
            <color indexed="8"/>
            <rFont val="Tahoma"/>
            <family val="2"/>
          </rPr>
          <t xml:space="preserve">Distance entre la pointe de l'ogive et le point </t>
        </r>
        <r>
          <rPr>
            <b/>
            <sz val="8"/>
            <color indexed="8"/>
            <rFont val="Tahoma"/>
            <family val="2"/>
          </rPr>
          <t>supérieur</t>
        </r>
        <r>
          <rPr>
            <sz val="8"/>
            <color indexed="8"/>
            <rFont val="Tahoma"/>
            <family val="2"/>
          </rPr>
          <t xml:space="preserve"> de l'encastrement des ailerons.
</t>
        </r>
        <r>
          <rPr>
            <i/>
            <sz val="8"/>
            <color indexed="8"/>
            <rFont val="Tahoma"/>
            <family val="2"/>
          </rPr>
          <t xml:space="preserve">Distance between the tip of the nose and the </t>
        </r>
        <r>
          <rPr>
            <b/>
            <i/>
            <sz val="8"/>
            <color indexed="8"/>
            <rFont val="Tahoma"/>
            <family val="2"/>
          </rPr>
          <t>upper</t>
        </r>
        <r>
          <rPr>
            <i/>
            <sz val="8"/>
            <color indexed="8"/>
            <rFont val="Tahoma"/>
            <family val="2"/>
          </rPr>
          <t xml:space="preserve"> point of fins attachment on the rocket.</t>
        </r>
      </text>
    </comment>
    <comment ref="B18" authorId="0" shapeId="0" xr:uid="{00000000-0006-0000-0000-00000F000000}">
      <text>
        <r>
          <rPr>
            <sz val="8"/>
            <color indexed="8"/>
            <rFont val="Tahoma"/>
            <family val="2"/>
          </rPr>
          <t xml:space="preserve">Distance entre la pointe de l'ogive et le </t>
        </r>
        <r>
          <rPr>
            <b/>
            <sz val="8"/>
            <color indexed="8"/>
            <rFont val="Tahoma"/>
            <family val="2"/>
          </rPr>
          <t>bas</t>
        </r>
        <r>
          <rPr>
            <sz val="8"/>
            <color indexed="8"/>
            <rFont val="Tahoma"/>
            <family val="2"/>
          </rPr>
          <t xml:space="preserve"> du propulseur (hors tuyère).
</t>
        </r>
        <r>
          <rPr>
            <i/>
            <sz val="8"/>
            <color indexed="8"/>
            <rFont val="Tahoma"/>
            <family val="2"/>
          </rPr>
          <t xml:space="preserve">Distance between the tip of the nose cone and the </t>
        </r>
        <r>
          <rPr>
            <b/>
            <i/>
            <sz val="8"/>
            <color indexed="8"/>
            <rFont val="Tahoma"/>
            <family val="2"/>
          </rPr>
          <t>bottom</t>
        </r>
        <r>
          <rPr>
            <i/>
            <sz val="8"/>
            <color indexed="8"/>
            <rFont val="Tahoma"/>
            <family val="2"/>
          </rPr>
          <t xml:space="preserve"> of the motor.</t>
        </r>
      </text>
    </comment>
    <comment ref="S18" authorId="1" shapeId="0" xr:uid="{00000000-0006-0000-0000-000010000000}">
      <text>
        <r>
          <rPr>
            <sz val="8"/>
            <color indexed="8"/>
            <rFont val="Tahoma"/>
            <family val="2"/>
          </rPr>
          <t>Longueur de l'</t>
        </r>
        <r>
          <rPr>
            <b/>
            <sz val="8"/>
            <color indexed="8"/>
            <rFont val="Tahoma"/>
            <family val="2"/>
          </rPr>
          <t>e</t>
        </r>
        <r>
          <rPr>
            <b/>
            <u/>
            <sz val="8"/>
            <color indexed="8"/>
            <rFont val="Tahoma"/>
            <family val="2"/>
          </rPr>
          <t>m</t>
        </r>
        <r>
          <rPr>
            <b/>
            <sz val="8"/>
            <color indexed="8"/>
            <rFont val="Tahoma"/>
            <family val="2"/>
          </rPr>
          <t>planture</t>
        </r>
        <r>
          <rPr>
            <sz val="8"/>
            <color indexed="8"/>
            <rFont val="Tahoma"/>
            <family val="2"/>
          </rPr>
          <t xml:space="preserve"> d'un aileron.
</t>
        </r>
        <r>
          <rPr>
            <i/>
            <sz val="8"/>
            <color indexed="8"/>
            <rFont val="Tahoma"/>
            <family val="2"/>
          </rPr>
          <t>Root edge length of one fin.</t>
        </r>
      </text>
    </comment>
    <comment ref="S19" authorId="0" shapeId="0" xr:uid="{00000000-0006-0000-0000-000011000000}">
      <text>
        <r>
          <rPr>
            <sz val="8"/>
            <color indexed="8"/>
            <rFont val="Tahoma"/>
            <family val="2"/>
          </rPr>
          <t xml:space="preserve">Distance entre la pointe de l'ogive et le point </t>
        </r>
        <r>
          <rPr>
            <b/>
            <sz val="8"/>
            <color indexed="8"/>
            <rFont val="Tahoma"/>
            <family val="2"/>
          </rPr>
          <t>inférieur</t>
        </r>
        <r>
          <rPr>
            <sz val="8"/>
            <color indexed="8"/>
            <rFont val="Tahoma"/>
            <family val="2"/>
          </rPr>
          <t xml:space="preserve"> de l'encastrement des ailerons.
</t>
        </r>
        <r>
          <rPr>
            <i/>
            <sz val="8"/>
            <color indexed="8"/>
            <rFont val="Tahoma"/>
            <family val="2"/>
          </rPr>
          <t xml:space="preserve">Distance between the tip of the nose and the </t>
        </r>
        <r>
          <rPr>
            <b/>
            <i/>
            <sz val="8"/>
            <color indexed="8"/>
            <rFont val="Tahoma"/>
            <family val="2"/>
          </rPr>
          <t>lower</t>
        </r>
        <r>
          <rPr>
            <i/>
            <sz val="8"/>
            <color indexed="8"/>
            <rFont val="Tahoma"/>
            <family val="2"/>
          </rPr>
          <t xml:space="preserve"> point of fins attachment on the rocket.</t>
        </r>
      </text>
    </comment>
    <comment ref="B23" authorId="0" shapeId="0" xr:uid="{00000000-0006-0000-0000-000012000000}">
      <text>
        <r>
          <rPr>
            <sz val="8"/>
            <color indexed="8"/>
            <rFont val="Tahoma"/>
            <family val="2"/>
          </rPr>
          <t xml:space="preserve">Diamètre à la base de l'ogive.
</t>
        </r>
        <r>
          <rPr>
            <i/>
            <sz val="8"/>
            <color indexed="8"/>
            <rFont val="Tahoma"/>
            <family val="2"/>
          </rPr>
          <t>Diameter at the basement of the nose cone.</t>
        </r>
      </text>
    </comment>
    <comment ref="E25" authorId="1" shapeId="0" xr:uid="{00000000-0006-0000-0000-000013000000}">
      <text>
        <r>
          <rPr>
            <sz val="8"/>
            <color indexed="8"/>
            <rFont val="Tahoma"/>
            <family val="2"/>
          </rPr>
          <t xml:space="preserve">Les parties masquées des ailerons du bas sont représentées 
sur le schéma de la fusée par des </t>
        </r>
        <r>
          <rPr>
            <sz val="8"/>
            <color indexed="10"/>
            <rFont val="Tahoma"/>
            <family val="2"/>
          </rPr>
          <t>zones en rouge</t>
        </r>
        <r>
          <rPr>
            <sz val="8"/>
            <color indexed="8"/>
            <rFont val="Tahoma"/>
            <family val="2"/>
          </rPr>
          <t xml:space="preserve">.
Ce sont les parties situées juste en dessous des ailerons du haut.
</t>
        </r>
        <r>
          <rPr>
            <i/>
            <sz val="8"/>
            <color indexed="8"/>
            <rFont val="Tahoma"/>
            <family val="2"/>
          </rPr>
          <t xml:space="preserve">The fin-fin interaction zone is located just below the upper fins,
shown in </t>
        </r>
        <r>
          <rPr>
            <i/>
            <sz val="8"/>
            <color indexed="10"/>
            <rFont val="Tahoma"/>
            <family val="2"/>
          </rPr>
          <t>red</t>
        </r>
        <r>
          <rPr>
            <i/>
            <sz val="8"/>
            <color indexed="8"/>
            <rFont val="Tahoma"/>
            <family val="2"/>
          </rPr>
          <t xml:space="preserve"> in the Rocket schematic.</t>
        </r>
      </text>
    </comment>
    <comment ref="B27" authorId="1" shapeId="0" xr:uid="{00000000-0006-0000-0000-000014000000}">
      <text>
        <r>
          <rPr>
            <sz val="8"/>
            <color indexed="8"/>
            <rFont val="Tahoma"/>
            <family val="2"/>
          </rPr>
          <t>Longueur de l'</t>
        </r>
        <r>
          <rPr>
            <b/>
            <sz val="8"/>
            <color indexed="8"/>
            <rFont val="Tahoma"/>
            <family val="2"/>
          </rPr>
          <t>e</t>
        </r>
        <r>
          <rPr>
            <b/>
            <u/>
            <sz val="8"/>
            <color indexed="8"/>
            <rFont val="Tahoma"/>
            <family val="2"/>
          </rPr>
          <t>m</t>
        </r>
        <r>
          <rPr>
            <b/>
            <sz val="8"/>
            <color indexed="8"/>
            <rFont val="Tahoma"/>
            <family val="2"/>
          </rPr>
          <t>planture</t>
        </r>
        <r>
          <rPr>
            <sz val="8"/>
            <color indexed="8"/>
            <rFont val="Tahoma"/>
            <family val="2"/>
          </rPr>
          <t xml:space="preserve"> d'un aileron.
</t>
        </r>
        <r>
          <rPr>
            <i/>
            <sz val="8"/>
            <color indexed="8"/>
            <rFont val="Tahoma"/>
            <family val="2"/>
          </rPr>
          <t>Root edge length of one fin.</t>
        </r>
      </text>
    </comment>
    <comment ref="F27" authorId="0" shapeId="0" xr:uid="{00000000-0006-0000-0000-000015000000}">
      <text>
        <r>
          <rPr>
            <sz val="8"/>
            <color indexed="8"/>
            <rFont val="Tahoma"/>
            <family val="2"/>
          </rPr>
          <t xml:space="preserve">La </t>
        </r>
        <r>
          <rPr>
            <b/>
            <sz val="8"/>
            <color indexed="8"/>
            <rFont val="Tahoma"/>
            <family val="2"/>
          </rPr>
          <t>Finesse</t>
        </r>
        <r>
          <rPr>
            <sz val="8"/>
            <color indexed="8"/>
            <rFont val="Tahoma"/>
            <family val="2"/>
          </rPr>
          <t xml:space="preserve"> représente l'allongement de la fusée, rapport Longueur/Diamètre.
</t>
        </r>
        <r>
          <rPr>
            <i/>
            <sz val="8"/>
            <color indexed="8"/>
            <rFont val="Tahoma"/>
            <family val="2"/>
          </rPr>
          <t>Finesse represents the relative length of the rocket. Finesse = L/D</t>
        </r>
      </text>
    </comment>
    <comment ref="B28" authorId="1" shapeId="0" xr:uid="{00000000-0006-0000-0000-000016000000}">
      <text>
        <r>
          <rPr>
            <sz val="8"/>
            <color indexed="8"/>
            <rFont val="Tahoma"/>
            <family val="2"/>
          </rPr>
          <t xml:space="preserve">Longueur du </t>
        </r>
        <r>
          <rPr>
            <b/>
            <sz val="8"/>
            <color indexed="8"/>
            <rFont val="Tahoma"/>
            <family val="2"/>
          </rPr>
          <t>saumo</t>
        </r>
        <r>
          <rPr>
            <b/>
            <u/>
            <sz val="8"/>
            <color indexed="8"/>
            <rFont val="Tahoma"/>
            <family val="2"/>
          </rPr>
          <t>n</t>
        </r>
        <r>
          <rPr>
            <sz val="8"/>
            <color indexed="8"/>
            <rFont val="Tahoma"/>
            <family val="2"/>
          </rPr>
          <t xml:space="preserve"> d'un aileron.
</t>
        </r>
        <r>
          <rPr>
            <i/>
            <sz val="8"/>
            <color indexed="8"/>
            <rFont val="Tahoma"/>
            <family val="2"/>
          </rPr>
          <t>Tip edge length of one fin.</t>
        </r>
      </text>
    </comment>
    <comment ref="F28" authorId="0" shapeId="0" xr:uid="{00000000-0006-0000-0000-000017000000}">
      <text>
        <r>
          <rPr>
            <sz val="8"/>
            <color indexed="8"/>
            <rFont val="Tahoma"/>
            <family val="2"/>
          </rPr>
          <t xml:space="preserve">Le gradient de </t>
        </r>
        <r>
          <rPr>
            <b/>
            <sz val="8"/>
            <color indexed="16"/>
            <rFont val="Tahoma"/>
            <family val="2"/>
          </rPr>
          <t>Portance</t>
        </r>
        <r>
          <rPr>
            <sz val="8"/>
            <color indexed="8"/>
            <rFont val="Tahoma"/>
            <family val="2"/>
          </rPr>
          <t xml:space="preserve"> Cnα indique l'efficacité des ailerons.
Pour l'augmenter, il faut augmenter la taille des ailerons, et inversement.
</t>
        </r>
        <r>
          <rPr>
            <i/>
            <sz val="8"/>
            <color indexed="16"/>
            <rFont val="Tahoma"/>
            <family val="2"/>
          </rPr>
          <t>Lift</t>
        </r>
        <r>
          <rPr>
            <i/>
            <sz val="8"/>
            <color indexed="8"/>
            <rFont val="Tahoma"/>
            <family val="2"/>
          </rPr>
          <t xml:space="preserve"> gradient, Cnα, represents the fins efficiency. 
To increase it, one must increase the size of the fins, and conversely.</t>
        </r>
      </text>
    </comment>
    <comment ref="B29" authorId="1" shapeId="0" xr:uid="{00000000-0006-0000-0000-000018000000}">
      <text>
        <r>
          <rPr>
            <b/>
            <sz val="8"/>
            <color indexed="8"/>
            <rFont val="Tahoma"/>
            <family val="2"/>
          </rPr>
          <t>Flèche</t>
        </r>
        <r>
          <rPr>
            <sz val="8"/>
            <color indexed="8"/>
            <rFont val="Tahoma"/>
            <family val="2"/>
          </rPr>
          <t xml:space="preserve"> du bord d'attaque (négatif si besoin).
</t>
        </r>
        <r>
          <rPr>
            <i/>
            <sz val="8"/>
            <color indexed="8"/>
            <rFont val="Tahoma"/>
            <family val="2"/>
          </rPr>
          <t>Offset of the Leading edge.</t>
        </r>
      </text>
    </comment>
    <comment ref="F29" authorId="0" shapeId="0" xr:uid="{00000000-0006-0000-0000-000019000000}">
      <text>
        <r>
          <rPr>
            <sz val="8"/>
            <color indexed="8"/>
            <rFont val="Tahoma"/>
            <family val="2"/>
          </rPr>
          <t xml:space="preserve">La </t>
        </r>
        <r>
          <rPr>
            <b/>
            <sz val="8"/>
            <color indexed="8"/>
            <rFont val="Tahoma"/>
            <family val="2"/>
          </rPr>
          <t>Marge Statique</t>
        </r>
        <r>
          <rPr>
            <sz val="8"/>
            <color indexed="8"/>
            <rFont val="Tahoma"/>
            <family val="2"/>
          </rPr>
          <t xml:space="preserve">, MS, est la distance entre le Centre de Masse et le Centre de Pression, 
exprimée en nombre de Diamètre de Référence, pour une fusée avec propulseur plein puis vide.
Pour augmenter la MS, il faut soit :
- abaisser le Centre de Portance (position des ailerons)
- rehausser le Centre de Masse
</t>
        </r>
        <r>
          <rPr>
            <i/>
            <sz val="8"/>
            <color indexed="8"/>
            <rFont val="Tahoma"/>
            <family val="2"/>
          </rPr>
          <t>Static Margin, MS, is the distance between the Center of Mass and the Center of Pressure, 
measured in number of reference diameter, for a rocket with loaded motor, then empty motor.
In order to increase MS, one must either:
- lower the Center of Pressure (position of fins)
- Move up the Center of Mass</t>
        </r>
      </text>
    </comment>
    <comment ref="B30" authorId="1" shapeId="0" xr:uid="{00000000-0006-0000-0000-00001A000000}">
      <text>
        <r>
          <rPr>
            <b/>
            <u/>
            <sz val="8"/>
            <color indexed="8"/>
            <rFont val="Tahoma"/>
            <family val="2"/>
          </rPr>
          <t>E</t>
        </r>
        <r>
          <rPr>
            <b/>
            <sz val="8"/>
            <color indexed="8"/>
            <rFont val="Tahoma"/>
            <family val="2"/>
          </rPr>
          <t>nvergure</t>
        </r>
        <r>
          <rPr>
            <sz val="8"/>
            <color indexed="8"/>
            <rFont val="Tahoma"/>
            <family val="2"/>
          </rPr>
          <t xml:space="preserve"> d'un aileron.
</t>
        </r>
        <r>
          <rPr>
            <i/>
            <sz val="8"/>
            <color indexed="8"/>
            <rFont val="Tahoma"/>
            <family val="2"/>
          </rPr>
          <t>Span of one fin.</t>
        </r>
      </text>
    </comment>
    <comment ref="F30" authorId="0" shapeId="0" xr:uid="{00000000-0006-0000-0000-00001B000000}">
      <text>
        <r>
          <rPr>
            <sz val="8"/>
            <color indexed="8"/>
            <rFont val="Tahoma"/>
            <family val="2"/>
          </rPr>
          <t xml:space="preserve">Le </t>
        </r>
        <r>
          <rPr>
            <b/>
            <sz val="8"/>
            <color indexed="8"/>
            <rFont val="Tahoma"/>
            <family val="2"/>
          </rPr>
          <t>produit</t>
        </r>
        <r>
          <rPr>
            <sz val="8"/>
            <color indexed="8"/>
            <rFont val="Tahoma"/>
            <family val="2"/>
          </rPr>
          <t xml:space="preserve"> MS*Cnα représente le </t>
        </r>
        <r>
          <rPr>
            <b/>
            <sz val="8"/>
            <color indexed="8"/>
            <rFont val="Tahoma"/>
            <family val="2"/>
          </rPr>
          <t>couple</t>
        </r>
        <r>
          <rPr>
            <sz val="8"/>
            <color indexed="8"/>
            <rFont val="Tahoma"/>
            <family val="2"/>
          </rPr>
          <t xml:space="preserve"> de rappel de la Portance.
Pour augmenter le produit, il faut augmenter la MS et/ou le Cnα, et inversement.
</t>
        </r>
        <r>
          <rPr>
            <i/>
            <sz val="8"/>
            <color indexed="8"/>
            <rFont val="Tahoma"/>
            <family val="2"/>
          </rPr>
          <t>The product MS*Cnα represents the lift torque.
To increase it, one must increase the Static Margin and/or the Cnα, and conversely.</t>
        </r>
      </text>
    </comment>
    <comment ref="F31" authorId="0" shapeId="0" xr:uid="{00000000-0006-0000-0000-00001C000000}">
      <text>
        <r>
          <rPr>
            <sz val="8"/>
            <color indexed="8"/>
            <rFont val="Tahoma"/>
            <family val="2"/>
          </rPr>
          <t xml:space="preserve">Le Xcp est la </t>
        </r>
        <r>
          <rPr>
            <b/>
            <sz val="8"/>
            <color indexed="16"/>
            <rFont val="Tahoma"/>
            <family val="2"/>
          </rPr>
          <t>position du Centre de Poussée Aérodynamique</t>
        </r>
        <r>
          <rPr>
            <sz val="8"/>
            <color indexed="8"/>
            <rFont val="Tahoma"/>
            <family val="2"/>
          </rPr>
          <t xml:space="preserve"> (CPA), 
aussi appelé Centre de Pression (CP), Centre Latéral de Poussée (CLP), 
ou Foyer, exprimée par rapport à la pointe de l'ogive.
</t>
        </r>
        <r>
          <rPr>
            <i/>
            <sz val="8"/>
            <color indexed="8"/>
            <rFont val="Tahoma"/>
            <family val="2"/>
          </rPr>
          <t>Xcp is the location of the Aerodynamics Center of Pressure, 
measured from the tip of the nose cone.</t>
        </r>
      </text>
    </comment>
    <comment ref="F32" authorId="2" shapeId="0" xr:uid="{00000000-0006-0000-0000-00001D000000}">
      <text>
        <r>
          <rPr>
            <sz val="8"/>
            <color indexed="8"/>
            <rFont val="Tahoma"/>
            <family val="2"/>
          </rPr>
          <t xml:space="preserve">Cette Marge Statique est la distance entre le Centre de Masse et le Centre de Pression, 
exprimée en </t>
        </r>
        <r>
          <rPr>
            <b/>
            <sz val="8"/>
            <color indexed="8"/>
            <rFont val="Tahoma"/>
            <family val="2"/>
          </rPr>
          <t>% de la Longueur</t>
        </r>
        <r>
          <rPr>
            <sz val="8"/>
            <color indexed="8"/>
            <rFont val="Tahoma"/>
            <family val="2"/>
          </rPr>
          <t xml:space="preserve"> de la fusée, pour une fusée avec propulseur plein puis vide.
</t>
        </r>
        <r>
          <rPr>
            <i/>
            <sz val="8"/>
            <color indexed="8"/>
            <rFont val="Tahoma"/>
            <family val="2"/>
          </rPr>
          <t>This Static Margin is the distance between the Center of Mass and the Center of Pressure, 
measured in % of rocket length, for a rocket with loaded motor, then empty motor.</t>
        </r>
      </text>
    </comment>
    <comment ref="B33" authorId="0" shapeId="0" xr:uid="{00000000-0006-0000-0000-00001E000000}">
      <text>
        <r>
          <rPr>
            <sz val="8"/>
            <color indexed="8"/>
            <rFont val="Tahoma"/>
            <family val="2"/>
          </rPr>
          <t xml:space="preserve">Distance entre la pointe de l'ogive et le point </t>
        </r>
        <r>
          <rPr>
            <b/>
            <sz val="8"/>
            <color indexed="8"/>
            <rFont val="Tahoma"/>
            <family val="2"/>
          </rPr>
          <t>inférieur</t>
        </r>
        <r>
          <rPr>
            <sz val="8"/>
            <color indexed="8"/>
            <rFont val="Tahoma"/>
            <family val="2"/>
          </rPr>
          <t xml:space="preserve"> de l'encastrement des ailerons.
</t>
        </r>
        <r>
          <rPr>
            <i/>
            <sz val="8"/>
            <color indexed="8"/>
            <rFont val="Tahoma"/>
            <family val="2"/>
          </rPr>
          <t xml:space="preserve">Distance between the tip of the nose and the </t>
        </r>
        <r>
          <rPr>
            <b/>
            <i/>
            <sz val="8"/>
            <color indexed="8"/>
            <rFont val="Tahoma"/>
            <family val="2"/>
          </rPr>
          <t>lower</t>
        </r>
        <r>
          <rPr>
            <i/>
            <sz val="8"/>
            <color indexed="8"/>
            <rFont val="Tahoma"/>
            <family val="2"/>
          </rPr>
          <t xml:space="preserve"> point of fins attachment on the rocket.</t>
        </r>
      </text>
    </comment>
    <comment ref="B34" authorId="0" shapeId="0" xr:uid="{00000000-0006-0000-0000-00001F000000}">
      <text>
        <r>
          <rPr>
            <sz val="8"/>
            <color indexed="8"/>
            <rFont val="Tahoma"/>
            <family val="2"/>
          </rPr>
          <t xml:space="preserve">Diamètre du fuselage au niveau des ailerons.
</t>
        </r>
        <r>
          <rPr>
            <i/>
            <sz val="8"/>
            <color indexed="8"/>
            <rFont val="Tahoma"/>
            <family val="2"/>
          </rPr>
          <t>Diameter of the body at the level of the fins.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xml:space="preserve"> </author>
    <author>Léo Côme</author>
    <author>Léo</author>
    <author>Sylvain Besson</author>
    <author>collectif</author>
  </authors>
  <commentList>
    <comment ref="B10" authorId="0" shapeId="0" xr:uid="{00000000-0006-0000-0100-000001000000}">
      <text>
        <r>
          <rPr>
            <sz val="8"/>
            <color indexed="8"/>
            <rFont val="Tahoma"/>
            <family val="2"/>
          </rPr>
          <t xml:space="preserve">Masse au décollage, à changer dans la feuille Stabilito,
ou à l'aide des boutons (revérifiez alors la stabilité).
</t>
        </r>
        <r>
          <rPr>
            <i/>
            <sz val="8"/>
            <color indexed="8"/>
            <rFont val="Tahoma"/>
            <family val="2"/>
          </rPr>
          <t>Lift-Off mass, to be changed in Stabilito sheet,
or with the buttons (then recheck stability).</t>
        </r>
      </text>
    </comment>
    <comment ref="B11" authorId="0" shapeId="0" xr:uid="{00000000-0006-0000-0100-000002000000}">
      <text>
        <r>
          <rPr>
            <sz val="8"/>
            <color indexed="8"/>
            <rFont val="Tahoma"/>
            <family val="2"/>
          </rPr>
          <t xml:space="preserve">Le propulseur doit être sélectionné dans l'onglet Stabilito.
</t>
        </r>
        <r>
          <rPr>
            <i/>
            <sz val="8"/>
            <color indexed="8"/>
            <rFont val="Tahoma"/>
            <family val="2"/>
          </rPr>
          <t>Motor must be selected in Stabilito sheet.</t>
        </r>
      </text>
    </comment>
    <comment ref="B14" authorId="1" shapeId="0" xr:uid="{00000000-0006-0000-0100-000003000000}">
      <text>
        <r>
          <rPr>
            <sz val="8"/>
            <color indexed="8"/>
            <rFont val="Tahoma"/>
            <family val="2"/>
          </rPr>
          <t xml:space="preserve">La Surface de Référence utilisée pour le calcul de la Traînée est la surface projetée dans l'axe de la fusée. Ce </t>
        </r>
        <r>
          <rPr>
            <b/>
            <sz val="8"/>
            <color indexed="8"/>
            <rFont val="Tahoma"/>
            <family val="2"/>
          </rPr>
          <t>Maître Couple</t>
        </r>
        <r>
          <rPr>
            <sz val="8"/>
            <color indexed="8"/>
            <rFont val="Tahoma"/>
            <family val="2"/>
          </rPr>
          <t xml:space="preserve"> inclut donc l'épaisseur des ailerons.
</t>
        </r>
        <r>
          <rPr>
            <i/>
            <sz val="8"/>
            <color indexed="8"/>
            <rFont val="Tahoma"/>
            <family val="2"/>
          </rPr>
          <t>Reference Surface used to compute the Drag. It includes Fin thickness.</t>
        </r>
      </text>
    </comment>
    <comment ref="B15" authorId="1" shapeId="0" xr:uid="{00000000-0006-0000-0100-000004000000}">
      <text>
        <r>
          <rPr>
            <sz val="8"/>
            <color indexed="8"/>
            <rFont val="Tahoma"/>
            <family val="2"/>
          </rPr>
          <t xml:space="preserve">Coefficient de Traînée de la fusée. Par défaut, le </t>
        </r>
        <r>
          <rPr>
            <b/>
            <sz val="8"/>
            <color indexed="8"/>
            <rFont val="Tahoma"/>
            <family val="2"/>
          </rPr>
          <t>Cx</t>
        </r>
        <r>
          <rPr>
            <sz val="8"/>
            <color indexed="8"/>
            <rFont val="Tahoma"/>
            <family val="2"/>
          </rPr>
          <t xml:space="preserve"> vaut 0.6. On peut ajouter ou retrancher 0.2 en fonction des aspérités de la fusée, du profilage des ailerons…
</t>
        </r>
        <r>
          <rPr>
            <i/>
            <sz val="8"/>
            <color indexed="8"/>
            <rFont val="Tahoma"/>
            <family val="2"/>
          </rPr>
          <t>Rocket Drag Coefficient is generally between 0.4 and 0.8, with a default value of 0.6.</t>
        </r>
      </text>
    </comment>
    <comment ref="B18" authorId="1" shapeId="0" xr:uid="{00000000-0006-0000-0100-000005000000}">
      <text>
        <r>
          <rPr>
            <b/>
            <sz val="8"/>
            <color indexed="8"/>
            <rFont val="Tahoma"/>
            <family val="2"/>
          </rPr>
          <t>Longueur de la rampe de lancement.</t>
        </r>
        <r>
          <rPr>
            <sz val="8"/>
            <color indexed="8"/>
            <rFont val="Tahoma"/>
            <family val="2"/>
          </rPr>
          <t xml:space="preserve">
</t>
        </r>
        <r>
          <rPr>
            <i/>
            <sz val="8"/>
            <color indexed="8"/>
            <rFont val="Tahoma"/>
            <family val="2"/>
          </rPr>
          <t xml:space="preserve">                                          Length of the launch pad.</t>
        </r>
        <r>
          <rPr>
            <sz val="8"/>
            <color indexed="8"/>
            <rFont val="Tahoma"/>
            <family val="2"/>
          </rPr>
          <t xml:space="preserve">
Valeurs courantes :                  </t>
        </r>
        <r>
          <rPr>
            <i/>
            <sz val="8"/>
            <color indexed="8"/>
            <rFont val="Tahoma"/>
            <family val="2"/>
          </rPr>
          <t>Average values :</t>
        </r>
        <r>
          <rPr>
            <sz val="8"/>
            <color indexed="8"/>
            <rFont val="Tahoma"/>
            <family val="2"/>
          </rPr>
          <t xml:space="preserve">
MicroFusée                  : 1m  :    </t>
        </r>
        <r>
          <rPr>
            <i/>
            <sz val="8"/>
            <color indexed="8"/>
            <rFont val="Tahoma"/>
            <family val="2"/>
          </rPr>
          <t>Micro-rocket</t>
        </r>
        <r>
          <rPr>
            <sz val="8"/>
            <color indexed="8"/>
            <rFont val="Tahoma"/>
            <family val="2"/>
          </rPr>
          <t xml:space="preserve">
MiniFusée                    : 2m5:   </t>
        </r>
        <r>
          <rPr>
            <i/>
            <sz val="8"/>
            <color indexed="8"/>
            <rFont val="Tahoma"/>
            <family val="2"/>
          </rPr>
          <t xml:space="preserve"> Mini-rocket
Rocketry Challenge    </t>
        </r>
        <r>
          <rPr>
            <sz val="8"/>
            <color indexed="8"/>
            <rFont val="Tahoma"/>
            <family val="2"/>
          </rPr>
          <t xml:space="preserve">: 3m
Fusée Expérimentale  : 4m  :   </t>
        </r>
        <r>
          <rPr>
            <i/>
            <sz val="8"/>
            <color indexed="8"/>
            <rFont val="Tahoma"/>
            <family val="2"/>
          </rPr>
          <t>Experimental Rocket</t>
        </r>
      </text>
    </comment>
    <comment ref="B19" authorId="1" shapeId="0" xr:uid="{00000000-0006-0000-0100-000006000000}">
      <text>
        <r>
          <rPr>
            <sz val="8"/>
            <color indexed="8"/>
            <rFont val="Tahoma"/>
            <family val="2"/>
          </rPr>
          <t xml:space="preserve">Elévation de la rampe, angle par rapport à l'horizontale, "site" de la rampe, par défaut cet angle est à 80°.
</t>
        </r>
        <r>
          <rPr>
            <i/>
            <sz val="8"/>
            <color indexed="8"/>
            <rFont val="Tahoma"/>
            <family val="2"/>
          </rPr>
          <t>Angle of the lauch pad versus horizontal.</t>
        </r>
      </text>
    </comment>
    <comment ref="B20" authorId="1" shapeId="0" xr:uid="{00000000-0006-0000-0100-000007000000}">
      <text>
        <r>
          <rPr>
            <sz val="8"/>
            <color indexed="8"/>
            <rFont val="Tahoma"/>
            <family val="2"/>
          </rPr>
          <t xml:space="preserve">L'Altitude de la rampe est utilisée pour calculer la densité de l'air.
</t>
        </r>
        <r>
          <rPr>
            <i/>
            <sz val="8"/>
            <color indexed="8"/>
            <rFont val="Tahoma"/>
            <family val="2"/>
          </rPr>
          <t>Launch Pad Altitude is used to compute the air density.</t>
        </r>
      </text>
    </comment>
    <comment ref="D23" authorId="2" shapeId="0" xr:uid="{00000000-0006-0000-0100-000008000000}">
      <text>
        <r>
          <rPr>
            <b/>
            <sz val="8"/>
            <color indexed="8"/>
            <rFont val="Tahoma"/>
            <family val="2"/>
          </rPr>
          <t>Objet largué</t>
        </r>
        <r>
          <rPr>
            <sz val="8"/>
            <color indexed="8"/>
            <rFont val="Tahoma"/>
            <family val="2"/>
          </rPr>
          <t xml:space="preserve"> (CanSat, quasi-satellite, partie contenant l'œuf...)
</t>
        </r>
        <r>
          <rPr>
            <i/>
            <sz val="8"/>
            <color indexed="8"/>
            <rFont val="Tahoma"/>
            <family val="2"/>
          </rPr>
          <t>Separated object (CanSat, quasi-satellite, payload/egg...)</t>
        </r>
      </text>
    </comment>
    <comment ref="K23" authorId="1" shapeId="0" xr:uid="{00000000-0006-0000-0100-000009000000}">
      <text>
        <r>
          <rPr>
            <sz val="8"/>
            <color indexed="8"/>
            <rFont val="Tahoma"/>
            <family val="2"/>
          </rPr>
          <t xml:space="preserve">La Vitesse en Sortie de Rampe doit être supérieure à 18m/s (MiniFusée) ou 20m/s (Fusée Exp.).
Alléger la fusée ou choisir un propu plus puissant.
</t>
        </r>
        <r>
          <rPr>
            <i/>
            <sz val="8"/>
            <color indexed="8"/>
            <rFont val="Tahoma"/>
            <family val="2"/>
          </rPr>
          <t>Speed at Launch Pad Exit must by higher than 18m/s (mini-rocket) or 20m/s (experimental rocket).
Lighten the rocket or choose a bigger motor.</t>
        </r>
      </text>
    </comment>
    <comment ref="C24" authorId="2" shapeId="0" xr:uid="{00000000-0006-0000-0100-00000A000000}">
      <text>
        <r>
          <rPr>
            <sz val="8"/>
            <color indexed="8"/>
            <rFont val="Tahoma"/>
            <family val="2"/>
          </rPr>
          <t xml:space="preserve">Masse de la fusée (sans satellite) sous parachute.
</t>
        </r>
        <r>
          <rPr>
            <i/>
            <sz val="8"/>
            <color indexed="8"/>
            <rFont val="Tahoma"/>
            <family val="2"/>
          </rPr>
          <t>Mass of the rocket (w/o sat) when it fall with a parachute.</t>
        </r>
      </text>
    </comment>
    <comment ref="M27" authorId="3" shapeId="0" xr:uid="{00000000-0006-0000-0100-00000B000000}">
      <text>
        <r>
          <rPr>
            <sz val="8"/>
            <color indexed="81"/>
            <rFont val="Tahoma"/>
            <family val="2"/>
          </rPr>
          <t xml:space="preserve">Efforts sur les fixations du parachute lors de sont ouverture.
</t>
        </r>
        <r>
          <rPr>
            <i/>
            <sz val="8"/>
            <color indexed="81"/>
            <rFont val="Tahoma"/>
            <family val="2"/>
          </rPr>
          <t>Stress on the parachute's bindings when it opened.</t>
        </r>
      </text>
    </comment>
    <comment ref="B28" authorId="1" shapeId="0" xr:uid="{00000000-0006-0000-0100-00000C000000}">
      <text>
        <r>
          <rPr>
            <sz val="8"/>
            <color indexed="8"/>
            <rFont val="Tahoma"/>
            <family val="2"/>
          </rPr>
          <t xml:space="preserve">Le Coefficient de Traînée </t>
        </r>
        <r>
          <rPr>
            <b/>
            <sz val="8"/>
            <color indexed="8"/>
            <rFont val="Tahoma"/>
            <family val="2"/>
          </rPr>
          <t>Cx</t>
        </r>
        <r>
          <rPr>
            <sz val="8"/>
            <color indexed="8"/>
            <rFont val="Tahoma"/>
            <family val="2"/>
          </rPr>
          <t xml:space="preserve"> (ou Cd) d'un parachute est généralement compris entre 0.7 et 1.4 (1 par défaut).
</t>
        </r>
        <r>
          <rPr>
            <i/>
            <sz val="8"/>
            <color indexed="8"/>
            <rFont val="Tahoma"/>
            <family val="2"/>
          </rPr>
          <t xml:space="preserve">Parachute Drag Coefficient </t>
        </r>
        <r>
          <rPr>
            <b/>
            <i/>
            <sz val="8"/>
            <color indexed="8"/>
            <rFont val="Tahoma"/>
            <family val="2"/>
          </rPr>
          <t>Cx</t>
        </r>
        <r>
          <rPr>
            <i/>
            <sz val="8"/>
            <color indexed="8"/>
            <rFont val="Tahoma"/>
            <family val="2"/>
          </rPr>
          <t xml:space="preserve"> (or Cd) should be between 0.7 and 1.4, with a default value of 1.</t>
        </r>
      </text>
    </comment>
    <comment ref="M28" authorId="3" shapeId="0" xr:uid="{00000000-0006-0000-0100-00000D000000}">
      <text>
        <r>
          <rPr>
            <sz val="8"/>
            <color indexed="81"/>
            <rFont val="Tahoma"/>
            <family val="2"/>
          </rPr>
          <t>Energie libérée lors de l'impact balistique.</t>
        </r>
        <r>
          <rPr>
            <b/>
            <sz val="8"/>
            <color indexed="81"/>
            <rFont val="Tahoma"/>
            <family val="2"/>
          </rPr>
          <t xml:space="preserve">
</t>
        </r>
        <r>
          <rPr>
            <i/>
            <sz val="8"/>
            <color indexed="81"/>
            <rFont val="Tahoma"/>
            <family val="2"/>
          </rPr>
          <t>Balistic impact energy</t>
        </r>
      </text>
    </comment>
    <comment ref="B30" authorId="4" shapeId="0" xr:uid="{00000000-0006-0000-0100-00000E000000}">
      <text>
        <r>
          <rPr>
            <sz val="8"/>
            <color indexed="81"/>
            <rFont val="Tahoma"/>
            <family val="2"/>
          </rPr>
          <t xml:space="preserve">La Vitesse de descente sous parachute doit être comprise entre 5 &amp; 15m/s.
</t>
        </r>
        <r>
          <rPr>
            <i/>
            <sz val="8"/>
            <color indexed="81"/>
            <rFont val="Tahoma"/>
            <family val="2"/>
          </rPr>
          <t>Fall Velocity with parachute must be between 5 &amp; 15 m/s.</t>
        </r>
      </text>
    </comment>
    <comment ref="B33" authorId="0" shapeId="0" xr:uid="{00000000-0006-0000-0100-00000F000000}">
      <text>
        <r>
          <rPr>
            <sz val="8"/>
            <color indexed="8"/>
            <rFont val="Tahoma"/>
            <family val="2"/>
          </rPr>
          <t xml:space="preserve">Déviation due au vent lors de la descente sous parachute.
</t>
        </r>
        <r>
          <rPr>
            <i/>
            <sz val="8"/>
            <color indexed="8"/>
            <rFont val="Tahoma"/>
            <family val="2"/>
          </rPr>
          <t>Deviation due to wind during the fall over parachute.</t>
        </r>
      </text>
    </comment>
    <comment ref="F40" authorId="1" shapeId="0" xr:uid="{00000000-0006-0000-0100-000010000000}">
      <text>
        <r>
          <rPr>
            <sz val="8"/>
            <color indexed="8"/>
            <rFont val="Tahoma"/>
            <family val="2"/>
          </rPr>
          <t xml:space="preserve">Les Conditions Initiales permettent de simuler le 2e boost des fusée bi-étage ou des fusées larguant une masse (CanSat, bi-inerte). Laisser à 0 dans les autres cas.
</t>
        </r>
        <r>
          <rPr>
            <i/>
            <sz val="8"/>
            <color indexed="8"/>
            <rFont val="Tahoma"/>
            <family val="2"/>
          </rPr>
          <t>Initial Conditions can be used to simulate the 2nd boost of 2-stages rockets, or rocket releasing mass (Quasi-Satellites). Set them to 0 otherwise.</t>
        </r>
      </text>
    </comment>
    <comment ref="I40" authorId="1" shapeId="0" xr:uid="{00000000-0006-0000-0100-000011000000}">
      <text>
        <r>
          <rPr>
            <sz val="8"/>
            <color indexed="8"/>
            <rFont val="Tahoma"/>
            <family val="2"/>
          </rPr>
          <t xml:space="preserve">Altitude par rapport à la rampe, par rapport au sol.
</t>
        </r>
        <r>
          <rPr>
            <i/>
            <sz val="8"/>
            <color indexed="8"/>
            <rFont val="Tahoma"/>
            <family val="2"/>
          </rPr>
          <t>Altitude with respect to the earth surface.</t>
        </r>
      </text>
    </comment>
    <comment ref="K40" authorId="1" shapeId="0" xr:uid="{00000000-0006-0000-0100-000012000000}">
      <text>
        <r>
          <rPr>
            <sz val="8"/>
            <color indexed="8"/>
            <rFont val="Tahoma"/>
            <family val="2"/>
          </rPr>
          <t xml:space="preserve">La vitesse initiale doit être non-nulle dans le cas d'un 2e boost (allumage hors de la rampe, Portée et Altitude non-nulles).
</t>
        </r>
        <r>
          <rPr>
            <i/>
            <sz val="8"/>
            <color indexed="8"/>
            <rFont val="Tahoma"/>
            <family val="2"/>
          </rPr>
          <t>Initial Velocity must be non-zero in case of 2nd boost (ignition without launch pad, non-zero Range and Altitude).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xml:space="preserve"> </author>
    <author>M363040</author>
    <author>Léo Côme</author>
  </authors>
  <commentList>
    <comment ref="B10" authorId="0" shapeId="0" xr:uid="{00000000-0006-0000-0500-000001000000}">
      <text>
        <r>
          <rPr>
            <sz val="8"/>
            <color indexed="8"/>
            <rFont val="Tahoma"/>
            <family val="2"/>
          </rPr>
          <t xml:space="preserve">Masse sans propu, à changer dans la feuille Stabilito,
ou à l'aide des boutons (revérifiez alors la stabilité).
</t>
        </r>
        <r>
          <rPr>
            <i/>
            <sz val="8"/>
            <color indexed="8"/>
            <rFont val="Tahoma"/>
            <family val="2"/>
          </rPr>
          <t>Rocket mass without motor, to be changed in Stabilito sheet,
or with the buttons (then recheck stability).</t>
        </r>
      </text>
    </comment>
    <comment ref="B11" authorId="0" shapeId="0" xr:uid="{00000000-0006-0000-0500-000002000000}">
      <text>
        <r>
          <rPr>
            <sz val="8"/>
            <color indexed="8"/>
            <rFont val="Tahoma"/>
            <family val="2"/>
          </rPr>
          <t>Masse totale, à changer dans la feuille Stabilito,
ou à l'aide des boutons (revérifiez alors la stabilité).
Rocket total mass, to be changed in Stabilito sheet,
or with the buttons (then recheck stability).</t>
        </r>
      </text>
    </comment>
    <comment ref="B12" authorId="0" shapeId="0" xr:uid="{00000000-0006-0000-0500-000003000000}">
      <text>
        <r>
          <rPr>
            <sz val="8"/>
            <color indexed="8"/>
            <rFont val="Tahoma"/>
            <family val="2"/>
          </rPr>
          <t xml:space="preserve">Le propulseur doit être sélectionné dans l'onglet Stabilito.
</t>
        </r>
        <r>
          <rPr>
            <i/>
            <sz val="8"/>
            <color indexed="8"/>
            <rFont val="Tahoma"/>
            <family val="2"/>
          </rPr>
          <t>Motor must be selected in Stabilito sheet.</t>
        </r>
      </text>
    </comment>
    <comment ref="B15" authorId="1" shapeId="0" xr:uid="{00000000-0006-0000-0500-000004000000}">
      <text>
        <r>
          <rPr>
            <sz val="8"/>
            <color indexed="8"/>
            <rFont val="Tahoma"/>
            <family val="2"/>
          </rPr>
          <t xml:space="preserve">Diamètre de référence. D_réf = D_ogive ou le diamètre "principal".
</t>
        </r>
        <r>
          <rPr>
            <i/>
            <sz val="8"/>
            <color indexed="8"/>
            <rFont val="Tahoma"/>
            <family val="2"/>
          </rPr>
          <t>Reference Diameter. D_ref = D_ogive or the "main" diameter.</t>
        </r>
      </text>
    </comment>
    <comment ref="B16" authorId="2" shapeId="0" xr:uid="{00000000-0006-0000-0500-000005000000}">
      <text>
        <r>
          <rPr>
            <sz val="8"/>
            <color indexed="8"/>
            <rFont val="Tahoma"/>
            <family val="2"/>
          </rPr>
          <t xml:space="preserve">Coefficient de Traînée de la fusée. Par défaut, le </t>
        </r>
        <r>
          <rPr>
            <b/>
            <sz val="8"/>
            <color indexed="8"/>
            <rFont val="Tahoma"/>
            <family val="2"/>
          </rPr>
          <t>Cx</t>
        </r>
        <r>
          <rPr>
            <sz val="8"/>
            <color indexed="8"/>
            <rFont val="Tahoma"/>
            <family val="2"/>
          </rPr>
          <t xml:space="preserve"> vaut 0.6. On peut ajouter ou retrancher 0.2 en fonction des aspérités de la fusée, du profilage des ailerons…
</t>
        </r>
        <r>
          <rPr>
            <i/>
            <sz val="8"/>
            <color indexed="8"/>
            <rFont val="Tahoma"/>
            <family val="2"/>
          </rPr>
          <t>Rocket Drag Coefficient is generally between 0.4 and 0.8, with a default value of 0.6.</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xml:space="preserve"> Léo</author>
  </authors>
  <commentList>
    <comment ref="E53" authorId="0" shapeId="0" xr:uid="{00000000-0006-0000-0600-000001000000}">
      <text>
        <r>
          <rPr>
            <sz val="8"/>
            <color indexed="81"/>
            <rFont val="Tahoma"/>
            <family val="2"/>
          </rPr>
          <t xml:space="preserve">Masse volumique de l'air (ρ) à P=1013,25hPa &amp; T=15°C.
Utilisée tel quel pour la descente sous parachute,
utilisée comme référence (z=0) pour le calcul de ρ en fonction de l'altitude dans le calcul de la trajectoire pas à pas.
Idéalement, valeur à adapter aux conditions atmosphériques au moment du lancement.
</t>
        </r>
        <r>
          <rPr>
            <i/>
            <sz val="8"/>
            <color indexed="81"/>
            <rFont val="Tahoma"/>
            <family val="2"/>
          </rPr>
          <t>Air density (ρ) at P=1013,25hPa &amp; T=15°C.</t>
        </r>
      </text>
    </comment>
  </commentList>
</comments>
</file>

<file path=xl/sharedStrings.xml><?xml version="1.0" encoding="utf-8"?>
<sst xmlns="http://schemas.openxmlformats.org/spreadsheetml/2006/main" count="1716" uniqueCount="560">
  <si>
    <t>TRAJECTO</t>
  </si>
  <si>
    <t>Français</t>
  </si>
  <si>
    <t>t</t>
  </si>
  <si>
    <t>x</t>
  </si>
  <si>
    <t>Club</t>
  </si>
  <si>
    <t>Cx</t>
  </si>
  <si>
    <t>Altitude</t>
  </si>
  <si>
    <t>m/s²</t>
  </si>
  <si>
    <t>kg/m3</t>
  </si>
  <si>
    <t>Surface para</t>
  </si>
  <si>
    <t>Cx parachute</t>
  </si>
  <si>
    <t>Temps</t>
  </si>
  <si>
    <t>Altitude z</t>
  </si>
  <si>
    <t>Accélération</t>
  </si>
  <si>
    <t>-</t>
  </si>
  <si>
    <t>Culmination, Apogée</t>
  </si>
  <si>
    <t>~0</t>
  </si>
  <si>
    <t>Forces</t>
  </si>
  <si>
    <t>Accélération longitudinale</t>
  </si>
  <si>
    <t>pas</t>
  </si>
  <si>
    <t>Beta</t>
  </si>
  <si>
    <t>BetaD</t>
  </si>
  <si>
    <t>Débit</t>
  </si>
  <si>
    <t>Trainée</t>
  </si>
  <si>
    <t>Rho</t>
  </si>
  <si>
    <t>Poussée</t>
  </si>
  <si>
    <t>i_P</t>
  </si>
  <si>
    <t>Poids</t>
  </si>
  <si>
    <t>R_rampe</t>
  </si>
  <si>
    <t>z</t>
  </si>
  <si>
    <t>non-gravit.</t>
  </si>
  <si>
    <t>gravitationnelle</t>
  </si>
  <si>
    <t>Ligne</t>
  </si>
  <si>
    <t>Temps (en s)</t>
  </si>
  <si>
    <t>Poussée (en N)</t>
  </si>
  <si>
    <t>Isard</t>
  </si>
  <si>
    <t>Chamois</t>
  </si>
  <si>
    <t>Pro75-2G</t>
  </si>
  <si>
    <t>espace@planete-sciences.org</t>
  </si>
  <si>
    <t>m</t>
  </si>
  <si>
    <t>http://www.planete-sciences.org/espace/basedoc/</t>
  </si>
  <si>
    <t>Surface Réf.</t>
  </si>
  <si>
    <t>Angle</t>
  </si>
  <si>
    <t>Léo Côme</t>
  </si>
  <si>
    <t>Notes :</t>
  </si>
  <si>
    <t>Aucun (2e ét. inerte)</t>
  </si>
  <si>
    <t>z para</t>
  </si>
  <si>
    <t>z sat</t>
  </si>
  <si>
    <t>xz max</t>
  </si>
  <si>
    <t>t para</t>
  </si>
  <si>
    <t>x para</t>
  </si>
  <si>
    <t>t sat</t>
  </si>
  <si>
    <t>x sat</t>
  </si>
  <si>
    <t>Moteurs Rocketry-Challenge, bug Surface_parachute, Satellite, bug Ooo</t>
  </si>
  <si>
    <t>STABILITO</t>
  </si>
  <si>
    <t>Type</t>
  </si>
  <si>
    <t>XCp</t>
  </si>
  <si>
    <t>MpropuPlein</t>
  </si>
  <si>
    <t>XpropuPlein</t>
  </si>
  <si>
    <t>MpropuVide</t>
  </si>
  <si>
    <t>XpropuVide</t>
  </si>
  <si>
    <t>Longueur</t>
  </si>
  <si>
    <t>Diamètre</t>
  </si>
  <si>
    <t>Min</t>
  </si>
  <si>
    <t>Max</t>
  </si>
  <si>
    <t>Finesse</t>
  </si>
  <si>
    <t>Cnα</t>
  </si>
  <si>
    <t>MS /L</t>
  </si>
  <si>
    <t>English</t>
  </si>
  <si>
    <t>X longi</t>
  </si>
  <si>
    <t>Y latéral</t>
  </si>
  <si>
    <t>- Y latéral</t>
  </si>
  <si>
    <t>Pointe</t>
  </si>
  <si>
    <t>Ogive</t>
  </si>
  <si>
    <t>chmt1 pt1</t>
  </si>
  <si>
    <t>chmt1 pt2</t>
  </si>
  <si>
    <t>chmt2 pt1</t>
  </si>
  <si>
    <t>chmt2 pt2</t>
  </si>
  <si>
    <t>culot</t>
  </si>
  <si>
    <t>aileron pt1</t>
  </si>
  <si>
    <t>aileron pt2</t>
  </si>
  <si>
    <t>aileron pt3</t>
  </si>
  <si>
    <t>aileron pt4</t>
  </si>
  <si>
    <t>Xcg plein</t>
  </si>
  <si>
    <t>Xcg vide</t>
  </si>
  <si>
    <t>Xcp</t>
  </si>
  <si>
    <t>canard pt1</t>
  </si>
  <si>
    <t>canard pt2</t>
  </si>
  <si>
    <t>canard pt3</t>
  </si>
  <si>
    <t>canard pt4</t>
  </si>
  <si>
    <t>masquage pt1</t>
  </si>
  <si>
    <t>masquage pt2</t>
  </si>
  <si>
    <t>masquage pt3</t>
  </si>
  <si>
    <t>masquage pt4</t>
  </si>
  <si>
    <t>cadre</t>
  </si>
  <si>
    <t>propu pt1</t>
  </si>
  <si>
    <t>propu pt2</t>
  </si>
  <si>
    <t>propu pt3</t>
  </si>
  <si>
    <t>propu pt4</t>
  </si>
  <si>
    <t>propu pt5</t>
  </si>
  <si>
    <t>MS (X)</t>
  </si>
  <si>
    <t>Cna (Y)</t>
  </si>
  <si>
    <t>2002-2007</t>
  </si>
  <si>
    <t>Stabilito V1.x</t>
  </si>
  <si>
    <t>Stabilito V2.0</t>
  </si>
  <si>
    <t>Stabilito V2.1</t>
  </si>
  <si>
    <t>Stabilito V2.2</t>
  </si>
  <si>
    <t>Trajecto V1.x</t>
  </si>
  <si>
    <t>Trajecto V2.x</t>
  </si>
  <si>
    <t>Trajecto V2.4</t>
  </si>
  <si>
    <t>Trajecto V2.5</t>
  </si>
  <si>
    <t>OpenOffice Calc</t>
  </si>
  <si>
    <t>µ-propu A8-3</t>
  </si>
  <si>
    <t>µ-propu B4-4</t>
  </si>
  <si>
    <t>µ-propu C6-3</t>
  </si>
  <si>
    <t>ISP</t>
  </si>
  <si>
    <t>I_total</t>
  </si>
  <si>
    <t>I_total_i (en N.s)</t>
  </si>
  <si>
    <t>Micro</t>
  </si>
  <si>
    <t>Fusex</t>
  </si>
  <si>
    <t>Mini</t>
  </si>
  <si>
    <t>0 satellite</t>
  </si>
  <si>
    <t>1 satellite</t>
  </si>
  <si>
    <t>http://creativecommons.org/licenses/by-sa/3.0/</t>
  </si>
  <si>
    <t>VL4</t>
  </si>
  <si>
    <t>Vsortie de rampe (&gt; 18 m/s)</t>
  </si>
  <si>
    <t>10 &lt; finesse &lt; 20</t>
  </si>
  <si>
    <t>15 &lt; Cn &lt; 30</t>
  </si>
  <si>
    <t>30 &lt; Ms x Cn &lt; 100</t>
  </si>
  <si>
    <t>RC1</t>
  </si>
  <si>
    <t>5 &lt; Vc &lt; 15 m/s</t>
  </si>
  <si>
    <t>RC2</t>
  </si>
  <si>
    <t>Temps de retard ralentisseur</t>
  </si>
  <si>
    <t>RC5</t>
  </si>
  <si>
    <t>Portée balistique (m)</t>
  </si>
  <si>
    <t>Temps de vol avec parachute (s)</t>
  </si>
  <si>
    <t>Culmination</t>
  </si>
  <si>
    <t>Accélération max (m/s²)</t>
  </si>
  <si>
    <t>Vmax (m/s)</t>
  </si>
  <si>
    <t>Altitude (m)</t>
  </si>
  <si>
    <t>Temps (s)</t>
  </si>
  <si>
    <t>Vitesse (m/s)</t>
  </si>
  <si>
    <t>Inclinaison</t>
  </si>
  <si>
    <t>Longueur totale</t>
  </si>
  <si>
    <t>Longueur rampe</t>
  </si>
  <si>
    <t>Epaisseur ailerons</t>
  </si>
  <si>
    <t>Nombre ailerons</t>
  </si>
  <si>
    <t>Type d'ogive</t>
  </si>
  <si>
    <t>Longueur ogive "l"</t>
  </si>
  <si>
    <t>Haut du propu "Prop"</t>
  </si>
  <si>
    <t>Diamètre "D"</t>
  </si>
  <si>
    <t>Position ailerons "L"</t>
  </si>
  <si>
    <t>M</t>
  </si>
  <si>
    <t>Microsoft Excel 2003 ou +</t>
  </si>
  <si>
    <t>s</t>
  </si>
  <si>
    <t>m/s</t>
  </si>
  <si>
    <t>°</t>
  </si>
  <si>
    <t>Transition A</t>
  </si>
  <si>
    <t>Transition B</t>
  </si>
  <si>
    <t>Jaune</t>
  </si>
  <si>
    <t>conique</t>
  </si>
  <si>
    <t>ogive</t>
  </si>
  <si>
    <t>parabole</t>
  </si>
  <si>
    <t>env pt4</t>
  </si>
  <si>
    <t>flèche pt2</t>
  </si>
  <si>
    <t>saumon pt3</t>
  </si>
  <si>
    <t>flèche milieu</t>
  </si>
  <si>
    <t>env milieu</t>
  </si>
  <si>
    <t>saumon milieu</t>
  </si>
  <si>
    <t>empl milieu</t>
  </si>
  <si>
    <t>empl pt4</t>
  </si>
  <si>
    <t>MS milieu</t>
  </si>
  <si>
    <t>MS Xcp</t>
  </si>
  <si>
    <t>1s</t>
  </si>
  <si>
    <t>t/T</t>
  </si>
  <si>
    <t>z/Z</t>
  </si>
  <si>
    <t>vertical</t>
  </si>
  <si>
    <t>horizontal</t>
  </si>
  <si>
    <t>flèches</t>
  </si>
  <si>
    <t>StabTraj</t>
  </si>
  <si>
    <t>StabTraj V3.0</t>
  </si>
  <si>
    <t>Trajecto</t>
  </si>
  <si>
    <t>µ-propu</t>
  </si>
  <si>
    <t>Minif</t>
  </si>
  <si>
    <t xml:space="preserve"> </t>
  </si>
  <si>
    <t>Événements</t>
  </si>
  <si>
    <t>Sous-échantillon 1Hz</t>
  </si>
  <si>
    <t>pos_x</t>
  </si>
  <si>
    <t>pos_z</t>
  </si>
  <si>
    <t>pos_xz</t>
  </si>
  <si>
    <t>vit_x</t>
  </si>
  <si>
    <t>vit_z</t>
  </si>
  <si>
    <t>vit_xz</t>
  </si>
  <si>
    <t>acc_x</t>
  </si>
  <si>
    <t>acc_z</t>
  </si>
  <si>
    <t>acc_xz</t>
  </si>
  <si>
    <t>Donneés au format des fiches de contrôles Fusex :</t>
  </si>
  <si>
    <t>Diamètre max</t>
  </si>
  <si>
    <t>Envergure totale</t>
  </si>
  <si>
    <t>sans</t>
  </si>
  <si>
    <t>vide</t>
  </si>
  <si>
    <t>plein</t>
  </si>
  <si>
    <t>Masse</t>
  </si>
  <si>
    <t>STAB 1</t>
  </si>
  <si>
    <t>STAB 2</t>
  </si>
  <si>
    <t>STAB 3</t>
  </si>
  <si>
    <t>STAB 4</t>
  </si>
  <si>
    <t>STAB 5</t>
  </si>
  <si>
    <t>Vsortie de rampe (&gt; 20 m/s)</t>
  </si>
  <si>
    <t>10 &lt; finesse &lt; 35</t>
  </si>
  <si>
    <t>15 &lt; Portance &lt; 40</t>
  </si>
  <si>
    <t>2*D &lt; Ms &lt; 6*D</t>
  </si>
  <si>
    <t>40 &lt; Ms x Cn &lt; 100</t>
  </si>
  <si>
    <t>Maître couple (m²)</t>
  </si>
  <si>
    <t>Site</t>
  </si>
  <si>
    <t>Temps balistique (s)</t>
  </si>
  <si>
    <t>Temps culmi (s)</t>
  </si>
  <si>
    <t>Altitude culmi (m)</t>
  </si>
  <si>
    <t>Vitesse culmi (m/s)</t>
  </si>
  <si>
    <t>CdG</t>
  </si>
  <si>
    <t>Diamètre max (40à200)</t>
  </si>
  <si>
    <t>Envergure totale &lt;720</t>
  </si>
  <si>
    <t>Masse &lt;15</t>
  </si>
  <si>
    <t>Pensez à modifier l'inclinaison pour avoir les 2 valeurs.</t>
  </si>
  <si>
    <t>Resist long aileron</t>
  </si>
  <si>
    <t>Resist transv aileron</t>
  </si>
  <si>
    <t>Compression 2.Acc.M</t>
  </si>
  <si>
    <t>N</t>
  </si>
  <si>
    <t>kg</t>
  </si>
  <si>
    <t>Surface aileron (m²)</t>
  </si>
  <si>
    <t>Masse aileron (kg)</t>
  </si>
  <si>
    <t>T dépotage +/-2s /appogée</t>
  </si>
  <si>
    <t>REC 2</t>
  </si>
  <si>
    <t>SEQ 5</t>
  </si>
  <si>
    <t>CR 1</t>
  </si>
  <si>
    <t>CR 2</t>
  </si>
  <si>
    <t>MEC 3</t>
  </si>
  <si>
    <t>Vitesse à l'ouverture m/s</t>
  </si>
  <si>
    <t>Surface parachute m²</t>
  </si>
  <si>
    <t xml:space="preserve">Choc à l'ouverture   N </t>
  </si>
  <si>
    <t>Choc à l'ouverture   kg</t>
  </si>
  <si>
    <t>Compression porte</t>
  </si>
  <si>
    <t>Masse au-dessus porte</t>
  </si>
  <si>
    <t>REC 8</t>
  </si>
  <si>
    <t>rad</t>
  </si>
  <si>
    <t>kg/s</t>
  </si>
  <si>
    <t>Méthodes d'intégration maison</t>
  </si>
  <si>
    <t>Wikipedia</t>
  </si>
  <si>
    <t>Pour se limiter à 1000 lignes, pas variable (les transitions sont-elles rigoureuses ?).</t>
  </si>
  <si>
    <t>Le Vol de la Fusée</t>
  </si>
  <si>
    <t>Beeman (2nd order, explicit variant)</t>
  </si>
  <si>
    <t>Newmark-beta (with γ=1/2 &amp; β=1/4) (2nd order)</t>
  </si>
  <si>
    <t>Spécificités de notre problème (2nd order mechanical ODE) :</t>
  </si>
  <si>
    <t>Verlet (2-stage 2nd order, symplectic, explicit)</t>
  </si>
  <si>
    <t>Trajec 2.x utililse un mélange douteux de différentes méthodes :</t>
  </si>
  <si>
    <t>Méthodes d'intégration explicites officielles</t>
  </si>
  <si>
    <t>On peut anticiper la Poussée (force qui varie le +) et la masse.</t>
  </si>
  <si>
    <t>L'Acc dépend de la vitesse (et peu de la position).</t>
  </si>
  <si>
    <t>Semi-implicit Euler (1st order, symplectic) [§ "Euler modifié" dans Le Vol de La Fusée]</t>
  </si>
  <si>
    <t>Explicit Euler (1st order, non-symplectic) [RK1]</t>
  </si>
  <si>
    <t>Velocity Verlet, Leapfrog variant (2nd order, symplectic, explicit)</t>
  </si>
  <si>
    <t>Midpoint, Modified Euler (2nd order, explicit) [§ "RK2" dans Le Vol de La Fusée]</t>
  </si>
  <si>
    <t>Heun, Improved Euler (2-stage 2nd-order, explicit, predictor-corrector) [Trapezoidal] [RK2]</t>
  </si>
  <si>
    <t>Les méthodes symplectic (conserve l'énergie) gardent-elles leur avantage quand la masse varie (ph propu) ?</t>
  </si>
  <si>
    <t>Sous Excel, on a les pas précédent (linear multistep possible), mais ordre élevé ou implicite sont à exclure.</t>
  </si>
  <si>
    <t>Multi{sub}step (RK), linear multi{previous}step (ADAMS), predictor-corrector, implicit …</t>
  </si>
  <si>
    <t>Dynamique de la fusée (repère sol)</t>
  </si>
  <si>
    <t>Brun/Orange…</t>
  </si>
  <si>
    <t>Rouge…</t>
  </si>
  <si>
    <t>Trajecto/StabTraj corrige l'erreur de Trajec sur Xn+1 en utilisant la vitesse moyenne :</t>
  </si>
  <si>
    <t>Idéalement, il serait préférable de tout calculer à n+0.5 (m, V, β, ρ).</t>
  </si>
  <si>
    <t>Checksum :</t>
  </si>
  <si>
    <t>M_éjecté</t>
  </si>
  <si>
    <t>M_burnout</t>
  </si>
  <si>
    <t>m_poudre</t>
  </si>
  <si>
    <t>Wapiti</t>
  </si>
  <si>
    <t>Cariacou</t>
  </si>
  <si>
    <t>H2O</t>
  </si>
  <si>
    <t>H2O 2.0L 400g 6bar</t>
  </si>
  <si>
    <t>H2O 2.0L 600g 6bar</t>
  </si>
  <si>
    <t>H2O 2.0L 800g 6bar</t>
  </si>
  <si>
    <t>H2O 2.0L 1000g 6bar</t>
  </si>
  <si>
    <t>ABACO</t>
  </si>
  <si>
    <t>Masse totale</t>
  </si>
  <si>
    <t>Traînée prop</t>
  </si>
  <si>
    <t>Traînée bal</t>
  </si>
  <si>
    <t>1/2.ρ.S.Cx</t>
  </si>
  <si>
    <t>M ph prop</t>
  </si>
  <si>
    <t>M ph bal</t>
  </si>
  <si>
    <t>alt_prop</t>
  </si>
  <si>
    <t>V_prop</t>
  </si>
  <si>
    <t>t_culmi</t>
  </si>
  <si>
    <t>D_var</t>
  </si>
  <si>
    <t>Q_var</t>
  </si>
  <si>
    <t>m_var</t>
  </si>
  <si>
    <t>m_prop</t>
  </si>
  <si>
    <t>m_bal</t>
  </si>
  <si>
    <t>a_prop</t>
  </si>
  <si>
    <t>b_prop</t>
  </si>
  <si>
    <t>b_bal</t>
  </si>
  <si>
    <t>Alt prop</t>
  </si>
  <si>
    <t>V max</t>
  </si>
  <si>
    <t>LibreOffice Calc 3.4 ou +</t>
  </si>
  <si>
    <t>alt_culmi</t>
  </si>
  <si>
    <t>x_triomphe</t>
  </si>
  <si>
    <t>z_triomphe</t>
  </si>
  <si>
    <t>Arc de triomphe</t>
  </si>
  <si>
    <t>z_Eiffel</t>
  </si>
  <si>
    <t>x_Eiffel</t>
  </si>
  <si>
    <t>Tour Eiffel</t>
  </si>
  <si>
    <t>H2O 1.5L 300g 6bar</t>
  </si>
  <si>
    <t>H2O 1.5L 450g 6bar</t>
  </si>
  <si>
    <t>H2O 1.5L 600g 6bar</t>
  </si>
  <si>
    <t>H2O 1.5L 750g 6bar</t>
  </si>
  <si>
    <t>FUSEX</t>
  </si>
  <si>
    <t>MINIF PRO29-1G</t>
  </si>
  <si>
    <t>MINIF PRO24-3G</t>
  </si>
  <si>
    <t>MINIF PRO29-2G</t>
  </si>
  <si>
    <t>MINIF PRO24-1G</t>
  </si>
  <si>
    <t>Pro98-2G WT</t>
  </si>
  <si>
    <t>Pro98-3G WT</t>
  </si>
  <si>
    <t>p24-1G 24E22</t>
  </si>
  <si>
    <t>p24-1G 26E31</t>
  </si>
  <si>
    <t>p24-3G 60F50</t>
  </si>
  <si>
    <t>p24-3G 68F79</t>
  </si>
  <si>
    <t>p24-3G 68F240</t>
  </si>
  <si>
    <t>p24-3G 73F30</t>
  </si>
  <si>
    <t>p24-3G 74F85</t>
  </si>
  <si>
    <t>p24-3G 75F51</t>
  </si>
  <si>
    <t>StabTraj V3.1</t>
  </si>
  <si>
    <t>StabTraj V3.2</t>
  </si>
  <si>
    <t>µ-propu C6-3 x2</t>
  </si>
  <si>
    <t>µ-propu C6-3 x3</t>
  </si>
  <si>
    <t>Propu : +RC &amp; +Tintin 2013 : 3 p24-1G, p24-3G 75F51 &amp; 60F50, Pro98-2G &amp; 3G WT</t>
  </si>
  <si>
    <t>Propu : +multi-µ-fu, -Wapiti, warning Cariacou, "Rufina"</t>
  </si>
  <si>
    <t>Donneés au format des fiches de lancement Fusex :</t>
  </si>
  <si>
    <t>Projet</t>
  </si>
  <si>
    <t>Chef de projet</t>
  </si>
  <si>
    <t>Date</t>
  </si>
  <si>
    <t>Moteur</t>
  </si>
  <si>
    <t>Virole</t>
  </si>
  <si>
    <t>MECANIQUE</t>
  </si>
  <si>
    <t xml:space="preserve">l = </t>
  </si>
  <si>
    <t xml:space="preserve">D = </t>
  </si>
  <si>
    <t>Dj =</t>
  </si>
  <si>
    <t xml:space="preserve">Dr = </t>
  </si>
  <si>
    <t xml:space="preserve">m = </t>
  </si>
  <si>
    <t>Epaisseur :</t>
  </si>
  <si>
    <t>Nb Aileron</t>
  </si>
  <si>
    <t>Type ogive</t>
  </si>
  <si>
    <t>ogivale</t>
  </si>
  <si>
    <t>parabolique</t>
  </si>
  <si>
    <t>X_plaque de poussée</t>
  </si>
  <si>
    <t>Masse fusée</t>
  </si>
  <si>
    <t>X_CdG</t>
  </si>
  <si>
    <t>Propu plein</t>
  </si>
  <si>
    <t>Sans propu</t>
  </si>
  <si>
    <t>Masse avec propu vide</t>
  </si>
  <si>
    <t>Simulation de vol</t>
  </si>
  <si>
    <t>Tenue mécanique</t>
  </si>
  <si>
    <t>masse d'un aileron</t>
  </si>
  <si>
    <t>superficie d'un aileron</t>
  </si>
  <si>
    <t>fleche acceptable(mm)</t>
  </si>
  <si>
    <t>compression</t>
  </si>
  <si>
    <t>Resistance longitudinale d'un aileron</t>
  </si>
  <si>
    <t>Resistance transversale d'un aileron</t>
  </si>
  <si>
    <t>Récupération</t>
  </si>
  <si>
    <t>Ralentisseur</t>
  </si>
  <si>
    <t>nombre de suspentes</t>
  </si>
  <si>
    <t>surface parachute</t>
  </si>
  <si>
    <t>force à tester totale</t>
  </si>
  <si>
    <t>force sur suspente</t>
  </si>
  <si>
    <t>Séparation latérale</t>
  </si>
  <si>
    <t>masse au dessus case para</t>
  </si>
  <si>
    <t>Force de compression</t>
  </si>
  <si>
    <t>MINIF PRO24-6G</t>
  </si>
  <si>
    <t>MINIF PRO38-1G</t>
  </si>
  <si>
    <t>p29-2G 84G88</t>
  </si>
  <si>
    <t>p29-2G 93G80</t>
  </si>
  <si>
    <t>p29-2G 110G250</t>
  </si>
  <si>
    <t>p29-2G 116G126</t>
  </si>
  <si>
    <t>p38-1G 137G58</t>
  </si>
  <si>
    <t>p38-1G 128G185</t>
  </si>
  <si>
    <t>p29-1G 41F36</t>
  </si>
  <si>
    <t>p29-1G 51F36</t>
  </si>
  <si>
    <t>p29-1G 55F29</t>
  </si>
  <si>
    <t>p29-1G 56F120</t>
  </si>
  <si>
    <t>p29-1G 57F59</t>
  </si>
  <si>
    <t>MINIF PRO29-3G</t>
  </si>
  <si>
    <t>p29-3G 125G131</t>
  </si>
  <si>
    <t>p38-1G 141G78</t>
  </si>
  <si>
    <t>MINIF PRO24-2G</t>
  </si>
  <si>
    <t>p24-2G 50E51</t>
  </si>
  <si>
    <t>p24-1G 53E70</t>
  </si>
  <si>
    <t>p29-3G 159G125</t>
  </si>
  <si>
    <t>Dépotage</t>
  </si>
  <si>
    <t>Combustion</t>
  </si>
  <si>
    <t>Sylvain Besson</t>
  </si>
  <si>
    <t>Minif Test</t>
  </si>
  <si>
    <t>Rocketry Challenge</t>
  </si>
  <si>
    <t>,Minif Tests</t>
  </si>
  <si>
    <t>MiniR</t>
  </si>
  <si>
    <t>MiniRN</t>
  </si>
  <si>
    <t>MiniN</t>
  </si>
  <si>
    <t>H20</t>
  </si>
  <si>
    <t>micro</t>
  </si>
  <si>
    <t>minif N</t>
  </si>
  <si>
    <t>Verification moteur</t>
  </si>
  <si>
    <t>Minif RC</t>
  </si>
  <si>
    <t>N/A</t>
  </si>
  <si>
    <t>T_para =</t>
  </si>
  <si>
    <t>-9</t>
  </si>
  <si>
    <t>-7</t>
  </si>
  <si>
    <t>-5</t>
  </si>
  <si>
    <t>-3</t>
  </si>
  <si>
    <t>-0</t>
  </si>
  <si>
    <t>Délais dépotage</t>
  </si>
  <si>
    <t>Propu : +ProX, Stabilito : séparation minif/RC, Trajecto : dépotage +rampe RC 3m</t>
  </si>
  <si>
    <t>StabTraj V3.3a</t>
  </si>
  <si>
    <t>p24-1G 25E75 (Rufina)</t>
  </si>
  <si>
    <t>Modification des alertes, +Effort subit par les parachutes</t>
  </si>
  <si>
    <t>Pour prendre en compte plsu de moteurs, il faut changer les variables "menu_type" et "liste"propu" dans le gestionnaire de noms.</t>
  </si>
  <si>
    <t>StabTraj V3.3e</t>
  </si>
  <si>
    <t>Efforts</t>
  </si>
  <si>
    <t>Xcp0</t>
  </si>
  <si>
    <t>sans propu</t>
  </si>
  <si>
    <t>Mono-empennage</t>
  </si>
  <si>
    <t>Bi-empennage</t>
  </si>
  <si>
    <t>Portée balistique &lt; 200 m</t>
  </si>
  <si>
    <t>Indication dépotage lanceur</t>
  </si>
  <si>
    <t>~0 m</t>
  </si>
  <si>
    <t>Données au format des fiches de contrôles minif :</t>
  </si>
  <si>
    <t xml:space="preserve">n = </t>
  </si>
  <si>
    <t xml:space="preserve">E = </t>
  </si>
  <si>
    <t xml:space="preserve">p = </t>
  </si>
  <si>
    <t>1,5.D &lt; Ms &lt; 6.D</t>
  </si>
  <si>
    <t xml:space="preserve">ailrons haut </t>
  </si>
  <si>
    <t>nombre</t>
  </si>
  <si>
    <t xml:space="preserve">ep = </t>
  </si>
  <si>
    <t>Fusée</t>
  </si>
  <si>
    <t>D</t>
  </si>
  <si>
    <t>L ogive</t>
  </si>
  <si>
    <t>L tot</t>
  </si>
  <si>
    <t>X prop</t>
  </si>
  <si>
    <t>Ailerons</t>
  </si>
  <si>
    <t>n</t>
  </si>
  <si>
    <t>p</t>
  </si>
  <si>
    <t>E</t>
  </si>
  <si>
    <t>X ail</t>
  </si>
  <si>
    <t>Bi empennage</t>
  </si>
  <si>
    <t>L</t>
  </si>
  <si>
    <t>D 1</t>
  </si>
  <si>
    <t>D 2</t>
  </si>
  <si>
    <t>X</t>
  </si>
  <si>
    <t>X cg (sans)</t>
  </si>
  <si>
    <t>(mm)</t>
  </si>
  <si>
    <t>Masse sans propu (kg)</t>
  </si>
  <si>
    <t>Couleur de la fusée</t>
  </si>
  <si>
    <t>Type d'éjection du para.</t>
  </si>
  <si>
    <t>Couleur du ralentisseur</t>
  </si>
  <si>
    <t>Surface ralentisseur (m²)</t>
  </si>
  <si>
    <t>Masse sans prop. (kg)</t>
  </si>
  <si>
    <t>Diamètre max (mm)</t>
  </si>
  <si>
    <t>Longeur de la rampe (m)</t>
  </si>
  <si>
    <t>Propulseur</t>
  </si>
  <si>
    <t>module rocket(){</t>
  </si>
  <si>
    <t>}</t>
  </si>
  <si>
    <t>//--------------------------------coiffe</t>
  </si>
  <si>
    <t>if (coiffe_type   == "conique"){</t>
  </si>
  <si>
    <t>//--------------------------------corps</t>
  </si>
  <si>
    <t>if (plusieur_diametres == false){</t>
  </si>
  <si>
    <t>} else {</t>
  </si>
  <si>
    <t>//--------------------------------ailerons</t>
  </si>
  <si>
    <t>aileron(coiffe_diametre, aileron_m_emplature,</t>
  </si>
  <si>
    <t xml:space="preserve"> aileron_position_bas);</t>
  </si>
  <si>
    <t>if (bi_empennage == true){</t>
  </si>
  <si>
    <t xml:space="preserve"> aileron_sup_nombre,</t>
  </si>
  <si>
    <t>rocket();</t>
  </si>
  <si>
    <t xml:space="preserve">	module aileron(diam, m, n, p, e, ep, nb, pos, masque = true){</t>
  </si>
  <si>
    <t xml:space="preserve"> 		depha =   masque ? 0 : 45 ;</t>
  </si>
  <si>
    <t xml:space="preserve">		for (angle = [0 : 360/nb : 360] ){</t>
  </si>
  <si>
    <t xml:space="preserve">			translate ([-diam*sin(angle+depha), diam*cos(angle+depha), pos-m]) {</t>
  </si>
  <si>
    <t xml:space="preserve">				rotate( [0, 0, angle+depha] ){</t>
  </si>
  <si>
    <t xml:space="preserve">	</t>
  </si>
  <si>
    <t xml:space="preserve">					polyhedron</t>
  </si>
  <si>
    <t xml:space="preserve">						(points = [</t>
  </si>
  <si>
    <t xml:space="preserve">							[+ep, 0, 0], [+ep, 0, m], [+ep, e, p+n],  [+ep, e, p],</t>
  </si>
  <si>
    <t xml:space="preserve">							[-ep, 0, 0], [-ep, 0, m], [-ep, e, p+n],  [-ep, e, p]</t>
  </si>
  <si>
    <t xml:space="preserve">							],</t>
  </si>
  <si>
    <t xml:space="preserve">						triangles = [</t>
  </si>
  <si>
    <t xml:space="preserve">							[0, 2, 1], [0, 2, 3], //carre +</t>
  </si>
  <si>
    <t xml:space="preserve">							[4, 6, 5], [4, 6, 7], //carre -</t>
  </si>
  <si>
    <t xml:space="preserve">							[0, 5, 1], [0, 5, 4],</t>
  </si>
  <si>
    <t xml:space="preserve">							[1, 6, 2], [1, 6, 5],</t>
  </si>
  <si>
    <t xml:space="preserve">							[2, 7, 3], [2, 7, 6],</t>
  </si>
  <si>
    <t xml:space="preserve">							[0, 7, 3], [0, 7, 4]</t>
  </si>
  <si>
    <t xml:space="preserve">							]</t>
  </si>
  <si>
    <t xml:space="preserve">						);</t>
  </si>
  <si>
    <t xml:space="preserve">				}</t>
  </si>
  <si>
    <t xml:space="preserve">			}</t>
  </si>
  <si>
    <t xml:space="preserve">		}</t>
  </si>
  <si>
    <t xml:space="preserve">	}	</t>
  </si>
  <si>
    <t xml:space="preserve">	module coiffe(diam, hauteur, resolution = 20.0){</t>
  </si>
  <si>
    <t xml:space="preserve">		pas = hauteur/resolution;</t>
  </si>
  <si>
    <t xml:space="preserve">		for (x = [0: pas : hauteur] ){</t>
  </si>
  <si>
    <t xml:space="preserve">			translate( [0, 0, x+pas] ){</t>
  </si>
  <si>
    <t xml:space="preserve">				cylinder(pas, pow(x, 1.0/2.0), pow(x+pas, 1.0/2.0), false);</t>
  </si>
  <si>
    <t xml:space="preserve">	}</t>
  </si>
  <si>
    <t xml:space="preserve">	cylinder(coiffe_hauteur, 0, coiffe_diametre, false);</t>
  </si>
  <si>
    <t xml:space="preserve">	translate ([0, 0, coiffe_hauteur]) {</t>
  </si>
  <si>
    <t xml:space="preserve">		cylinder(longeur_total-coiffe_hauteur, coiffe_diametre, coiffe_diametre, false);</t>
  </si>
  <si>
    <t xml:space="preserve">	//Premier cylindre</t>
  </si>
  <si>
    <t xml:space="preserve">		cylinder(diam_A_X_implantation-coiffe_hauteur, coiffe_diametre, coiffe_diametre, false);</t>
  </si>
  <si>
    <t xml:space="preserve">	//Premier chanvrin</t>
  </si>
  <si>
    <t xml:space="preserve">	translate ([0, 0, diam_A_X_implantation]) {</t>
  </si>
  <si>
    <t xml:space="preserve">		cylinder(diam_A_L_longeur, diam_A_D1_diametre, diam_A_D2_diametre, false);</t>
  </si>
  <si>
    <t xml:space="preserve">		</t>
  </si>
  <si>
    <t xml:space="preserve">	//Second cylindre</t>
  </si>
  <si>
    <t xml:space="preserve">	translate ([0, 0, diam_A_X_implantation+diam_A_L_longeur]) {</t>
  </si>
  <si>
    <t xml:space="preserve">		cylinder(diam_B_X_implantation-(diam_A_X_implantation+diam_A_L_longeur), diam_A_D2_diametre, diam_B_D1_diametre, false);</t>
  </si>
  <si>
    <t xml:space="preserve">	//Second chanvrin</t>
  </si>
  <si>
    <t xml:space="preserve">	translate ([0, 0, diam_B_X_implantation]) {</t>
  </si>
  <si>
    <t xml:space="preserve">		cylinder(diam_B_L_longeur, diam_B_D1_diametre, diam_B_D2_diametre, false);</t>
  </si>
  <si>
    <t xml:space="preserve">	//Troisieme cylindre</t>
  </si>
  <si>
    <t xml:space="preserve">	translate ([0, 0, diam_B_X_implantation + diam_B_L_longeur]) {</t>
  </si>
  <si>
    <t xml:space="preserve">		cylinder(longeur_total-(diam_B_X_implantation + diam_B_L_longeur), diam_B_D2_diametre, diam_B_D2_diametre, false);</t>
  </si>
  <si>
    <t xml:space="preserve">	 aileron_n_saumon, </t>
  </si>
  <si>
    <t xml:space="preserve">	 aileron_p_fleche,</t>
  </si>
  <si>
    <t xml:space="preserve">	 aileron_e_envergure,</t>
  </si>
  <si>
    <t xml:space="preserve">	 aileron_epaisseur,</t>
  </si>
  <si>
    <t xml:space="preserve">	 aileron_nombre,</t>
  </si>
  <si>
    <t xml:space="preserve">	aileron(coiffe_diametre, aileron_sup_m_emplature,</t>
  </si>
  <si>
    <t xml:space="preserve">	 aileron_sup_n_saumon,</t>
  </si>
  <si>
    <t xml:space="preserve">	 aileron_sup_p_fleche,</t>
  </si>
  <si>
    <t xml:space="preserve">	 aileron_sup_e_envergure,</t>
  </si>
  <si>
    <t xml:space="preserve">	 aileron_sup_epaisseur,</t>
  </si>
  <si>
    <t xml:space="preserve">	 aileron_sup_position_bas,</t>
  </si>
  <si>
    <t xml:space="preserve">	 aileron_sup_masque);</t>
  </si>
  <si>
    <t>p24-6G 140G145 PK</t>
  </si>
  <si>
    <t>p24-6G 139G107 DT</t>
  </si>
  <si>
    <t>p24-6G 142G117 WT</t>
  </si>
  <si>
    <t>Klima D9-7 x2</t>
  </si>
  <si>
    <t>Klima D9-7 x3</t>
  </si>
  <si>
    <t>Klima D9-7</t>
  </si>
  <si>
    <t>StabTraj V3.4.1</t>
  </si>
  <si>
    <t>Propu : +Klima D9</t>
  </si>
  <si>
    <t>v3.4.2</t>
  </si>
  <si>
    <t>p29-1G 56F31</t>
  </si>
  <si>
    <t xml:space="preserve"> 143G150 BS</t>
  </si>
  <si>
    <t>StabTraj V3.4.2</t>
  </si>
  <si>
    <t>Ogivale (pointue)</t>
  </si>
  <si>
    <t>Ajout propu</t>
  </si>
  <si>
    <t>Fusée mono-diamètre,</t>
  </si>
  <si>
    <t>Pandora (Pro24-6G BS)</t>
  </si>
  <si>
    <t>Barasinga (Pro54-5G C)</t>
  </si>
  <si>
    <t>Orignal (Pro75-3G C)</t>
  </si>
  <si>
    <t>Blastocerus (Pro98-6GXL RL)</t>
  </si>
  <si>
    <t>Indra</t>
  </si>
  <si>
    <t>Space'Tech Orléans</t>
  </si>
  <si>
    <t>Fusée expérimentale.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</si>
</sst>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3">
    <numFmt numFmtId="164" formatCode="General&quot; kg&quot;"/>
    <numFmt numFmtId="165" formatCode="0.0"/>
    <numFmt numFmtId="166" formatCode="0.000000&quot; m²&quot;"/>
    <numFmt numFmtId="167" formatCode="General&quot; m&quot;"/>
    <numFmt numFmtId="168" formatCode="General&quot; °&quot;"/>
    <numFmt numFmtId="169" formatCode="0.000"/>
    <numFmt numFmtId="170" formatCode="General&quot; s&quot;"/>
    <numFmt numFmtId="171" formatCode="General&quot; m²&quot;"/>
    <numFmt numFmtId="172" formatCode="0&quot; m/s&quot;"/>
    <numFmt numFmtId="173" formatCode="0&quot; s&quot;"/>
    <numFmt numFmtId="174" formatCode="General&quot; m/s&quot;"/>
    <numFmt numFmtId="175" formatCode="0&quot; m&quot;"/>
    <numFmt numFmtId="176" formatCode="General\ &quot;kg&quot;"/>
    <numFmt numFmtId="177" formatCode="General\ &quot;mm&quot;"/>
    <numFmt numFmtId="178" formatCode="0&quot; mm&quot;"/>
    <numFmt numFmtId="179" formatCode="General\ &quot;D&quot;"/>
    <numFmt numFmtId="180" formatCode="0.00&quot; D&quot;"/>
    <numFmt numFmtId="181" formatCode="0&quot;% L&quot;"/>
    <numFmt numFmtId="182" formatCode="General\°"/>
    <numFmt numFmtId="183" formatCode="0.#"/>
    <numFmt numFmtId="184" formatCode="0.0&quot; N.s&quot;"/>
    <numFmt numFmtId="185" formatCode="\±\ 0&quot; m&quot;"/>
    <numFmt numFmtId="186" formatCode="0.0&quot; s&quot;"/>
    <numFmt numFmtId="187" formatCode="0.0&quot; m/s&quot;"/>
    <numFmt numFmtId="188" formatCode="0&quot; m/s²&quot;"/>
    <numFmt numFmtId="189" formatCode="0.00&quot; m²&quot;"/>
    <numFmt numFmtId="190" formatCode="General\ &quot;g&quot;"/>
    <numFmt numFmtId="191" formatCode="#,##0.0\ [$ N]"/>
    <numFmt numFmtId="192" formatCode="#,##0.000\ [$KG]"/>
    <numFmt numFmtId="193" formatCode="0.0&quot; mm&quot;"/>
    <numFmt numFmtId="194" formatCode="General&quot; kg ±100%&quot;"/>
    <numFmt numFmtId="195" formatCode="0&quot; mm ±50%&quot;"/>
    <numFmt numFmtId="196" formatCode="General\ &quot;m/s²&quot;"/>
    <numFmt numFmtId="197" formatCode="&quot;Ø = &quot;0&quot; mm&quot;"/>
    <numFmt numFmtId="198" formatCode="#,##0\ [$ mm²]"/>
    <numFmt numFmtId="199" formatCode="#,#00\ [$ mm]"/>
    <numFmt numFmtId="200" formatCode="#,##0\ [$mm]"/>
    <numFmt numFmtId="201" formatCode="#,##0.00000\ [$ m²]"/>
    <numFmt numFmtId="202" formatCode="#,##0.0\ [$ kg]"/>
    <numFmt numFmtId="203" formatCode="0.00&quot; s&quot;"/>
    <numFmt numFmtId="204" formatCode="0.0&quot; N&quot;"/>
    <numFmt numFmtId="205" formatCode="0&quot; J&quot;"/>
    <numFmt numFmtId="206" formatCode="0&quot; G&quot;"/>
  </numFmts>
  <fonts count="51" x14ac:knownFonts="1">
    <font>
      <sz val="10"/>
      <name val="Arial"/>
      <family val="2"/>
    </font>
    <font>
      <sz val="10"/>
      <name val="Arial"/>
      <family val="2"/>
    </font>
    <font>
      <b/>
      <sz val="10"/>
      <name val="Arial"/>
      <family val="2"/>
    </font>
    <font>
      <b/>
      <sz val="20"/>
      <color indexed="9"/>
      <name val="Arial"/>
      <family val="2"/>
    </font>
    <font>
      <b/>
      <sz val="12"/>
      <name val="Times New Roman"/>
      <family val="1"/>
    </font>
    <font>
      <b/>
      <sz val="9"/>
      <name val="Arial"/>
      <family val="2"/>
    </font>
    <font>
      <b/>
      <u/>
      <sz val="10"/>
      <name val="Arial"/>
      <family val="2"/>
    </font>
    <font>
      <sz val="10"/>
      <color indexed="9"/>
      <name val="Arial"/>
      <family val="2"/>
    </font>
    <font>
      <sz val="8"/>
      <name val="Arial"/>
      <family val="2"/>
    </font>
    <font>
      <u/>
      <sz val="10"/>
      <name val="Arial"/>
      <family val="2"/>
    </font>
    <font>
      <u/>
      <sz val="10"/>
      <color indexed="12"/>
      <name val="Arial"/>
      <family val="2"/>
    </font>
    <font>
      <b/>
      <sz val="10"/>
      <color indexed="18"/>
      <name val="Arial"/>
      <family val="2"/>
    </font>
    <font>
      <b/>
      <sz val="10"/>
      <color indexed="58"/>
      <name val="Arial"/>
      <family val="2"/>
    </font>
    <font>
      <b/>
      <sz val="10"/>
      <color indexed="17"/>
      <name val="Arial"/>
      <family val="2"/>
    </font>
    <font>
      <b/>
      <sz val="10"/>
      <color indexed="23"/>
      <name val="Arial"/>
      <family val="2"/>
    </font>
    <font>
      <sz val="10"/>
      <name val="Arial"/>
      <family val="2"/>
    </font>
    <font>
      <b/>
      <sz val="10"/>
      <color indexed="10"/>
      <name val="Arial"/>
      <family val="2"/>
    </font>
    <font>
      <b/>
      <sz val="14"/>
      <color indexed="10"/>
      <name val="Arial"/>
      <family val="2"/>
    </font>
    <font>
      <sz val="8"/>
      <color indexed="8"/>
      <name val="Tahoma"/>
      <family val="2"/>
    </font>
    <font>
      <i/>
      <sz val="8"/>
      <color indexed="8"/>
      <name val="Tahoma"/>
      <family val="2"/>
    </font>
    <font>
      <b/>
      <sz val="8"/>
      <color indexed="8"/>
      <name val="Tahoma"/>
      <family val="2"/>
    </font>
    <font>
      <sz val="8"/>
      <color indexed="10"/>
      <name val="Tahoma"/>
      <family val="2"/>
    </font>
    <font>
      <i/>
      <sz val="8"/>
      <color indexed="10"/>
      <name val="Tahoma"/>
      <family val="2"/>
    </font>
    <font>
      <b/>
      <u/>
      <sz val="8"/>
      <color indexed="8"/>
      <name val="Tahoma"/>
      <family val="2"/>
    </font>
    <font>
      <b/>
      <sz val="8"/>
      <color indexed="16"/>
      <name val="Tahoma"/>
      <family val="2"/>
    </font>
    <font>
      <i/>
      <sz val="8"/>
      <color indexed="16"/>
      <name val="Tahoma"/>
      <family val="2"/>
    </font>
    <font>
      <strike/>
      <sz val="10"/>
      <name val="Arial"/>
      <family val="2"/>
    </font>
    <font>
      <b/>
      <i/>
      <sz val="8"/>
      <color indexed="8"/>
      <name val="Tahoma"/>
      <family val="2"/>
    </font>
    <font>
      <b/>
      <sz val="10"/>
      <color indexed="23"/>
      <name val="Arial"/>
      <family val="2"/>
    </font>
    <font>
      <b/>
      <sz val="6"/>
      <name val="Arial"/>
      <family val="2"/>
    </font>
    <font>
      <sz val="8"/>
      <color indexed="23"/>
      <name val="Arial"/>
      <family val="2"/>
    </font>
    <font>
      <b/>
      <sz val="10"/>
      <color indexed="23"/>
      <name val="Arial"/>
      <family val="2"/>
    </font>
    <font>
      <b/>
      <sz val="10"/>
      <color indexed="23"/>
      <name val="Arial"/>
      <family val="2"/>
    </font>
    <font>
      <sz val="10"/>
      <color indexed="23"/>
      <name val="Arial"/>
      <family val="2"/>
    </font>
    <font>
      <sz val="10"/>
      <color indexed="12"/>
      <name val="Arial"/>
      <family val="2"/>
    </font>
    <font>
      <b/>
      <sz val="12"/>
      <name val="Arial"/>
      <family val="2"/>
    </font>
    <font>
      <b/>
      <sz val="8"/>
      <name val="Arial"/>
      <family val="2"/>
    </font>
    <font>
      <sz val="8"/>
      <color indexed="12"/>
      <name val="Tahoma"/>
      <family val="2"/>
    </font>
    <font>
      <i/>
      <sz val="8"/>
      <color indexed="12"/>
      <name val="Tahoma"/>
      <family val="2"/>
    </font>
    <font>
      <sz val="8"/>
      <color indexed="81"/>
      <name val="Tahoma"/>
      <family val="2"/>
    </font>
    <font>
      <i/>
      <sz val="8"/>
      <color indexed="81"/>
      <name val="Tahoma"/>
      <family val="2"/>
    </font>
    <font>
      <b/>
      <sz val="10"/>
      <color indexed="53"/>
      <name val="Arial"/>
      <family val="2"/>
    </font>
    <font>
      <b/>
      <u/>
      <sz val="12"/>
      <name val="Arial"/>
      <family val="2"/>
    </font>
    <font>
      <b/>
      <i/>
      <sz val="10"/>
      <name val="Arial"/>
      <family val="2"/>
    </font>
    <font>
      <b/>
      <sz val="8"/>
      <color indexed="81"/>
      <name val="Tahoma"/>
      <family val="2"/>
    </font>
    <font>
      <b/>
      <sz val="10"/>
      <color rgb="FFFF0000"/>
      <name val="Arial"/>
      <family val="2"/>
    </font>
    <font>
      <b/>
      <sz val="10"/>
      <color rgb="FF808080"/>
      <name val="Arial"/>
      <family val="2"/>
    </font>
    <font>
      <sz val="10"/>
      <color rgb="FF808080"/>
      <name val="Arial"/>
      <family val="2"/>
    </font>
    <font>
      <sz val="8"/>
      <color rgb="FF808080"/>
      <name val="Arial"/>
      <family val="2"/>
    </font>
    <font>
      <sz val="8"/>
      <color theme="0"/>
      <name val="Arial"/>
      <family val="2"/>
    </font>
    <font>
      <sz val="10"/>
      <color rgb="FFFF0000"/>
      <name val="Arial"/>
      <family val="2"/>
    </font>
  </fonts>
  <fills count="34">
    <fill>
      <patternFill patternType="none"/>
    </fill>
    <fill>
      <patternFill patternType="gray125"/>
    </fill>
    <fill>
      <patternFill patternType="solid">
        <fgColor indexed="9"/>
        <bgColor indexed="26"/>
      </patternFill>
    </fill>
    <fill>
      <patternFill patternType="solid">
        <fgColor indexed="43"/>
        <bgColor indexed="42"/>
      </patternFill>
    </fill>
    <fill>
      <patternFill patternType="solid">
        <fgColor indexed="43"/>
        <bgColor indexed="64"/>
      </patternFill>
    </fill>
    <fill>
      <patternFill patternType="solid">
        <fgColor indexed="27"/>
        <bgColor indexed="64"/>
      </patternFill>
    </fill>
    <fill>
      <patternFill patternType="solid">
        <fgColor indexed="44"/>
        <bgColor indexed="64"/>
      </patternFill>
    </fill>
    <fill>
      <patternFill patternType="solid">
        <fgColor indexed="27"/>
        <bgColor indexed="42"/>
      </patternFill>
    </fill>
    <fill>
      <patternFill patternType="solid">
        <fgColor indexed="44"/>
        <bgColor indexed="27"/>
      </patternFill>
    </fill>
    <fill>
      <patternFill patternType="solid">
        <fgColor indexed="44"/>
        <bgColor indexed="22"/>
      </patternFill>
    </fill>
    <fill>
      <patternFill patternType="solid">
        <fgColor indexed="47"/>
        <bgColor indexed="64"/>
      </patternFill>
    </fill>
    <fill>
      <patternFill patternType="solid">
        <fgColor indexed="47"/>
        <bgColor indexed="27"/>
      </patternFill>
    </fill>
    <fill>
      <patternFill patternType="solid">
        <fgColor indexed="47"/>
        <bgColor indexed="44"/>
      </patternFill>
    </fill>
    <fill>
      <patternFill patternType="solid">
        <fgColor indexed="42"/>
        <bgColor indexed="42"/>
      </patternFill>
    </fill>
    <fill>
      <patternFill patternType="solid">
        <fgColor indexed="42"/>
        <bgColor indexed="64"/>
      </patternFill>
    </fill>
    <fill>
      <patternFill patternType="solid">
        <fgColor indexed="43"/>
        <bgColor indexed="44"/>
      </patternFill>
    </fill>
    <fill>
      <patternFill patternType="solid">
        <fgColor indexed="26"/>
        <bgColor indexed="41"/>
      </patternFill>
    </fill>
    <fill>
      <patternFill patternType="solid">
        <fgColor indexed="42"/>
        <bgColor indexed="41"/>
      </patternFill>
    </fill>
    <fill>
      <patternFill patternType="solid">
        <fgColor indexed="43"/>
        <bgColor indexed="41"/>
      </patternFill>
    </fill>
    <fill>
      <patternFill patternType="solid">
        <fgColor indexed="8"/>
        <bgColor indexed="64"/>
      </patternFill>
    </fill>
    <fill>
      <patternFill patternType="solid">
        <fgColor indexed="8"/>
        <bgColor indexed="58"/>
      </patternFill>
    </fill>
    <fill>
      <patternFill patternType="solid">
        <fgColor rgb="FFCCFFFF"/>
        <bgColor indexed="41"/>
      </patternFill>
    </fill>
    <fill>
      <patternFill patternType="solid">
        <fgColor rgb="FF99CCFF"/>
        <bgColor indexed="31"/>
      </patternFill>
    </fill>
    <fill>
      <patternFill patternType="solid">
        <fgColor rgb="FFCCFFFF"/>
        <bgColor indexed="42"/>
      </patternFill>
    </fill>
    <fill>
      <patternFill patternType="solid">
        <fgColor rgb="FFCCFFCC"/>
        <bgColor indexed="42"/>
      </patternFill>
    </fill>
    <fill>
      <patternFill patternType="solid">
        <fgColor rgb="FFCCFFCC"/>
        <bgColor indexed="41"/>
      </patternFill>
    </fill>
    <fill>
      <patternFill patternType="solid">
        <fgColor rgb="FFFFCC99"/>
        <bgColor indexed="31"/>
      </patternFill>
    </fill>
    <fill>
      <patternFill patternType="solid">
        <fgColor rgb="FF99CCFF"/>
        <bgColor indexed="64"/>
      </patternFill>
    </fill>
    <fill>
      <patternFill patternType="solid">
        <fgColor rgb="FFFFCC99"/>
        <bgColor indexed="64"/>
      </patternFill>
    </fill>
    <fill>
      <patternFill patternType="solid">
        <fgColor rgb="FFCCFFCC"/>
        <bgColor indexed="64"/>
      </patternFill>
    </fill>
    <fill>
      <patternFill patternType="solid">
        <fgColor rgb="FFFFFF99"/>
        <bgColor indexed="64"/>
      </patternFill>
    </fill>
    <fill>
      <patternFill patternType="solid">
        <fgColor rgb="FFFFCC99"/>
        <bgColor indexed="42"/>
      </patternFill>
    </fill>
    <fill>
      <patternFill patternType="solid">
        <fgColor rgb="FFCCFFFF"/>
        <bgColor indexed="64"/>
      </patternFill>
    </fill>
    <fill>
      <patternFill patternType="solid">
        <fgColor rgb="FFFFFF99"/>
        <bgColor indexed="42"/>
      </patternFill>
    </fill>
  </fills>
  <borders count="103">
    <border>
      <left/>
      <right/>
      <top/>
      <bottom/>
      <diagonal/>
    </border>
    <border>
      <left style="medium">
        <color indexed="8"/>
      </left>
      <right style="medium">
        <color indexed="8"/>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double">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8"/>
      </right>
      <top style="medium">
        <color indexed="8"/>
      </top>
      <bottom style="medium">
        <color indexed="8"/>
      </bottom>
      <diagonal/>
    </border>
    <border>
      <left style="hair">
        <color indexed="8"/>
      </left>
      <right style="hair">
        <color indexed="8"/>
      </right>
      <top style="hair">
        <color indexed="8"/>
      </top>
      <bottom style="hair">
        <color indexed="8"/>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23"/>
      </bottom>
      <diagonal/>
    </border>
    <border>
      <left style="thin">
        <color indexed="8"/>
      </left>
      <right style="thin">
        <color indexed="8"/>
      </right>
      <top style="thin">
        <color indexed="23"/>
      </top>
      <bottom style="thin">
        <color indexed="8"/>
      </bottom>
      <diagonal/>
    </border>
    <border>
      <left style="thin">
        <color indexed="8"/>
      </left>
      <right/>
      <top style="thin">
        <color indexed="8"/>
      </top>
      <bottom style="thin">
        <color indexed="8"/>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8"/>
      </right>
      <top style="thin">
        <color indexed="8"/>
      </top>
      <bottom style="thin">
        <color indexed="8"/>
      </bottom>
      <diagonal/>
    </border>
    <border>
      <left style="thick">
        <color indexed="11"/>
      </left>
      <right style="thick">
        <color indexed="11"/>
      </right>
      <top style="thick">
        <color indexed="11"/>
      </top>
      <bottom style="thick">
        <color indexed="11"/>
      </bottom>
      <diagonal/>
    </border>
    <border>
      <left style="thick">
        <color indexed="11"/>
      </left>
      <right style="thick">
        <color indexed="57"/>
      </right>
      <top style="thick">
        <color indexed="57"/>
      </top>
      <bottom style="thick">
        <color indexed="57"/>
      </bottom>
      <diagonal/>
    </border>
    <border>
      <left style="thick">
        <color indexed="57"/>
      </left>
      <right style="mediumDashed">
        <color indexed="10"/>
      </right>
      <top style="mediumDashed">
        <color indexed="10"/>
      </top>
      <bottom style="mediumDashed">
        <color indexed="10"/>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64"/>
      </bottom>
      <diagonal/>
    </border>
    <border>
      <left style="thin">
        <color indexed="8"/>
      </left>
      <right style="medium">
        <color indexed="8"/>
      </right>
      <top style="thin">
        <color indexed="8"/>
      </top>
      <bottom style="thin">
        <color indexed="64"/>
      </bottom>
      <diagonal/>
    </border>
    <border>
      <left style="medium">
        <color indexed="8"/>
      </left>
      <right style="thin">
        <color indexed="8"/>
      </right>
      <top/>
      <bottom style="thin">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style="thin">
        <color indexed="8"/>
      </top>
      <bottom/>
      <diagonal/>
    </border>
    <border>
      <left style="thin">
        <color indexed="8"/>
      </left>
      <right style="thin">
        <color indexed="8"/>
      </right>
      <top style="thin">
        <color indexed="8"/>
      </top>
      <bottom style="thin">
        <color indexed="64"/>
      </bottom>
      <diagonal/>
    </border>
    <border>
      <left style="medium">
        <color indexed="8"/>
      </left>
      <right style="medium">
        <color indexed="8"/>
      </right>
      <top/>
      <bottom style="thin">
        <color indexed="8"/>
      </bottom>
      <diagonal/>
    </border>
    <border>
      <left style="thin">
        <color indexed="8"/>
      </left>
      <right style="medium">
        <color indexed="8"/>
      </right>
      <top style="thin">
        <color indexed="8"/>
      </top>
      <bottom/>
      <diagonal/>
    </border>
    <border>
      <left style="thin">
        <color indexed="8"/>
      </left>
      <right style="thin">
        <color indexed="8"/>
      </right>
      <top style="thin">
        <color indexed="8"/>
      </top>
      <bottom/>
      <diagonal/>
    </border>
    <border>
      <left style="medium">
        <color indexed="8"/>
      </left>
      <right style="medium">
        <color indexed="8"/>
      </right>
      <top style="thin">
        <color indexed="8"/>
      </top>
      <bottom/>
      <diagonal/>
    </border>
    <border>
      <left style="medium">
        <color indexed="8"/>
      </left>
      <right/>
      <top style="thin">
        <color indexed="8"/>
      </top>
      <bottom/>
      <diagonal/>
    </border>
    <border>
      <left/>
      <right/>
      <top style="thin">
        <color indexed="8"/>
      </top>
      <bottom/>
      <diagonal/>
    </border>
    <border>
      <left/>
      <right style="medium">
        <color indexed="8"/>
      </right>
      <top style="thin">
        <color indexed="8"/>
      </top>
      <bottom/>
      <diagonal/>
    </border>
    <border>
      <left style="medium">
        <color indexed="8"/>
      </left>
      <right style="medium">
        <color indexed="8"/>
      </right>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style="medium">
        <color indexed="8"/>
      </left>
      <right/>
      <top/>
      <bottom/>
      <diagonal/>
    </border>
    <border>
      <left/>
      <right style="medium">
        <color indexed="8"/>
      </right>
      <top/>
      <bottom/>
      <diagonal/>
    </border>
    <border>
      <left/>
      <right style="thin">
        <color indexed="64"/>
      </right>
      <top style="thin">
        <color indexed="8"/>
      </top>
      <bottom/>
      <diagonal/>
    </border>
    <border>
      <left style="medium">
        <color indexed="64"/>
      </left>
      <right style="medium">
        <color indexed="64"/>
      </right>
      <top style="medium">
        <color indexed="64"/>
      </top>
      <bottom style="medium">
        <color indexed="64"/>
      </bottom>
      <diagonal/>
    </border>
    <border>
      <left/>
      <right/>
      <top style="medium">
        <color indexed="8"/>
      </top>
      <bottom style="medium">
        <color indexed="8"/>
      </bottom>
      <diagonal/>
    </border>
    <border>
      <left style="thin">
        <color indexed="8"/>
      </left>
      <right/>
      <top style="thin">
        <color indexed="8"/>
      </top>
      <bottom/>
      <diagonal/>
    </border>
    <border>
      <left style="thin">
        <color indexed="8"/>
      </left>
      <right/>
      <top/>
      <bottom style="thin">
        <color indexed="8"/>
      </bottom>
      <diagonal/>
    </border>
    <border>
      <left style="thin">
        <color indexed="8"/>
      </left>
      <right style="thin">
        <color indexed="8"/>
      </right>
      <top style="thin">
        <color indexed="64"/>
      </top>
      <bottom style="thin">
        <color indexed="8"/>
      </bottom>
      <diagonal/>
    </border>
    <border>
      <left style="thin">
        <color indexed="8"/>
      </left>
      <right style="thin">
        <color indexed="64"/>
      </right>
      <top style="thin">
        <color indexed="64"/>
      </top>
      <bottom style="thin">
        <color indexed="8"/>
      </bottom>
      <diagonal/>
    </border>
    <border>
      <left style="thin">
        <color indexed="8"/>
      </left>
      <right style="thin">
        <color indexed="64"/>
      </right>
      <top style="thin">
        <color indexed="8"/>
      </top>
      <bottom style="thin">
        <color indexed="8"/>
      </bottom>
      <diagonal/>
    </border>
    <border>
      <left style="thin">
        <color indexed="8"/>
      </left>
      <right style="thin">
        <color indexed="64"/>
      </right>
      <top style="thin">
        <color indexed="8"/>
      </top>
      <bottom style="thin">
        <color indexed="23"/>
      </bottom>
      <diagonal/>
    </border>
    <border>
      <left style="thin">
        <color indexed="8"/>
      </left>
      <right style="thin">
        <color indexed="64"/>
      </right>
      <top style="thin">
        <color indexed="8"/>
      </top>
      <bottom style="thin">
        <color indexed="64"/>
      </bottom>
      <diagonal/>
    </border>
    <border>
      <left/>
      <right style="thin">
        <color indexed="8"/>
      </right>
      <top style="thin">
        <color indexed="8"/>
      </top>
      <bottom style="thin">
        <color indexed="64"/>
      </bottom>
      <diagonal/>
    </border>
    <border>
      <left style="thin">
        <color indexed="8"/>
      </left>
      <right/>
      <top style="thin">
        <color indexed="8"/>
      </top>
      <bottom style="thin">
        <color indexed="64"/>
      </bottom>
      <diagonal/>
    </border>
    <border>
      <left style="thick">
        <color indexed="14"/>
      </left>
      <right style="thin">
        <color indexed="64"/>
      </right>
      <top style="thick">
        <color indexed="14"/>
      </top>
      <bottom style="thick">
        <color indexed="14"/>
      </bottom>
      <diagonal/>
    </border>
    <border>
      <left style="thin">
        <color indexed="64"/>
      </left>
      <right style="thick">
        <color indexed="14"/>
      </right>
      <top style="thick">
        <color indexed="14"/>
      </top>
      <bottom style="thick">
        <color indexed="14"/>
      </bottom>
      <diagonal/>
    </border>
    <border>
      <left style="thin">
        <color indexed="64"/>
      </left>
      <right style="double">
        <color indexed="64"/>
      </right>
      <top/>
      <bottom style="thin">
        <color indexed="64"/>
      </bottom>
      <diagonal/>
    </border>
    <border>
      <left style="thick">
        <color indexed="20"/>
      </left>
      <right/>
      <top style="thick">
        <color indexed="20"/>
      </top>
      <bottom style="thick">
        <color indexed="20"/>
      </bottom>
      <diagonal/>
    </border>
    <border>
      <left/>
      <right style="thick">
        <color indexed="20"/>
      </right>
      <top style="thick">
        <color indexed="20"/>
      </top>
      <bottom style="thick">
        <color indexed="20"/>
      </bottom>
      <diagonal/>
    </border>
    <border>
      <left style="thick">
        <color indexed="18"/>
      </left>
      <right/>
      <top style="thick">
        <color indexed="18"/>
      </top>
      <bottom style="thick">
        <color indexed="18"/>
      </bottom>
      <diagonal/>
    </border>
    <border>
      <left/>
      <right style="thick">
        <color indexed="18"/>
      </right>
      <top style="thick">
        <color indexed="18"/>
      </top>
      <bottom style="thick">
        <color indexed="18"/>
      </bottom>
      <diagonal/>
    </border>
    <border>
      <left/>
      <right style="double">
        <color indexed="64"/>
      </right>
      <top style="thin">
        <color indexed="64"/>
      </top>
      <bottom style="thin">
        <color indexed="64"/>
      </bottom>
      <diagonal/>
    </border>
    <border>
      <left/>
      <right/>
      <top style="thin">
        <color indexed="64"/>
      </top>
      <bottom style="thick">
        <color indexed="20"/>
      </bottom>
      <diagonal/>
    </border>
    <border>
      <left/>
      <right style="double">
        <color indexed="64"/>
      </right>
      <top/>
      <bottom style="thin">
        <color indexed="64"/>
      </bottom>
      <diagonal/>
    </border>
    <border>
      <left style="thin">
        <color indexed="8"/>
      </left>
      <right/>
      <top style="thin">
        <color indexed="23"/>
      </top>
      <bottom style="thin">
        <color indexed="8"/>
      </bottom>
      <diagonal/>
    </border>
    <border>
      <left/>
      <right style="thin">
        <color indexed="8"/>
      </right>
      <top style="thin">
        <color indexed="23"/>
      </top>
      <bottom style="thin">
        <color indexed="8"/>
      </bottom>
      <diagonal/>
    </border>
    <border>
      <left style="thin">
        <color indexed="8"/>
      </left>
      <right style="thin">
        <color indexed="8"/>
      </right>
      <top/>
      <bottom style="thin">
        <color indexed="8"/>
      </bottom>
      <diagonal/>
    </border>
    <border>
      <left style="thin">
        <color indexed="8"/>
      </left>
      <right/>
      <top style="thin">
        <color indexed="8"/>
      </top>
      <bottom style="thin">
        <color indexed="23"/>
      </bottom>
      <diagonal/>
    </border>
    <border>
      <left/>
      <right style="thin">
        <color indexed="8"/>
      </right>
      <top style="thin">
        <color indexed="8"/>
      </top>
      <bottom style="thin">
        <color indexed="23"/>
      </bottom>
      <diagonal/>
    </border>
    <border>
      <left style="thin">
        <color indexed="64"/>
      </left>
      <right style="thin">
        <color indexed="8"/>
      </right>
      <top style="thin">
        <color indexed="64"/>
      </top>
      <bottom style="thin">
        <color indexed="64"/>
      </bottom>
      <diagonal/>
    </border>
    <border>
      <left style="thin">
        <color indexed="8"/>
      </left>
      <right style="thin">
        <color indexed="64"/>
      </right>
      <top style="thin">
        <color indexed="64"/>
      </top>
      <bottom style="thin">
        <color indexed="64"/>
      </bottom>
      <diagonal/>
    </border>
    <border>
      <left style="thin">
        <color indexed="64"/>
      </left>
      <right style="double">
        <color indexed="8"/>
      </right>
      <top style="thin">
        <color indexed="64"/>
      </top>
      <bottom style="thin">
        <color indexed="64"/>
      </bottom>
      <diagonal/>
    </border>
    <border>
      <left/>
      <right style="thin">
        <color indexed="8"/>
      </right>
      <top style="thin">
        <color indexed="8"/>
      </top>
      <bottom/>
      <diagonal/>
    </border>
    <border>
      <left style="thin">
        <color indexed="64"/>
      </left>
      <right style="thin">
        <color indexed="8"/>
      </right>
      <top style="thin">
        <color indexed="64"/>
      </top>
      <bottom style="thin">
        <color indexed="8"/>
      </bottom>
      <diagonal/>
    </border>
    <border>
      <left style="thin">
        <color indexed="64"/>
      </left>
      <right style="thin">
        <color indexed="8"/>
      </right>
      <top style="thin">
        <color indexed="8"/>
      </top>
      <bottom style="thin">
        <color indexed="23"/>
      </bottom>
      <diagonal/>
    </border>
    <border>
      <left style="thin">
        <color indexed="64"/>
      </left>
      <right style="thin">
        <color indexed="8"/>
      </right>
      <top style="thin">
        <color indexed="8"/>
      </top>
      <bottom style="thin">
        <color indexed="8"/>
      </bottom>
      <diagonal/>
    </border>
    <border>
      <left style="thin">
        <color indexed="64"/>
      </left>
      <right/>
      <top style="thin">
        <color indexed="8"/>
      </top>
      <bottom style="thin">
        <color indexed="23"/>
      </bottom>
      <diagonal/>
    </border>
    <border>
      <left style="thin">
        <color indexed="64"/>
      </left>
      <right style="thin">
        <color indexed="8"/>
      </right>
      <top style="thin">
        <color indexed="8"/>
      </top>
      <bottom style="thin">
        <color indexed="64"/>
      </bottom>
      <diagonal/>
    </border>
    <border>
      <left style="medium">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hair">
        <color indexed="8"/>
      </left>
      <right style="hair">
        <color indexed="8"/>
      </right>
      <top style="hair">
        <color indexed="8"/>
      </top>
      <bottom/>
      <diagonal/>
    </border>
  </borders>
  <cellStyleXfs count="3">
    <xf numFmtId="0" fontId="0" fillId="0" borderId="0"/>
    <xf numFmtId="0" fontId="10" fillId="0" borderId="0" applyNumberFormat="0" applyFill="0" applyBorder="0" applyAlignment="0" applyProtection="0"/>
    <xf numFmtId="0" fontId="1" fillId="0" borderId="0"/>
  </cellStyleXfs>
  <cellXfs count="795">
    <xf numFmtId="0" fontId="0" fillId="0" borderId="0" xfId="0"/>
    <xf numFmtId="0" fontId="0" fillId="0" borderId="0" xfId="0" applyAlignment="1">
      <alignment vertical="center"/>
    </xf>
    <xf numFmtId="0" fontId="2" fillId="0" borderId="0" xfId="0" applyFont="1" applyBorder="1"/>
    <xf numFmtId="0" fontId="0" fillId="0" borderId="0" xfId="0" applyBorder="1" applyAlignment="1">
      <alignment vertical="center"/>
    </xf>
    <xf numFmtId="0" fontId="2" fillId="0" borderId="0" xfId="0" applyFont="1" applyFill="1" applyBorder="1" applyAlignment="1">
      <alignment horizontal="center" vertical="center"/>
    </xf>
    <xf numFmtId="0" fontId="2" fillId="0" borderId="0" xfId="0" applyFont="1" applyFill="1" applyBorder="1" applyAlignment="1">
      <alignment vertical="center"/>
    </xf>
    <xf numFmtId="0" fontId="0" fillId="0" borderId="0" xfId="0" applyFont="1" applyBorder="1" applyAlignment="1">
      <alignment vertical="center"/>
    </xf>
    <xf numFmtId="0" fontId="0" fillId="0" borderId="0" xfId="0" applyFont="1" applyFill="1" applyBorder="1" applyAlignment="1">
      <alignment horizontal="center" vertical="center"/>
    </xf>
    <xf numFmtId="0" fontId="2" fillId="0" borderId="0" xfId="0" applyFont="1" applyBorder="1" applyAlignment="1">
      <alignment horizontal="center"/>
    </xf>
    <xf numFmtId="0" fontId="0" fillId="0" borderId="0" xfId="0" applyFont="1" applyFill="1" applyBorder="1" applyAlignment="1">
      <alignment vertical="center"/>
    </xf>
    <xf numFmtId="0" fontId="2" fillId="0" borderId="0" xfId="0" applyFont="1" applyBorder="1" applyAlignment="1">
      <alignment vertical="center"/>
    </xf>
    <xf numFmtId="2" fontId="0" fillId="0" borderId="0" xfId="0" applyNumberFormat="1" applyFill="1" applyAlignment="1">
      <alignment horizontal="center"/>
    </xf>
    <xf numFmtId="2" fontId="7" fillId="0" borderId="0" xfId="0" applyNumberFormat="1" applyFont="1" applyAlignment="1">
      <alignment horizontal="center"/>
    </xf>
    <xf numFmtId="2" fontId="0" fillId="0" borderId="0" xfId="0" applyNumberFormat="1" applyAlignment="1">
      <alignment horizontal="center"/>
    </xf>
    <xf numFmtId="2" fontId="0" fillId="2" borderId="0" xfId="0" applyNumberFormat="1" applyFill="1" applyAlignment="1">
      <alignment horizontal="center"/>
    </xf>
    <xf numFmtId="0" fontId="7" fillId="0" borderId="0" xfId="0" applyFont="1" applyFill="1" applyAlignment="1">
      <alignment horizontal="center"/>
    </xf>
    <xf numFmtId="0" fontId="7" fillId="0" borderId="1" xfId="0" applyFont="1" applyFill="1" applyBorder="1" applyAlignment="1">
      <alignment horizontal="center"/>
    </xf>
    <xf numFmtId="0" fontId="0" fillId="0" borderId="0" xfId="0" applyAlignment="1">
      <alignment horizontal="center"/>
    </xf>
    <xf numFmtId="0" fontId="6" fillId="0" borderId="0" xfId="0" applyFont="1" applyBorder="1"/>
    <xf numFmtId="0" fontId="2" fillId="0" borderId="0" xfId="0" applyFont="1"/>
    <xf numFmtId="0" fontId="9" fillId="0" borderId="0" xfId="0" applyFont="1"/>
    <xf numFmtId="0" fontId="10" fillId="0" borderId="0" xfId="1" applyNumberFormat="1" applyFont="1" applyFill="1" applyBorder="1" applyAlignment="1" applyProtection="1"/>
    <xf numFmtId="14" fontId="0" fillId="0" borderId="0" xfId="0" applyNumberFormat="1" applyAlignment="1">
      <alignment horizontal="left"/>
    </xf>
    <xf numFmtId="0" fontId="0" fillId="0" borderId="0" xfId="0" applyFont="1" applyFill="1" applyBorder="1"/>
    <xf numFmtId="0" fontId="0" fillId="0" borderId="0" xfId="0" applyFill="1" applyBorder="1"/>
    <xf numFmtId="0" fontId="10" fillId="0" borderId="0" xfId="1" applyNumberFormat="1" applyFill="1" applyBorder="1" applyAlignment="1" applyProtection="1"/>
    <xf numFmtId="171" fontId="2" fillId="3" borderId="2" xfId="0" applyNumberFormat="1" applyFont="1" applyFill="1" applyBorder="1" applyAlignment="1" applyProtection="1">
      <alignment horizontal="center" vertical="center"/>
      <protection locked="0"/>
    </xf>
    <xf numFmtId="0" fontId="0" fillId="0" borderId="0" xfId="0" applyFont="1" applyBorder="1" applyAlignment="1">
      <alignment horizontal="center" vertical="center"/>
    </xf>
    <xf numFmtId="0" fontId="16" fillId="0" borderId="0" xfId="0" applyFont="1" applyBorder="1" applyAlignment="1">
      <alignment vertical="center"/>
    </xf>
    <xf numFmtId="0" fontId="2" fillId="0" borderId="3" xfId="2" applyFont="1" applyBorder="1"/>
    <xf numFmtId="0" fontId="2" fillId="0" borderId="4" xfId="2" applyFont="1" applyBorder="1"/>
    <xf numFmtId="0" fontId="2" fillId="0" borderId="4" xfId="2" applyFont="1" applyBorder="1" applyAlignment="1">
      <alignment horizontal="center"/>
    </xf>
    <xf numFmtId="0" fontId="15" fillId="0" borderId="4" xfId="2" applyFont="1" applyBorder="1" applyProtection="1">
      <protection hidden="1"/>
    </xf>
    <xf numFmtId="0" fontId="1" fillId="0" borderId="5" xfId="2" applyBorder="1"/>
    <xf numFmtId="0" fontId="2" fillId="0" borderId="0" xfId="2" applyFont="1" applyBorder="1"/>
    <xf numFmtId="0" fontId="2" fillId="0" borderId="0" xfId="2" applyFont="1"/>
    <xf numFmtId="0" fontId="2" fillId="0" borderId="6" xfId="2" applyFont="1" applyBorder="1"/>
    <xf numFmtId="0" fontId="15" fillId="0" borderId="0" xfId="2" applyFont="1" applyBorder="1" applyProtection="1">
      <protection hidden="1"/>
    </xf>
    <xf numFmtId="0" fontId="1" fillId="0" borderId="7" xfId="2" applyBorder="1"/>
    <xf numFmtId="0" fontId="4" fillId="0" borderId="0" xfId="2" applyFont="1" applyBorder="1"/>
    <xf numFmtId="0" fontId="2" fillId="0" borderId="7" xfId="2" applyFont="1" applyBorder="1"/>
    <xf numFmtId="0" fontId="2" fillId="0" borderId="0" xfId="2" applyFont="1" applyBorder="1" applyAlignment="1" applyProtection="1">
      <alignment horizontal="center"/>
      <protection hidden="1"/>
    </xf>
    <xf numFmtId="0" fontId="2" fillId="0" borderId="0" xfId="2" applyFont="1" applyBorder="1" applyAlignment="1">
      <alignment horizontal="center"/>
    </xf>
    <xf numFmtId="0" fontId="16" fillId="0" borderId="0" xfId="2" applyFont="1" applyBorder="1"/>
    <xf numFmtId="0" fontId="2" fillId="0" borderId="0" xfId="2" applyFont="1" applyBorder="1" applyAlignment="1" applyProtection="1">
      <protection hidden="1"/>
    </xf>
    <xf numFmtId="0" fontId="2" fillId="0" borderId="0" xfId="2" applyFont="1" applyBorder="1" applyProtection="1">
      <protection hidden="1"/>
    </xf>
    <xf numFmtId="0" fontId="2" fillId="0" borderId="0" xfId="2" applyFont="1" applyFill="1" applyBorder="1" applyAlignment="1">
      <alignment horizontal="center"/>
    </xf>
    <xf numFmtId="0" fontId="15" fillId="4" borderId="8" xfId="2" applyFont="1" applyFill="1" applyBorder="1" applyAlignment="1" applyProtection="1">
      <alignment horizontal="center"/>
      <protection locked="0"/>
    </xf>
    <xf numFmtId="177" fontId="2" fillId="4" borderId="2" xfId="2" applyNumberFormat="1" applyFont="1" applyFill="1" applyBorder="1" applyAlignment="1" applyProtection="1">
      <alignment horizontal="center"/>
      <protection locked="0"/>
    </xf>
    <xf numFmtId="0" fontId="2" fillId="4" borderId="2" xfId="2" applyFont="1" applyFill="1" applyBorder="1" applyAlignment="1" applyProtection="1">
      <alignment horizontal="center"/>
      <protection locked="0"/>
    </xf>
    <xf numFmtId="0" fontId="16" fillId="0" borderId="0" xfId="2" applyFont="1" applyBorder="1" applyProtection="1">
      <protection hidden="1"/>
    </xf>
    <xf numFmtId="0" fontId="2" fillId="0" borderId="0" xfId="2" applyFont="1" applyFill="1" applyBorder="1" applyAlignment="1" applyProtection="1">
      <alignment horizontal="center"/>
      <protection hidden="1"/>
    </xf>
    <xf numFmtId="0" fontId="2" fillId="0" borderId="0" xfId="2" applyFont="1" applyAlignment="1">
      <alignment horizontal="center"/>
    </xf>
    <xf numFmtId="0" fontId="2" fillId="0" borderId="0" xfId="2" applyFont="1" applyBorder="1" applyAlignment="1"/>
    <xf numFmtId="0" fontId="15" fillId="0" borderId="0" xfId="2" applyFont="1" applyBorder="1"/>
    <xf numFmtId="14" fontId="15" fillId="0" borderId="0" xfId="2" applyNumberFormat="1" applyFont="1" applyBorder="1" applyAlignment="1" applyProtection="1">
      <alignment horizontal="center"/>
      <protection hidden="1"/>
    </xf>
    <xf numFmtId="0" fontId="15" fillId="0" borderId="0" xfId="2" applyFont="1" applyProtection="1">
      <protection hidden="1"/>
    </xf>
    <xf numFmtId="0" fontId="2" fillId="0" borderId="9" xfId="2" applyFont="1" applyBorder="1"/>
    <xf numFmtId="0" fontId="2" fillId="0" borderId="10" xfId="2" applyFont="1" applyBorder="1" applyAlignment="1" applyProtection="1">
      <alignment horizontal="center"/>
      <protection locked="0"/>
    </xf>
    <xf numFmtId="0" fontId="2" fillId="0" borderId="10" xfId="2" applyFont="1" applyBorder="1" applyAlignment="1" applyProtection="1">
      <protection locked="0"/>
    </xf>
    <xf numFmtId="0" fontId="2" fillId="0" borderId="10" xfId="2" applyFont="1" applyBorder="1" applyProtection="1">
      <protection locked="0"/>
    </xf>
    <xf numFmtId="0" fontId="2" fillId="0" borderId="0" xfId="2" applyFont="1" applyBorder="1" applyProtection="1">
      <protection locked="0"/>
    </xf>
    <xf numFmtId="0" fontId="2" fillId="0" borderId="0" xfId="2" applyFont="1" applyBorder="1" applyAlignment="1" applyProtection="1">
      <alignment horizontal="center"/>
      <protection locked="0"/>
    </xf>
    <xf numFmtId="0" fontId="15" fillId="0" borderId="0" xfId="2" applyFont="1" applyBorder="1" applyAlignment="1" applyProtection="1">
      <protection hidden="1"/>
    </xf>
    <xf numFmtId="0" fontId="15" fillId="0" borderId="0" xfId="2" applyFont="1"/>
    <xf numFmtId="0" fontId="15" fillId="0" borderId="0" xfId="2" applyFont="1" applyBorder="1" applyAlignment="1"/>
    <xf numFmtId="0" fontId="15" fillId="0" borderId="0" xfId="2" applyFont="1" applyAlignment="1" applyProtection="1">
      <alignment horizontal="center"/>
      <protection hidden="1"/>
    </xf>
    <xf numFmtId="1" fontId="15" fillId="0" borderId="0" xfId="2" applyNumberFormat="1" applyFont="1" applyAlignment="1" applyProtection="1">
      <alignment horizontal="center"/>
      <protection hidden="1"/>
    </xf>
    <xf numFmtId="0" fontId="0" fillId="0" borderId="0" xfId="0" applyAlignment="1">
      <alignment horizontal="left"/>
    </xf>
    <xf numFmtId="0" fontId="15" fillId="0" borderId="0" xfId="0" applyFont="1" applyFill="1" applyBorder="1"/>
    <xf numFmtId="0" fontId="26" fillId="0" borderId="0" xfId="0" applyFont="1"/>
    <xf numFmtId="14" fontId="0" fillId="0" borderId="0" xfId="0" applyNumberFormat="1" applyFont="1" applyBorder="1" applyAlignment="1">
      <alignment horizontal="center" vertical="center"/>
    </xf>
    <xf numFmtId="0" fontId="2" fillId="0" borderId="3" xfId="0" applyFont="1" applyBorder="1"/>
    <xf numFmtId="0" fontId="2" fillId="0" borderId="4" xfId="0" applyFont="1" applyBorder="1"/>
    <xf numFmtId="0" fontId="2" fillId="0" borderId="4" xfId="0" applyFont="1" applyBorder="1" applyAlignment="1">
      <alignment horizontal="center"/>
    </xf>
    <xf numFmtId="0" fontId="0" fillId="0" borderId="4" xfId="0" applyBorder="1" applyAlignment="1">
      <alignment vertical="center"/>
    </xf>
    <xf numFmtId="0" fontId="0" fillId="0" borderId="5" xfId="0" applyBorder="1" applyAlignment="1">
      <alignment vertical="center"/>
    </xf>
    <xf numFmtId="0" fontId="2" fillId="0" borderId="6" xfId="0" applyFont="1" applyBorder="1"/>
    <xf numFmtId="0" fontId="2" fillId="0" borderId="7" xfId="0" applyFont="1" applyFill="1" applyBorder="1" applyAlignment="1">
      <alignment vertical="center"/>
    </xf>
    <xf numFmtId="0" fontId="0" fillId="0" borderId="7" xfId="0" applyBorder="1" applyAlignment="1">
      <alignment vertical="center"/>
    </xf>
    <xf numFmtId="0" fontId="0" fillId="0" borderId="6" xfId="0" applyBorder="1" applyAlignment="1">
      <alignment vertical="center"/>
    </xf>
    <xf numFmtId="0" fontId="0" fillId="0" borderId="0" xfId="0" applyBorder="1"/>
    <xf numFmtId="0" fontId="0" fillId="0" borderId="9" xfId="0" applyBorder="1" applyAlignment="1">
      <alignment vertical="center"/>
    </xf>
    <xf numFmtId="0" fontId="0" fillId="0" borderId="10" xfId="0" applyBorder="1" applyAlignment="1" applyProtection="1">
      <alignment vertical="center"/>
      <protection locked="0"/>
    </xf>
    <xf numFmtId="0" fontId="0" fillId="0" borderId="0" xfId="0" applyFont="1" applyFill="1" applyBorder="1" applyAlignment="1" applyProtection="1">
      <alignment vertical="center"/>
      <protection hidden="1"/>
    </xf>
    <xf numFmtId="169" fontId="0" fillId="0" borderId="0" xfId="0" applyNumberFormat="1" applyFont="1" applyFill="1" applyBorder="1" applyAlignment="1" applyProtection="1">
      <alignment vertical="center"/>
      <protection hidden="1"/>
    </xf>
    <xf numFmtId="164" fontId="0" fillId="3" borderId="11" xfId="0" applyNumberFormat="1" applyFill="1" applyBorder="1" applyAlignment="1">
      <alignment horizontal="center"/>
    </xf>
    <xf numFmtId="178" fontId="0" fillId="3" borderId="11" xfId="0" applyNumberFormat="1" applyFill="1" applyBorder="1" applyAlignment="1">
      <alignment horizontal="center"/>
    </xf>
    <xf numFmtId="0" fontId="0" fillId="3" borderId="11" xfId="0" applyNumberFormat="1" applyFill="1" applyBorder="1" applyAlignment="1">
      <alignment horizontal="center"/>
    </xf>
    <xf numFmtId="0" fontId="15" fillId="0" borderId="10" xfId="2" applyFont="1" applyBorder="1" applyProtection="1">
      <protection locked="0"/>
    </xf>
    <xf numFmtId="0" fontId="10" fillId="0" borderId="0" xfId="1"/>
    <xf numFmtId="0" fontId="2" fillId="0" borderId="12" xfId="0" applyFont="1" applyBorder="1" applyAlignment="1">
      <alignment horizontal="center" vertical="center"/>
    </xf>
    <xf numFmtId="0" fontId="2" fillId="0" borderId="12" xfId="0" applyFont="1" applyBorder="1" applyAlignment="1">
      <alignment horizontal="center"/>
    </xf>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165" fontId="0" fillId="0" borderId="0" xfId="0" applyNumberFormat="1" applyBorder="1" applyAlignment="1">
      <alignment horizontal="center"/>
    </xf>
    <xf numFmtId="0" fontId="0" fillId="0" borderId="9" xfId="0" applyBorder="1"/>
    <xf numFmtId="0" fontId="0" fillId="0" borderId="10" xfId="0" applyFont="1" applyFill="1" applyBorder="1"/>
    <xf numFmtId="0" fontId="0" fillId="0" borderId="13" xfId="0" applyBorder="1"/>
    <xf numFmtId="0" fontId="0" fillId="0" borderId="10" xfId="0" applyBorder="1"/>
    <xf numFmtId="1" fontId="0" fillId="0" borderId="0" xfId="0" applyNumberFormat="1" applyFont="1" applyFill="1" applyBorder="1" applyAlignment="1">
      <alignment horizontal="center"/>
    </xf>
    <xf numFmtId="165" fontId="0" fillId="0" borderId="0" xfId="0" applyNumberFormat="1" applyFont="1" applyFill="1" applyBorder="1" applyAlignment="1">
      <alignment horizontal="center" vertical="center"/>
    </xf>
    <xf numFmtId="1" fontId="0" fillId="0" borderId="0" xfId="0" applyNumberFormat="1" applyFont="1" applyFill="1" applyBorder="1" applyAlignment="1">
      <alignment horizontal="center" vertical="center"/>
    </xf>
    <xf numFmtId="165" fontId="0" fillId="0" borderId="0" xfId="0" applyNumberFormat="1" applyFont="1" applyFill="1" applyBorder="1" applyAlignment="1">
      <alignment horizontal="center"/>
    </xf>
    <xf numFmtId="182" fontId="2" fillId="0" borderId="12" xfId="0" applyNumberFormat="1" applyFont="1" applyFill="1" applyBorder="1" applyAlignment="1">
      <alignment horizontal="center"/>
    </xf>
    <xf numFmtId="1" fontId="2" fillId="0" borderId="12" xfId="0" applyNumberFormat="1" applyFont="1" applyFill="1" applyBorder="1" applyAlignment="1">
      <alignment horizontal="center"/>
    </xf>
    <xf numFmtId="165" fontId="2" fillId="0" borderId="12" xfId="0" applyNumberFormat="1" applyFont="1" applyFill="1" applyBorder="1" applyAlignment="1">
      <alignment horizontal="center" vertical="center"/>
    </xf>
    <xf numFmtId="165" fontId="2" fillId="0" borderId="12" xfId="0" applyNumberFormat="1" applyFont="1" applyFill="1" applyBorder="1" applyAlignment="1">
      <alignment horizontal="center"/>
    </xf>
    <xf numFmtId="0" fontId="0" fillId="0" borderId="0" xfId="2" applyFont="1" applyBorder="1" applyAlignment="1" applyProtection="1">
      <alignment horizontal="center"/>
      <protection hidden="1"/>
    </xf>
    <xf numFmtId="0" fontId="0" fillId="0" borderId="0" xfId="0" applyNumberFormat="1" applyAlignment="1">
      <alignment horizontal="center"/>
    </xf>
    <xf numFmtId="0" fontId="8" fillId="0" borderId="4" xfId="2" applyFont="1" applyBorder="1"/>
    <xf numFmtId="0" fontId="8" fillId="0" borderId="0" xfId="2" applyFont="1" applyBorder="1"/>
    <xf numFmtId="0" fontId="8" fillId="0" borderId="0" xfId="2" applyFont="1" applyBorder="1" applyAlignment="1" applyProtection="1">
      <protection hidden="1"/>
    </xf>
    <xf numFmtId="0" fontId="8" fillId="0" borderId="0" xfId="2" applyFont="1" applyBorder="1" applyProtection="1">
      <protection hidden="1"/>
    </xf>
    <xf numFmtId="0" fontId="8" fillId="0" borderId="0" xfId="2" applyFont="1" applyBorder="1" applyAlignment="1"/>
    <xf numFmtId="0" fontId="8" fillId="0" borderId="10" xfId="2" applyFont="1" applyBorder="1" applyAlignment="1" applyProtection="1">
      <protection locked="0"/>
    </xf>
    <xf numFmtId="0" fontId="8" fillId="0" borderId="0" xfId="2" applyFont="1"/>
    <xf numFmtId="0" fontId="8" fillId="0" borderId="0" xfId="2" applyFont="1" applyAlignment="1" applyProtection="1">
      <alignment horizontal="center"/>
      <protection hidden="1"/>
    </xf>
    <xf numFmtId="1" fontId="8" fillId="0" borderId="0" xfId="2" applyNumberFormat="1" applyFont="1" applyAlignment="1" applyProtection="1">
      <alignment horizontal="center"/>
      <protection hidden="1"/>
    </xf>
    <xf numFmtId="0" fontId="8" fillId="0" borderId="0" xfId="2" applyFont="1" applyProtection="1">
      <protection hidden="1"/>
    </xf>
    <xf numFmtId="0" fontId="31" fillId="0" borderId="0" xfId="2" applyFont="1" applyBorder="1"/>
    <xf numFmtId="0" fontId="0" fillId="0" borderId="0" xfId="0" applyBorder="1" applyProtection="1">
      <protection locked="0"/>
    </xf>
    <xf numFmtId="165" fontId="2" fillId="5" borderId="14" xfId="2" applyNumberFormat="1" applyFont="1" applyFill="1" applyBorder="1" applyAlignment="1">
      <alignment horizontal="center"/>
    </xf>
    <xf numFmtId="180" fontId="2" fillId="5" borderId="2" xfId="2" applyNumberFormat="1" applyFont="1" applyFill="1" applyBorder="1" applyAlignment="1">
      <alignment horizontal="center"/>
    </xf>
    <xf numFmtId="180" fontId="2" fillId="5" borderId="14" xfId="2" applyNumberFormat="1" applyFont="1" applyFill="1" applyBorder="1" applyAlignment="1">
      <alignment horizontal="center"/>
    </xf>
    <xf numFmtId="165" fontId="2" fillId="5" borderId="2" xfId="2" applyNumberFormat="1" applyFont="1" applyFill="1" applyBorder="1" applyAlignment="1">
      <alignment horizontal="center"/>
    </xf>
    <xf numFmtId="181" fontId="28" fillId="5" borderId="2" xfId="2" applyNumberFormat="1" applyFont="1" applyFill="1" applyBorder="1" applyAlignment="1">
      <alignment horizontal="center"/>
    </xf>
    <xf numFmtId="181" fontId="28" fillId="5" borderId="14" xfId="2" applyNumberFormat="1" applyFont="1" applyFill="1" applyBorder="1" applyAlignment="1">
      <alignment horizontal="center"/>
    </xf>
    <xf numFmtId="0" fontId="2" fillId="5" borderId="2" xfId="2" applyFont="1" applyFill="1" applyBorder="1" applyAlignment="1" applyProtection="1">
      <alignment horizontal="center"/>
      <protection hidden="1"/>
    </xf>
    <xf numFmtId="0" fontId="28" fillId="5" borderId="2" xfId="2" applyFont="1" applyFill="1" applyBorder="1" applyAlignment="1" applyProtection="1">
      <alignment horizontal="center"/>
      <protection hidden="1"/>
    </xf>
    <xf numFmtId="0" fontId="32" fillId="5" borderId="2" xfId="2" applyFont="1" applyFill="1" applyBorder="1" applyAlignment="1" applyProtection="1">
      <alignment horizontal="center"/>
      <protection hidden="1"/>
    </xf>
    <xf numFmtId="0" fontId="2" fillId="6" borderId="2" xfId="2" applyFont="1" applyFill="1" applyBorder="1" applyAlignment="1">
      <alignment horizontal="center"/>
    </xf>
    <xf numFmtId="0" fontId="28" fillId="6" borderId="2" xfId="2" applyFont="1" applyFill="1" applyBorder="1" applyAlignment="1">
      <alignment horizontal="center"/>
    </xf>
    <xf numFmtId="0" fontId="33" fillId="0" borderId="0" xfId="2" applyFont="1" applyBorder="1"/>
    <xf numFmtId="0" fontId="33" fillId="6" borderId="2" xfId="2" applyFont="1" applyFill="1" applyBorder="1" applyAlignment="1" applyProtection="1">
      <alignment horizontal="center"/>
      <protection hidden="1"/>
    </xf>
    <xf numFmtId="176" fontId="33" fillId="5" borderId="2" xfId="2" applyNumberFormat="1" applyFont="1" applyFill="1" applyBorder="1" applyAlignment="1" applyProtection="1">
      <alignment horizontal="center"/>
      <protection hidden="1"/>
    </xf>
    <xf numFmtId="0" fontId="33" fillId="5" borderId="2" xfId="2" applyFont="1" applyFill="1" applyBorder="1" applyAlignment="1">
      <alignment horizontal="center"/>
    </xf>
    <xf numFmtId="177" fontId="33" fillId="5" borderId="2" xfId="2" applyNumberFormat="1" applyFont="1" applyFill="1" applyBorder="1" applyAlignment="1" applyProtection="1">
      <alignment horizontal="center"/>
      <protection hidden="1"/>
    </xf>
    <xf numFmtId="176" fontId="33" fillId="5" borderId="2" xfId="2" applyNumberFormat="1" applyFont="1" applyFill="1" applyBorder="1" applyAlignment="1">
      <alignment horizontal="center"/>
    </xf>
    <xf numFmtId="178" fontId="33" fillId="5" borderId="2" xfId="2" applyNumberFormat="1" applyFont="1" applyFill="1" applyBorder="1" applyAlignment="1" applyProtection="1">
      <alignment horizontal="center"/>
      <protection hidden="1"/>
    </xf>
    <xf numFmtId="0" fontId="33" fillId="0" borderId="0" xfId="2" applyFont="1" applyBorder="1" applyProtection="1">
      <protection hidden="1"/>
    </xf>
    <xf numFmtId="2" fontId="0" fillId="7" borderId="15" xfId="0" applyNumberFormat="1" applyFill="1" applyBorder="1" applyAlignment="1">
      <alignment horizontal="center" vertical="center"/>
    </xf>
    <xf numFmtId="165" fontId="0" fillId="7" borderId="15" xfId="0" applyNumberFormat="1" applyFont="1" applyFill="1" applyBorder="1" applyAlignment="1">
      <alignment horizontal="center" vertical="center"/>
    </xf>
    <xf numFmtId="165" fontId="0" fillId="7" borderId="15" xfId="0" applyNumberFormat="1" applyFill="1" applyBorder="1" applyAlignment="1">
      <alignment horizontal="center" vertical="center"/>
    </xf>
    <xf numFmtId="1" fontId="2" fillId="7" borderId="15" xfId="0" applyNumberFormat="1" applyFont="1" applyFill="1" applyBorder="1" applyAlignment="1">
      <alignment horizontal="center" vertical="center"/>
    </xf>
    <xf numFmtId="165" fontId="2" fillId="7" borderId="15" xfId="0" applyNumberFormat="1" applyFont="1" applyFill="1" applyBorder="1" applyAlignment="1">
      <alignment horizontal="center" vertical="center"/>
    </xf>
    <xf numFmtId="1" fontId="0" fillId="7" borderId="15" xfId="0" applyNumberFormat="1" applyFill="1" applyBorder="1" applyAlignment="1">
      <alignment horizontal="center" vertical="center"/>
    </xf>
    <xf numFmtId="1" fontId="0" fillId="7" borderId="15" xfId="0" applyNumberFormat="1" applyFont="1" applyFill="1" applyBorder="1" applyAlignment="1">
      <alignment horizontal="center" vertical="center"/>
    </xf>
    <xf numFmtId="1" fontId="15" fillId="7" borderId="15" xfId="0" applyNumberFormat="1" applyFont="1" applyFill="1" applyBorder="1" applyAlignment="1">
      <alignment horizontal="center" vertical="center"/>
    </xf>
    <xf numFmtId="165" fontId="15" fillId="7" borderId="15" xfId="0" applyNumberFormat="1" applyFont="1" applyFill="1" applyBorder="1" applyAlignment="1">
      <alignment horizontal="center" vertical="center"/>
    </xf>
    <xf numFmtId="165" fontId="0" fillId="7" borderId="16" xfId="0" applyNumberFormat="1" applyFont="1" applyFill="1" applyBorder="1" applyAlignment="1">
      <alignment horizontal="center" vertical="center"/>
    </xf>
    <xf numFmtId="1" fontId="2" fillId="7" borderId="16" xfId="0" applyNumberFormat="1" applyFont="1" applyFill="1" applyBorder="1" applyAlignment="1">
      <alignment horizontal="center" vertical="center"/>
    </xf>
    <xf numFmtId="165" fontId="0" fillId="7" borderId="16" xfId="0" applyNumberFormat="1" applyFill="1" applyBorder="1" applyAlignment="1">
      <alignment horizontal="center" vertical="center"/>
    </xf>
    <xf numFmtId="165" fontId="15" fillId="7" borderId="16" xfId="0" applyNumberFormat="1" applyFont="1" applyFill="1" applyBorder="1" applyAlignment="1">
      <alignment horizontal="center" vertical="center"/>
    </xf>
    <xf numFmtId="1" fontId="2" fillId="7" borderId="17" xfId="0" applyNumberFormat="1" applyFont="1" applyFill="1" applyBorder="1" applyAlignment="1">
      <alignment horizontal="center" vertical="center"/>
    </xf>
    <xf numFmtId="1" fontId="0" fillId="7" borderId="17" xfId="0" applyNumberFormat="1" applyFont="1" applyFill="1" applyBorder="1" applyAlignment="1">
      <alignment horizontal="center" vertical="center"/>
    </xf>
    <xf numFmtId="0" fontId="0" fillId="7" borderId="17" xfId="0" applyFont="1" applyFill="1" applyBorder="1" applyAlignment="1">
      <alignment horizontal="center" vertical="center"/>
    </xf>
    <xf numFmtId="1" fontId="0" fillId="7" borderId="17" xfId="0" applyNumberFormat="1" applyFill="1" applyBorder="1" applyAlignment="1">
      <alignment horizontal="center" vertical="center"/>
    </xf>
    <xf numFmtId="165" fontId="0" fillId="7" borderId="17" xfId="0" applyNumberFormat="1" applyFill="1" applyBorder="1" applyAlignment="1">
      <alignment horizontal="center" vertical="center"/>
    </xf>
    <xf numFmtId="1" fontId="15" fillId="7" borderId="16" xfId="0" applyNumberFormat="1" applyFont="1" applyFill="1" applyBorder="1" applyAlignment="1">
      <alignment horizontal="center" vertical="center"/>
    </xf>
    <xf numFmtId="1" fontId="15" fillId="7" borderId="17" xfId="0" applyNumberFormat="1" applyFont="1" applyFill="1" applyBorder="1" applyAlignment="1">
      <alignment horizontal="center" vertical="center"/>
    </xf>
    <xf numFmtId="165" fontId="2" fillId="7" borderId="17" xfId="0" applyNumberFormat="1" applyFont="1" applyFill="1" applyBorder="1" applyAlignment="1">
      <alignment horizontal="center" vertical="center"/>
    </xf>
    <xf numFmtId="173" fontId="2" fillId="7" borderId="2" xfId="0" applyNumberFormat="1" applyFont="1" applyFill="1" applyBorder="1" applyAlignment="1">
      <alignment horizontal="center" vertical="center"/>
    </xf>
    <xf numFmtId="0" fontId="2" fillId="8" borderId="18" xfId="0" applyFont="1" applyFill="1" applyBorder="1" applyAlignment="1" applyProtection="1">
      <alignment horizontal="center" vertical="center"/>
      <protection hidden="1"/>
    </xf>
    <xf numFmtId="0" fontId="2" fillId="9" borderId="15" xfId="0" applyFont="1" applyFill="1" applyBorder="1" applyAlignment="1" applyProtection="1">
      <alignment horizontal="center" vertical="center"/>
      <protection hidden="1"/>
    </xf>
    <xf numFmtId="0" fontId="5" fillId="9" borderId="15" xfId="0" applyFont="1" applyFill="1" applyBorder="1" applyAlignment="1" applyProtection="1">
      <alignment horizontal="center" vertical="center"/>
      <protection hidden="1"/>
    </xf>
    <xf numFmtId="0" fontId="0" fillId="9" borderId="15" xfId="0" applyFont="1" applyFill="1" applyBorder="1" applyAlignment="1" applyProtection="1">
      <alignment horizontal="center" vertical="center"/>
      <protection hidden="1"/>
    </xf>
    <xf numFmtId="0" fontId="2" fillId="6" borderId="2" xfId="2" applyFont="1" applyFill="1" applyBorder="1" applyAlignment="1" applyProtection="1">
      <alignment horizontal="center"/>
      <protection hidden="1"/>
    </xf>
    <xf numFmtId="0" fontId="2" fillId="10" borderId="2" xfId="2" applyFont="1" applyFill="1" applyBorder="1" applyAlignment="1" applyProtection="1">
      <alignment horizontal="center" vertical="center"/>
      <protection hidden="1"/>
    </xf>
    <xf numFmtId="0" fontId="2" fillId="10" borderId="2" xfId="2" applyFont="1" applyFill="1" applyBorder="1" applyAlignment="1" applyProtection="1">
      <alignment horizontal="center"/>
      <protection hidden="1"/>
    </xf>
    <xf numFmtId="0" fontId="2" fillId="11" borderId="15" xfId="0" applyFont="1" applyFill="1" applyBorder="1" applyAlignment="1" applyProtection="1">
      <alignment horizontal="center" vertical="center"/>
      <protection hidden="1"/>
    </xf>
    <xf numFmtId="0" fontId="2" fillId="11" borderId="18" xfId="0" applyFont="1" applyFill="1" applyBorder="1" applyAlignment="1" applyProtection="1">
      <alignment horizontal="center" vertical="center"/>
      <protection hidden="1"/>
    </xf>
    <xf numFmtId="0" fontId="13" fillId="12" borderId="2" xfId="0" applyFont="1" applyFill="1" applyBorder="1" applyAlignment="1" applyProtection="1">
      <alignment horizontal="center"/>
      <protection hidden="1"/>
    </xf>
    <xf numFmtId="0" fontId="2" fillId="13" borderId="2" xfId="0" applyFont="1" applyFill="1" applyBorder="1" applyAlignment="1" applyProtection="1">
      <alignment horizontal="center" vertical="center"/>
      <protection locked="0"/>
    </xf>
    <xf numFmtId="174" fontId="2" fillId="13" borderId="2" xfId="0" applyNumberFormat="1" applyFont="1" applyFill="1" applyBorder="1" applyAlignment="1" applyProtection="1">
      <alignment horizontal="center" vertical="center"/>
      <protection locked="0"/>
    </xf>
    <xf numFmtId="178" fontId="14" fillId="14" borderId="2" xfId="2" applyNumberFormat="1" applyFont="1" applyFill="1" applyBorder="1" applyAlignment="1">
      <alignment horizontal="center"/>
    </xf>
    <xf numFmtId="1" fontId="30" fillId="14" borderId="2" xfId="2" applyNumberFormat="1" applyFont="1" applyFill="1" applyBorder="1" applyAlignment="1">
      <alignment horizontal="center"/>
    </xf>
    <xf numFmtId="0" fontId="2" fillId="10" borderId="2" xfId="2" applyFont="1" applyFill="1" applyBorder="1" applyAlignment="1">
      <alignment horizontal="center"/>
    </xf>
    <xf numFmtId="0" fontId="0" fillId="7" borderId="15" xfId="0" applyFill="1" applyBorder="1" applyAlignment="1">
      <alignment horizontal="center" vertical="center"/>
    </xf>
    <xf numFmtId="0" fontId="2" fillId="7" borderId="15" xfId="0" applyFont="1" applyFill="1" applyBorder="1" applyAlignment="1" applyProtection="1">
      <alignment horizontal="center" vertical="center"/>
    </xf>
    <xf numFmtId="0" fontId="0" fillId="13" borderId="15" xfId="0" applyFont="1" applyFill="1" applyBorder="1" applyAlignment="1" applyProtection="1">
      <alignment horizontal="center" vertical="center"/>
      <protection locked="0"/>
    </xf>
    <xf numFmtId="185" fontId="2" fillId="7" borderId="2" xfId="0" applyNumberFormat="1" applyFont="1" applyFill="1" applyBorder="1" applyAlignment="1">
      <alignment horizontal="center" vertical="center"/>
    </xf>
    <xf numFmtId="186" fontId="0" fillId="7" borderId="16" xfId="0" applyNumberFormat="1" applyFont="1" applyFill="1" applyBorder="1" applyAlignment="1">
      <alignment horizontal="center" vertical="center"/>
    </xf>
    <xf numFmtId="186" fontId="2" fillId="7" borderId="15" xfId="0" applyNumberFormat="1" applyFont="1" applyFill="1" applyBorder="1" applyAlignment="1">
      <alignment horizontal="center" vertical="center"/>
    </xf>
    <xf numFmtId="175" fontId="15" fillId="7" borderId="16" xfId="0" applyNumberFormat="1" applyFont="1" applyFill="1" applyBorder="1" applyAlignment="1">
      <alignment horizontal="center" vertical="center"/>
    </xf>
    <xf numFmtId="175" fontId="15" fillId="7" borderId="15" xfId="0" applyNumberFormat="1" applyFont="1" applyFill="1" applyBorder="1" applyAlignment="1">
      <alignment horizontal="center" vertical="center"/>
    </xf>
    <xf numFmtId="175" fontId="2" fillId="7" borderId="16" xfId="0" applyNumberFormat="1" applyFont="1" applyFill="1" applyBorder="1" applyAlignment="1">
      <alignment horizontal="center" vertical="center"/>
    </xf>
    <xf numFmtId="175" fontId="2" fillId="7" borderId="15" xfId="0" applyNumberFormat="1" applyFont="1" applyFill="1" applyBorder="1" applyAlignment="1">
      <alignment horizontal="center" vertical="center"/>
    </xf>
    <xf numFmtId="172" fontId="2" fillId="7" borderId="15" xfId="0" applyNumberFormat="1" applyFont="1" applyFill="1" applyBorder="1" applyAlignment="1">
      <alignment horizontal="center" vertical="center"/>
    </xf>
    <xf numFmtId="172" fontId="2" fillId="7" borderId="16" xfId="0" applyNumberFormat="1" applyFont="1" applyFill="1" applyBorder="1" applyAlignment="1">
      <alignment horizontal="center" vertical="center"/>
    </xf>
    <xf numFmtId="172" fontId="15" fillId="7" borderId="15" xfId="0" applyNumberFormat="1" applyFont="1" applyFill="1" applyBorder="1" applyAlignment="1">
      <alignment horizontal="center" vertical="center"/>
    </xf>
    <xf numFmtId="0" fontId="0" fillId="0" borderId="19" xfId="0" applyBorder="1" applyAlignment="1">
      <alignment vertical="center"/>
    </xf>
    <xf numFmtId="0" fontId="0" fillId="0" borderId="20" xfId="0" applyBorder="1" applyAlignment="1">
      <alignment vertical="center"/>
    </xf>
    <xf numFmtId="0" fontId="0" fillId="0" borderId="21" xfId="0" applyBorder="1" applyAlignment="1">
      <alignment vertical="center"/>
    </xf>
    <xf numFmtId="0" fontId="0" fillId="0" borderId="22" xfId="0" applyBorder="1" applyAlignment="1">
      <alignment vertical="center"/>
    </xf>
    <xf numFmtId="0" fontId="0" fillId="0" borderId="23" xfId="0" applyBorder="1" applyAlignment="1">
      <alignment vertical="center"/>
    </xf>
    <xf numFmtId="0" fontId="2" fillId="11" borderId="24" xfId="0" applyFont="1" applyFill="1" applyBorder="1" applyAlignment="1" applyProtection="1">
      <alignment horizontal="center" vertical="center"/>
      <protection hidden="1"/>
    </xf>
    <xf numFmtId="178" fontId="2" fillId="3" borderId="25" xfId="0" applyNumberFormat="1" applyFont="1" applyFill="1" applyBorder="1" applyAlignment="1" applyProtection="1">
      <alignment horizontal="center" vertical="center"/>
      <protection locked="0"/>
    </xf>
    <xf numFmtId="178" fontId="2" fillId="3" borderId="26" xfId="0" applyNumberFormat="1" applyFont="1" applyFill="1" applyBorder="1" applyAlignment="1" applyProtection="1">
      <alignment horizontal="center" vertical="center"/>
      <protection locked="0"/>
    </xf>
    <xf numFmtId="0" fontId="2" fillId="8" borderId="24" xfId="0" applyFont="1" applyFill="1" applyBorder="1" applyAlignment="1" applyProtection="1">
      <alignment horizontal="center" vertical="center"/>
      <protection hidden="1"/>
    </xf>
    <xf numFmtId="0" fontId="2" fillId="9" borderId="27" xfId="0" applyFont="1" applyFill="1" applyBorder="1" applyAlignment="1" applyProtection="1">
      <alignment horizontal="center" vertical="center"/>
      <protection hidden="1"/>
    </xf>
    <xf numFmtId="0" fontId="0" fillId="9" borderId="27" xfId="0" applyFont="1" applyFill="1" applyBorder="1" applyAlignment="1" applyProtection="1">
      <alignment horizontal="center" vertical="center"/>
      <protection hidden="1"/>
    </xf>
    <xf numFmtId="0" fontId="2" fillId="0" borderId="21" xfId="0" applyFont="1" applyBorder="1" applyAlignment="1">
      <alignment vertical="center"/>
    </xf>
    <xf numFmtId="14" fontId="0" fillId="0" borderId="23" xfId="0" applyNumberFormat="1" applyFont="1" applyBorder="1" applyAlignment="1">
      <alignment horizontal="center" vertical="center"/>
    </xf>
    <xf numFmtId="189" fontId="2" fillId="7" borderId="25" xfId="0" applyNumberFormat="1" applyFont="1" applyFill="1" applyBorder="1" applyAlignment="1">
      <alignment horizontal="center" vertical="center"/>
    </xf>
    <xf numFmtId="0" fontId="34" fillId="6" borderId="2" xfId="2" applyFont="1" applyFill="1" applyBorder="1" applyAlignment="1" applyProtection="1">
      <alignment horizontal="center"/>
      <protection hidden="1"/>
    </xf>
    <xf numFmtId="178" fontId="34" fillId="5" borderId="2" xfId="2" applyNumberFormat="1" applyFont="1" applyFill="1" applyBorder="1" applyAlignment="1">
      <alignment horizontal="center"/>
    </xf>
    <xf numFmtId="177" fontId="2" fillId="4" borderId="25" xfId="2" applyNumberFormat="1" applyFont="1" applyFill="1" applyBorder="1" applyAlignment="1" applyProtection="1">
      <alignment horizontal="center"/>
      <protection locked="0"/>
    </xf>
    <xf numFmtId="0" fontId="2" fillId="10" borderId="28" xfId="2" applyFont="1" applyFill="1" applyBorder="1" applyAlignment="1" applyProtection="1">
      <alignment horizontal="center"/>
      <protection hidden="1"/>
    </xf>
    <xf numFmtId="0" fontId="2" fillId="10" borderId="29" xfId="2" applyFont="1" applyFill="1" applyBorder="1" applyAlignment="1" applyProtection="1">
      <alignment horizontal="center"/>
      <protection hidden="1"/>
    </xf>
    <xf numFmtId="0" fontId="36" fillId="10" borderId="30" xfId="2" applyFont="1" applyFill="1" applyBorder="1" applyAlignment="1" applyProtection="1">
      <alignment horizontal="center"/>
      <protection hidden="1"/>
    </xf>
    <xf numFmtId="0" fontId="15" fillId="0" borderId="0" xfId="2" applyFont="1" applyBorder="1" applyAlignment="1" applyProtection="1">
      <alignment horizontal="center"/>
      <protection hidden="1"/>
    </xf>
    <xf numFmtId="0" fontId="0" fillId="0" borderId="10" xfId="0" applyFont="1" applyBorder="1" applyAlignment="1">
      <alignment vertical="center"/>
    </xf>
    <xf numFmtId="0" fontId="15" fillId="0" borderId="10" xfId="2" applyFont="1" applyBorder="1"/>
    <xf numFmtId="0" fontId="15" fillId="0" borderId="31" xfId="2" applyFont="1" applyBorder="1" applyAlignment="1" applyProtection="1">
      <alignment horizontal="center"/>
      <protection hidden="1"/>
    </xf>
    <xf numFmtId="0" fontId="15" fillId="0" borderId="32" xfId="2" applyFont="1" applyBorder="1" applyAlignment="1">
      <alignment horizontal="center"/>
    </xf>
    <xf numFmtId="0" fontId="15" fillId="0" borderId="19" xfId="2" applyFont="1" applyBorder="1" applyAlignment="1" applyProtection="1">
      <alignment horizontal="center"/>
      <protection hidden="1"/>
    </xf>
    <xf numFmtId="0" fontId="15" fillId="0" borderId="20" xfId="2" applyFont="1" applyBorder="1" applyAlignment="1">
      <alignment horizontal="center"/>
    </xf>
    <xf numFmtId="0" fontId="15" fillId="0" borderId="21" xfId="2" applyFont="1" applyBorder="1" applyAlignment="1" applyProtection="1">
      <alignment horizontal="center"/>
      <protection hidden="1"/>
    </xf>
    <xf numFmtId="0" fontId="15" fillId="0" borderId="23" xfId="2" applyFont="1" applyBorder="1" applyAlignment="1">
      <alignment horizontal="center"/>
    </xf>
    <xf numFmtId="0" fontId="15" fillId="0" borderId="20" xfId="2" applyFont="1" applyBorder="1" applyAlignment="1" applyProtection="1">
      <alignment horizontal="center"/>
      <protection hidden="1"/>
    </xf>
    <xf numFmtId="0" fontId="15" fillId="0" borderId="23" xfId="2" applyFont="1" applyBorder="1" applyAlignment="1" applyProtection="1">
      <alignment horizontal="center"/>
      <protection hidden="1"/>
    </xf>
    <xf numFmtId="2" fontId="15" fillId="0" borderId="31" xfId="2" applyNumberFormat="1" applyFont="1" applyBorder="1" applyAlignment="1" applyProtection="1">
      <alignment horizontal="center"/>
      <protection hidden="1"/>
    </xf>
    <xf numFmtId="0" fontId="0" fillId="0" borderId="31" xfId="2" applyFont="1" applyBorder="1" applyAlignment="1" applyProtection="1">
      <alignment horizontal="center"/>
      <protection hidden="1"/>
    </xf>
    <xf numFmtId="0" fontId="0" fillId="0" borderId="33" xfId="2" applyFont="1" applyBorder="1" applyAlignment="1" applyProtection="1">
      <alignment horizontal="center"/>
      <protection hidden="1"/>
    </xf>
    <xf numFmtId="0" fontId="0" fillId="0" borderId="32" xfId="2" applyFont="1" applyBorder="1" applyAlignment="1" applyProtection="1">
      <alignment horizontal="center"/>
      <protection hidden="1"/>
    </xf>
    <xf numFmtId="0" fontId="0" fillId="0" borderId="19" xfId="2" applyFont="1" applyBorder="1" applyAlignment="1" applyProtection="1">
      <alignment horizontal="center"/>
      <protection hidden="1"/>
    </xf>
    <xf numFmtId="0" fontId="15" fillId="0" borderId="22" xfId="2" applyFont="1" applyBorder="1" applyAlignment="1" applyProtection="1">
      <alignment horizontal="center"/>
      <protection hidden="1"/>
    </xf>
    <xf numFmtId="1" fontId="15" fillId="0" borderId="33" xfId="2" applyNumberFormat="1" applyFont="1" applyBorder="1" applyAlignment="1" applyProtection="1">
      <alignment horizontal="center"/>
      <protection hidden="1"/>
    </xf>
    <xf numFmtId="1" fontId="8" fillId="0" borderId="32" xfId="2" applyNumberFormat="1" applyFont="1" applyBorder="1" applyAlignment="1" applyProtection="1">
      <alignment horizontal="center"/>
      <protection hidden="1"/>
    </xf>
    <xf numFmtId="1" fontId="15" fillId="0" borderId="0" xfId="2" applyNumberFormat="1" applyFont="1" applyBorder="1" applyAlignment="1" applyProtection="1">
      <alignment horizontal="center"/>
      <protection hidden="1"/>
    </xf>
    <xf numFmtId="1" fontId="8" fillId="0" borderId="20" xfId="2" applyNumberFormat="1" applyFont="1" applyBorder="1" applyAlignment="1" applyProtection="1">
      <alignment horizontal="center"/>
      <protection hidden="1"/>
    </xf>
    <xf numFmtId="1" fontId="15" fillId="0" borderId="22" xfId="2" applyNumberFormat="1" applyFont="1" applyBorder="1" applyAlignment="1" applyProtection="1">
      <alignment horizontal="center"/>
      <protection hidden="1"/>
    </xf>
    <xf numFmtId="1" fontId="8" fillId="0" borderId="23" xfId="2" applyNumberFormat="1" applyFont="1" applyBorder="1" applyAlignment="1" applyProtection="1">
      <alignment horizontal="center"/>
      <protection hidden="1"/>
    </xf>
    <xf numFmtId="0" fontId="15" fillId="0" borderId="33" xfId="2" applyFont="1" applyBorder="1" applyAlignment="1" applyProtection="1">
      <alignment horizontal="center"/>
      <protection hidden="1"/>
    </xf>
    <xf numFmtId="2" fontId="15" fillId="0" borderId="33" xfId="2" applyNumberFormat="1" applyFont="1" applyBorder="1" applyAlignment="1" applyProtection="1">
      <alignment horizontal="center"/>
      <protection hidden="1"/>
    </xf>
    <xf numFmtId="0" fontId="8" fillId="0" borderId="32" xfId="2" applyFont="1" applyBorder="1" applyAlignment="1" applyProtection="1">
      <alignment horizontal="center"/>
      <protection hidden="1"/>
    </xf>
    <xf numFmtId="0" fontId="8" fillId="0" borderId="20" xfId="2" applyFont="1" applyBorder="1" applyAlignment="1" applyProtection="1">
      <alignment horizontal="center"/>
      <protection hidden="1"/>
    </xf>
    <xf numFmtId="0" fontId="8" fillId="0" borderId="23" xfId="2" applyFont="1" applyBorder="1" applyAlignment="1" applyProtection="1">
      <alignment horizontal="center"/>
      <protection hidden="1"/>
    </xf>
    <xf numFmtId="1" fontId="15" fillId="0" borderId="32" xfId="2" applyNumberFormat="1" applyFont="1" applyBorder="1" applyAlignment="1" applyProtection="1">
      <alignment horizontal="center"/>
      <protection hidden="1"/>
    </xf>
    <xf numFmtId="1" fontId="15" fillId="0" borderId="20" xfId="2" applyNumberFormat="1" applyFont="1" applyBorder="1" applyAlignment="1" applyProtection="1">
      <alignment horizontal="center"/>
      <protection hidden="1"/>
    </xf>
    <xf numFmtId="1" fontId="15" fillId="0" borderId="23" xfId="2" applyNumberFormat="1" applyFont="1" applyBorder="1" applyAlignment="1" applyProtection="1">
      <alignment horizontal="center"/>
      <protection hidden="1"/>
    </xf>
    <xf numFmtId="0" fontId="0" fillId="0" borderId="31" xfId="0" applyBorder="1" applyAlignment="1">
      <alignment horizontal="center" vertical="center"/>
    </xf>
    <xf numFmtId="0" fontId="0" fillId="0" borderId="32" xfId="0" applyBorder="1" applyAlignment="1">
      <alignment horizontal="center" vertical="center"/>
    </xf>
    <xf numFmtId="1" fontId="8" fillId="0" borderId="0" xfId="2" applyNumberFormat="1" applyFont="1" applyBorder="1" applyAlignment="1" applyProtection="1">
      <alignment horizontal="center"/>
      <protection hidden="1"/>
    </xf>
    <xf numFmtId="0" fontId="0" fillId="0" borderId="21" xfId="2" applyFont="1" applyBorder="1" applyAlignment="1" applyProtection="1">
      <alignment horizontal="center"/>
      <protection hidden="1"/>
    </xf>
    <xf numFmtId="165" fontId="0" fillId="0" borderId="19" xfId="0" applyNumberFormat="1" applyFont="1" applyBorder="1" applyAlignment="1">
      <alignment horizontal="center" vertical="center"/>
    </xf>
    <xf numFmtId="1" fontId="0" fillId="0" borderId="20" xfId="0" applyNumberFormat="1" applyFont="1" applyBorder="1" applyAlignment="1">
      <alignment horizontal="center" vertical="center"/>
    </xf>
    <xf numFmtId="165" fontId="0" fillId="0" borderId="21" xfId="0" applyNumberFormat="1" applyFont="1" applyBorder="1" applyAlignment="1">
      <alignment horizontal="center" vertical="center"/>
    </xf>
    <xf numFmtId="1" fontId="0" fillId="0" borderId="23" xfId="0" applyNumberFormat="1" applyFont="1" applyBorder="1" applyAlignment="1">
      <alignment horizontal="center" vertical="center"/>
    </xf>
    <xf numFmtId="0" fontId="0" fillId="0" borderId="31" xfId="0" applyFill="1" applyBorder="1" applyAlignment="1">
      <alignment horizontal="center" vertical="center"/>
    </xf>
    <xf numFmtId="0" fontId="0" fillId="0" borderId="32" xfId="0" applyFill="1" applyBorder="1" applyAlignment="1">
      <alignment horizontal="center" vertical="center"/>
    </xf>
    <xf numFmtId="1" fontId="0" fillId="0" borderId="19" xfId="0" applyNumberFormat="1" applyFont="1" applyBorder="1" applyAlignment="1">
      <alignment horizontal="center" vertical="center"/>
    </xf>
    <xf numFmtId="1" fontId="0" fillId="0" borderId="21" xfId="0" applyNumberFormat="1" applyFont="1" applyBorder="1" applyAlignment="1">
      <alignment horizontal="center" vertical="center"/>
    </xf>
    <xf numFmtId="0" fontId="0" fillId="0" borderId="23" xfId="0" applyFont="1" applyBorder="1" applyAlignment="1">
      <alignment horizontal="center" vertical="center"/>
    </xf>
    <xf numFmtId="0" fontId="14" fillId="15" borderId="8" xfId="0" applyFont="1" applyFill="1" applyBorder="1" applyAlignment="1" applyProtection="1">
      <alignment horizontal="center"/>
      <protection locked="0"/>
    </xf>
    <xf numFmtId="0" fontId="0" fillId="0" borderId="0" xfId="0" applyAlignment="1">
      <alignment horizontal="right" vertical="center"/>
    </xf>
    <xf numFmtId="190" fontId="2" fillId="4" borderId="2" xfId="2" applyNumberFormat="1" applyFont="1" applyFill="1" applyBorder="1" applyAlignment="1" applyProtection="1">
      <alignment horizontal="center"/>
      <protection locked="0"/>
    </xf>
    <xf numFmtId="0" fontId="0" fillId="0" borderId="0" xfId="2" applyFont="1" applyBorder="1" applyAlignment="1"/>
    <xf numFmtId="0" fontId="30" fillId="6" borderId="2" xfId="2" applyFont="1" applyFill="1" applyBorder="1" applyAlignment="1" applyProtection="1">
      <alignment horizontal="center"/>
      <protection hidden="1"/>
    </xf>
    <xf numFmtId="189" fontId="2" fillId="3" borderId="2" xfId="0" applyNumberFormat="1" applyFont="1" applyFill="1" applyBorder="1" applyAlignment="1" applyProtection="1">
      <alignment horizontal="center" vertical="center"/>
      <protection locked="0"/>
    </xf>
    <xf numFmtId="0" fontId="0" fillId="0" borderId="0" xfId="2" applyFont="1" applyAlignment="1" applyProtection="1">
      <alignment horizontal="center"/>
      <protection hidden="1"/>
    </xf>
    <xf numFmtId="0" fontId="0" fillId="0" borderId="0" xfId="0" applyAlignment="1">
      <alignment horizontal="right"/>
    </xf>
    <xf numFmtId="0" fontId="2" fillId="11" borderId="18" xfId="1" applyFont="1" applyFill="1" applyBorder="1" applyAlignment="1" applyProtection="1">
      <alignment horizontal="center" vertical="center"/>
      <protection hidden="1"/>
    </xf>
    <xf numFmtId="0" fontId="0" fillId="0" borderId="33" xfId="0" applyBorder="1" applyAlignment="1">
      <alignment horizontal="center" vertical="center"/>
    </xf>
    <xf numFmtId="0" fontId="0" fillId="0" borderId="21" xfId="0" applyBorder="1" applyAlignment="1">
      <alignment horizontal="center" vertical="center"/>
    </xf>
    <xf numFmtId="1" fontId="0" fillId="0" borderId="22" xfId="0" applyNumberFormat="1" applyFont="1" applyBorder="1" applyAlignment="1">
      <alignment horizontal="center" vertical="center"/>
    </xf>
    <xf numFmtId="1" fontId="0" fillId="0" borderId="23" xfId="0" applyNumberFormat="1" applyBorder="1" applyAlignment="1">
      <alignment horizontal="center" vertical="center"/>
    </xf>
    <xf numFmtId="0" fontId="0" fillId="0" borderId="19" xfId="0" applyBorder="1" applyAlignment="1">
      <alignment horizontal="center" vertical="center"/>
    </xf>
    <xf numFmtId="1" fontId="0" fillId="0" borderId="0" xfId="0" applyNumberFormat="1" applyBorder="1" applyAlignment="1">
      <alignment horizontal="center" vertical="center"/>
    </xf>
    <xf numFmtId="1" fontId="0" fillId="0" borderId="20" xfId="0" applyNumberFormat="1" applyBorder="1" applyAlignment="1">
      <alignment horizontal="center" vertical="center"/>
    </xf>
    <xf numFmtId="0" fontId="0" fillId="0" borderId="31" xfId="0" applyBorder="1" applyAlignment="1">
      <alignment vertical="center"/>
    </xf>
    <xf numFmtId="0" fontId="0" fillId="0" borderId="32" xfId="0" applyBorder="1" applyAlignment="1">
      <alignment horizontal="left" vertical="center"/>
    </xf>
    <xf numFmtId="0" fontId="0" fillId="0" borderId="20" xfId="0" applyBorder="1" applyAlignment="1">
      <alignment horizontal="left" vertical="center"/>
    </xf>
    <xf numFmtId="0" fontId="0" fillId="0" borderId="19" xfId="0" applyBorder="1" applyAlignment="1">
      <alignment horizontal="right" vertical="center"/>
    </xf>
    <xf numFmtId="2" fontId="0" fillId="0" borderId="20" xfId="0" applyNumberFormat="1" applyBorder="1" applyAlignment="1">
      <alignment horizontal="center" vertical="center"/>
    </xf>
    <xf numFmtId="0" fontId="0" fillId="0" borderId="21" xfId="0" applyBorder="1" applyAlignment="1">
      <alignment horizontal="right" vertical="center"/>
    </xf>
    <xf numFmtId="2" fontId="0" fillId="0" borderId="23" xfId="0" applyNumberFormat="1" applyBorder="1" applyAlignment="1">
      <alignment horizontal="center" vertical="center"/>
    </xf>
    <xf numFmtId="0" fontId="0" fillId="0" borderId="31" xfId="0" applyBorder="1" applyAlignment="1">
      <alignment horizontal="right" vertical="center"/>
    </xf>
    <xf numFmtId="2" fontId="0" fillId="0" borderId="32" xfId="0" applyNumberFormat="1" applyBorder="1" applyAlignment="1">
      <alignment horizontal="center" vertical="center"/>
    </xf>
    <xf numFmtId="0" fontId="2" fillId="0" borderId="20" xfId="0" applyFont="1" applyBorder="1" applyAlignment="1">
      <alignment horizontal="center" vertical="center"/>
    </xf>
    <xf numFmtId="0" fontId="0" fillId="0" borderId="0" xfId="0" applyBorder="1" applyAlignment="1">
      <alignment horizontal="center"/>
    </xf>
    <xf numFmtId="0" fontId="0" fillId="0" borderId="0" xfId="0" applyBorder="1" applyAlignment="1">
      <alignment horizontal="right"/>
    </xf>
    <xf numFmtId="1" fontId="2" fillId="0" borderId="0" xfId="0" applyNumberFormat="1" applyFont="1" applyBorder="1" applyAlignment="1">
      <alignment horizontal="center"/>
    </xf>
    <xf numFmtId="0" fontId="2" fillId="0" borderId="32" xfId="0" applyFont="1" applyBorder="1" applyAlignment="1">
      <alignment horizontal="center"/>
    </xf>
    <xf numFmtId="0" fontId="2" fillId="0" borderId="20" xfId="0" applyFont="1" applyBorder="1" applyAlignment="1">
      <alignment horizontal="center"/>
    </xf>
    <xf numFmtId="1" fontId="2" fillId="0" borderId="23" xfId="0" applyNumberFormat="1" applyFont="1" applyBorder="1" applyAlignment="1">
      <alignment horizontal="center"/>
    </xf>
    <xf numFmtId="0" fontId="2" fillId="0" borderId="33" xfId="0" applyFont="1" applyBorder="1" applyAlignment="1">
      <alignment horizontal="center"/>
    </xf>
    <xf numFmtId="165" fontId="2" fillId="0" borderId="0" xfId="0" applyNumberFormat="1" applyFont="1" applyBorder="1" applyAlignment="1">
      <alignment horizontal="center" vertical="center"/>
    </xf>
    <xf numFmtId="165" fontId="2" fillId="0" borderId="0" xfId="0" applyNumberFormat="1" applyFont="1" applyBorder="1" applyAlignment="1">
      <alignment horizontal="center"/>
    </xf>
    <xf numFmtId="0" fontId="2" fillId="0" borderId="33" xfId="0" applyFont="1" applyBorder="1"/>
    <xf numFmtId="165" fontId="2" fillId="0" borderId="33" xfId="0" applyNumberFormat="1" applyFont="1" applyBorder="1" applyAlignment="1">
      <alignment horizontal="center" vertical="center"/>
    </xf>
    <xf numFmtId="165" fontId="2" fillId="0" borderId="32" xfId="0" applyNumberFormat="1" applyFont="1" applyBorder="1" applyAlignment="1">
      <alignment horizontal="center" vertical="center"/>
    </xf>
    <xf numFmtId="0" fontId="2" fillId="0" borderId="20" xfId="0" applyFont="1" applyBorder="1"/>
    <xf numFmtId="165" fontId="2" fillId="0" borderId="20" xfId="0" applyNumberFormat="1" applyFont="1" applyBorder="1" applyAlignment="1">
      <alignment horizontal="center" vertical="center"/>
    </xf>
    <xf numFmtId="165" fontId="2" fillId="0" borderId="20" xfId="0" applyNumberFormat="1" applyFont="1" applyBorder="1" applyAlignment="1">
      <alignment horizontal="center"/>
    </xf>
    <xf numFmtId="0" fontId="2" fillId="0" borderId="22" xfId="0" applyFont="1" applyBorder="1"/>
    <xf numFmtId="165" fontId="2" fillId="0" borderId="22" xfId="0" applyNumberFormat="1" applyFont="1" applyBorder="1" applyAlignment="1">
      <alignment horizontal="center" vertical="center"/>
    </xf>
    <xf numFmtId="165" fontId="2" fillId="0" borderId="23" xfId="0" applyNumberFormat="1" applyFont="1" applyBorder="1" applyAlignment="1">
      <alignment horizontal="center" vertical="center"/>
    </xf>
    <xf numFmtId="165" fontId="0" fillId="0" borderId="0" xfId="0" applyNumberFormat="1" applyFont="1" applyBorder="1" applyAlignment="1">
      <alignment horizontal="left"/>
    </xf>
    <xf numFmtId="0" fontId="0" fillId="0" borderId="0" xfId="0" applyBorder="1" applyAlignment="1">
      <alignment horizontal="center" vertical="center"/>
    </xf>
    <xf numFmtId="165" fontId="2" fillId="0" borderId="0" xfId="0" applyNumberFormat="1" applyFont="1" applyFill="1" applyBorder="1" applyAlignment="1">
      <alignment horizontal="center" vertical="center"/>
    </xf>
    <xf numFmtId="0" fontId="2" fillId="4" borderId="0" xfId="0" applyFont="1" applyFill="1" applyBorder="1" applyAlignment="1" applyProtection="1">
      <alignment horizontal="center" vertical="center"/>
      <protection locked="0"/>
    </xf>
    <xf numFmtId="165" fontId="2" fillId="0" borderId="0" xfId="0" applyNumberFormat="1" applyFont="1" applyFill="1" applyBorder="1" applyAlignment="1">
      <alignment horizontal="center"/>
    </xf>
    <xf numFmtId="1" fontId="2" fillId="0" borderId="0" xfId="0" applyNumberFormat="1" applyFont="1" applyFill="1" applyBorder="1" applyAlignment="1">
      <alignment horizontal="center"/>
    </xf>
    <xf numFmtId="0" fontId="2" fillId="0" borderId="23" xfId="0" applyFont="1" applyBorder="1" applyAlignment="1">
      <alignment horizontal="center"/>
    </xf>
    <xf numFmtId="0" fontId="0" fillId="0" borderId="33" xfId="0" applyBorder="1" applyAlignment="1">
      <alignment horizontal="center"/>
    </xf>
    <xf numFmtId="0" fontId="0" fillId="0" borderId="32" xfId="0" applyBorder="1" applyAlignment="1">
      <alignment horizontal="center"/>
    </xf>
    <xf numFmtId="1" fontId="2" fillId="0" borderId="22" xfId="0" applyNumberFormat="1" applyFont="1" applyBorder="1" applyAlignment="1">
      <alignment horizontal="center"/>
    </xf>
    <xf numFmtId="165" fontId="2" fillId="0" borderId="23" xfId="0" applyNumberFormat="1" applyFont="1" applyBorder="1" applyAlignment="1">
      <alignment horizontal="center"/>
    </xf>
    <xf numFmtId="0" fontId="0" fillId="0" borderId="33" xfId="0" applyBorder="1"/>
    <xf numFmtId="0" fontId="0" fillId="0" borderId="32" xfId="0" applyBorder="1"/>
    <xf numFmtId="0" fontId="0" fillId="0" borderId="20" xfId="0" applyBorder="1"/>
    <xf numFmtId="0" fontId="2" fillId="4" borderId="20" xfId="0" applyFont="1" applyFill="1" applyBorder="1" applyAlignment="1" applyProtection="1">
      <alignment horizontal="center" vertical="center"/>
      <protection locked="0"/>
    </xf>
    <xf numFmtId="0" fontId="0" fillId="0" borderId="21" xfId="0" applyBorder="1"/>
    <xf numFmtId="0" fontId="0" fillId="0" borderId="22" xfId="0" applyBorder="1"/>
    <xf numFmtId="0" fontId="0" fillId="0" borderId="23" xfId="0" applyBorder="1"/>
    <xf numFmtId="0" fontId="29" fillId="0" borderId="20" xfId="0" applyFont="1" applyBorder="1" applyAlignment="1">
      <alignment horizontal="left"/>
    </xf>
    <xf numFmtId="0" fontId="2" fillId="0" borderId="0" xfId="0" applyFont="1" applyFill="1" applyBorder="1" applyAlignment="1">
      <alignment horizontal="right"/>
    </xf>
    <xf numFmtId="0" fontId="2" fillId="0" borderId="22" xfId="0" applyFont="1" applyBorder="1" applyAlignment="1">
      <alignment horizontal="center"/>
    </xf>
    <xf numFmtId="0" fontId="2" fillId="0" borderId="31" xfId="0" applyFont="1" applyBorder="1" applyAlignment="1">
      <alignment horizontal="center"/>
    </xf>
    <xf numFmtId="0" fontId="2" fillId="0" borderId="19" xfId="0" applyFont="1" applyBorder="1" applyAlignment="1">
      <alignment horizontal="center"/>
    </xf>
    <xf numFmtId="0" fontId="2" fillId="0" borderId="21" xfId="0" applyFont="1" applyBorder="1" applyAlignment="1">
      <alignment horizontal="center"/>
    </xf>
    <xf numFmtId="0" fontId="2" fillId="0" borderId="0" xfId="0" applyFont="1" applyAlignment="1">
      <alignment horizontal="center"/>
    </xf>
    <xf numFmtId="0" fontId="2" fillId="0" borderId="19" xfId="0" applyFont="1" applyBorder="1" applyAlignment="1">
      <alignment horizontal="center" vertical="center"/>
    </xf>
    <xf numFmtId="0" fontId="2" fillId="4" borderId="23" xfId="0" applyFont="1" applyFill="1" applyBorder="1" applyAlignment="1" applyProtection="1">
      <alignment horizontal="center" vertical="center"/>
      <protection locked="0"/>
    </xf>
    <xf numFmtId="0" fontId="2" fillId="0" borderId="0" xfId="0" applyFont="1" applyBorder="1" applyAlignment="1"/>
    <xf numFmtId="1" fontId="2" fillId="0" borderId="20" xfId="0" applyNumberFormat="1" applyFont="1" applyBorder="1" applyAlignment="1">
      <alignment horizontal="center"/>
    </xf>
    <xf numFmtId="165" fontId="2" fillId="0" borderId="22" xfId="0" applyNumberFormat="1" applyFont="1" applyBorder="1" applyAlignment="1">
      <alignment horizontal="center"/>
    </xf>
    <xf numFmtId="0" fontId="2" fillId="0" borderId="34" xfId="0" applyFont="1" applyBorder="1" applyAlignment="1">
      <alignment horizontal="center"/>
    </xf>
    <xf numFmtId="1" fontId="2" fillId="0" borderId="0" xfId="0" applyNumberFormat="1" applyFont="1" applyBorder="1" applyAlignment="1">
      <alignment horizontal="center" vertical="center"/>
    </xf>
    <xf numFmtId="1" fontId="2" fillId="0" borderId="20" xfId="0" applyNumberFormat="1" applyFont="1" applyBorder="1" applyAlignment="1">
      <alignment horizontal="center" vertical="center"/>
    </xf>
    <xf numFmtId="0" fontId="2" fillId="0" borderId="35" xfId="0" applyFont="1" applyBorder="1" applyAlignment="1"/>
    <xf numFmtId="1" fontId="2" fillId="0" borderId="35" xfId="0" applyNumberFormat="1" applyFont="1" applyBorder="1" applyAlignment="1">
      <alignment horizontal="center"/>
    </xf>
    <xf numFmtId="0" fontId="2" fillId="0" borderId="35" xfId="0" applyFont="1" applyBorder="1" applyAlignment="1">
      <alignment horizontal="center"/>
    </xf>
    <xf numFmtId="0" fontId="2" fillId="4" borderId="32" xfId="0" applyFont="1" applyFill="1" applyBorder="1" applyAlignment="1" applyProtection="1">
      <alignment horizontal="center" vertical="center"/>
      <protection locked="0"/>
    </xf>
    <xf numFmtId="0" fontId="2" fillId="0" borderId="23" xfId="0" applyFont="1" applyBorder="1"/>
    <xf numFmtId="0" fontId="30" fillId="0" borderId="13" xfId="0" applyFont="1" applyBorder="1" applyAlignment="1" applyProtection="1">
      <alignment horizontal="right" vertical="center"/>
    </xf>
    <xf numFmtId="0" fontId="30" fillId="0" borderId="13" xfId="2" applyFont="1" applyBorder="1" applyAlignment="1" applyProtection="1">
      <alignment horizontal="right"/>
    </xf>
    <xf numFmtId="2" fontId="7" fillId="0" borderId="0" xfId="0" applyNumberFormat="1" applyFont="1" applyFill="1" applyBorder="1" applyAlignment="1">
      <alignment horizontal="center"/>
    </xf>
    <xf numFmtId="2" fontId="7" fillId="0" borderId="0" xfId="0" applyNumberFormat="1" applyFont="1" applyBorder="1" applyAlignment="1">
      <alignment horizontal="center"/>
    </xf>
    <xf numFmtId="2" fontId="0" fillId="0" borderId="0" xfId="0" applyNumberFormat="1" applyBorder="1" applyAlignment="1">
      <alignment horizontal="center"/>
    </xf>
    <xf numFmtId="2" fontId="0" fillId="16" borderId="31" xfId="0" applyNumberFormat="1" applyFont="1" applyFill="1" applyBorder="1" applyAlignment="1">
      <alignment horizontal="center"/>
    </xf>
    <xf numFmtId="2" fontId="0" fillId="16" borderId="33" xfId="0" applyNumberFormat="1" applyFont="1" applyFill="1" applyBorder="1" applyAlignment="1">
      <alignment horizontal="center"/>
    </xf>
    <xf numFmtId="2" fontId="0" fillId="16" borderId="32" xfId="0" applyNumberFormat="1" applyFont="1" applyFill="1" applyBorder="1" applyAlignment="1">
      <alignment horizontal="center"/>
    </xf>
    <xf numFmtId="0" fontId="0" fillId="16" borderId="31" xfId="0" applyNumberFormat="1" applyFont="1" applyFill="1" applyBorder="1" applyAlignment="1">
      <alignment horizontal="center"/>
    </xf>
    <xf numFmtId="0" fontId="0" fillId="16" borderId="33" xfId="0" applyNumberFormat="1" applyFont="1" applyFill="1" applyBorder="1" applyAlignment="1">
      <alignment horizontal="center"/>
    </xf>
    <xf numFmtId="0" fontId="0" fillId="16" borderId="32" xfId="0" applyNumberFormat="1" applyFont="1" applyFill="1" applyBorder="1" applyAlignment="1">
      <alignment horizontal="center"/>
    </xf>
    <xf numFmtId="2" fontId="0" fillId="0" borderId="0" xfId="0" applyNumberFormat="1" applyAlignment="1"/>
    <xf numFmtId="2" fontId="0" fillId="0" borderId="0" xfId="0" applyNumberFormat="1" applyAlignment="1">
      <alignment horizontal="left"/>
    </xf>
    <xf numFmtId="2" fontId="9" fillId="0" borderId="0" xfId="0" applyNumberFormat="1" applyFont="1" applyAlignment="1">
      <alignment horizontal="left"/>
    </xf>
    <xf numFmtId="2" fontId="10" fillId="0" borderId="0" xfId="1" applyNumberFormat="1" applyAlignment="1">
      <alignment horizontal="left"/>
    </xf>
    <xf numFmtId="2" fontId="10" fillId="0" borderId="0" xfId="1" applyNumberFormat="1" applyAlignment="1">
      <alignment horizontal="center"/>
    </xf>
    <xf numFmtId="2" fontId="0" fillId="0" borderId="0" xfId="0" quotePrefix="1" applyNumberFormat="1" applyAlignment="1">
      <alignment horizontal="center"/>
    </xf>
    <xf numFmtId="2" fontId="0" fillId="21" borderId="20" xfId="0" applyNumberFormat="1" applyFill="1" applyBorder="1" applyAlignment="1">
      <alignment horizontal="center"/>
    </xf>
    <xf numFmtId="2" fontId="0" fillId="21" borderId="23" xfId="0" applyNumberFormat="1" applyFill="1" applyBorder="1" applyAlignment="1">
      <alignment horizontal="center"/>
    </xf>
    <xf numFmtId="2" fontId="0" fillId="21" borderId="19" xfId="0" applyNumberFormat="1" applyFill="1" applyBorder="1" applyAlignment="1">
      <alignment horizontal="center"/>
    </xf>
    <xf numFmtId="2" fontId="0" fillId="21" borderId="0" xfId="0" applyNumberFormat="1" applyFill="1" applyBorder="1" applyAlignment="1">
      <alignment horizontal="center"/>
    </xf>
    <xf numFmtId="2" fontId="0" fillId="21" borderId="21" xfId="0" applyNumberFormat="1" applyFill="1" applyBorder="1" applyAlignment="1">
      <alignment horizontal="center"/>
    </xf>
    <xf numFmtId="2" fontId="0" fillId="21" borderId="22" xfId="0" applyNumberFormat="1" applyFill="1" applyBorder="1" applyAlignment="1">
      <alignment horizontal="center"/>
    </xf>
    <xf numFmtId="1" fontId="0" fillId="21" borderId="19" xfId="0" applyNumberFormat="1" applyFill="1" applyBorder="1" applyAlignment="1">
      <alignment horizontal="center"/>
    </xf>
    <xf numFmtId="2" fontId="0" fillId="21" borderId="26" xfId="0" applyNumberFormat="1" applyFill="1" applyBorder="1" applyAlignment="1">
      <alignment horizontal="center"/>
    </xf>
    <xf numFmtId="1" fontId="0" fillId="21" borderId="21" xfId="0" applyNumberFormat="1" applyFill="1" applyBorder="1" applyAlignment="1">
      <alignment horizontal="center"/>
    </xf>
    <xf numFmtId="2" fontId="0" fillId="21" borderId="25" xfId="0" applyNumberFormat="1" applyFill="1" applyBorder="1" applyAlignment="1">
      <alignment horizontal="center"/>
    </xf>
    <xf numFmtId="0" fontId="0" fillId="21" borderId="19" xfId="0" applyNumberFormat="1" applyFill="1" applyBorder="1" applyAlignment="1"/>
    <xf numFmtId="0" fontId="0" fillId="21" borderId="0" xfId="0" applyNumberFormat="1" applyFill="1" applyBorder="1" applyAlignment="1"/>
    <xf numFmtId="0" fontId="0" fillId="21" borderId="20" xfId="0" applyNumberFormat="1" applyFill="1" applyBorder="1" applyAlignment="1">
      <alignment horizontal="center"/>
    </xf>
    <xf numFmtId="0" fontId="0" fillId="21" borderId="21" xfId="0" applyNumberFormat="1" applyFill="1" applyBorder="1" applyAlignment="1"/>
    <xf numFmtId="0" fontId="0" fillId="21" borderId="22" xfId="0" applyNumberFormat="1" applyFill="1" applyBorder="1" applyAlignment="1"/>
    <xf numFmtId="0" fontId="0" fillId="21" borderId="23" xfId="0" applyNumberFormat="1" applyFill="1" applyBorder="1" applyAlignment="1">
      <alignment horizontal="center"/>
    </xf>
    <xf numFmtId="1" fontId="0" fillId="21" borderId="31" xfId="0" applyNumberFormat="1" applyFill="1" applyBorder="1" applyAlignment="1">
      <alignment horizontal="center"/>
    </xf>
    <xf numFmtId="1" fontId="0" fillId="21" borderId="33" xfId="0" applyNumberFormat="1" applyFill="1" applyBorder="1" applyAlignment="1">
      <alignment horizontal="center"/>
    </xf>
    <xf numFmtId="1" fontId="0" fillId="21" borderId="32" xfId="0" applyNumberFormat="1" applyFill="1" applyBorder="1" applyAlignment="1">
      <alignment horizontal="center"/>
    </xf>
    <xf numFmtId="1" fontId="0" fillId="21" borderId="0" xfId="0" applyNumberFormat="1" applyFill="1" applyBorder="1" applyAlignment="1">
      <alignment horizontal="center"/>
    </xf>
    <xf numFmtId="1" fontId="0" fillId="21" borderId="20" xfId="0" applyNumberFormat="1" applyFill="1" applyBorder="1" applyAlignment="1">
      <alignment horizontal="center"/>
    </xf>
    <xf numFmtId="1" fontId="0" fillId="21" borderId="22" xfId="0" applyNumberFormat="1" applyFill="1" applyBorder="1" applyAlignment="1">
      <alignment horizontal="center"/>
    </xf>
    <xf numFmtId="1" fontId="0" fillId="21" borderId="23" xfId="0" applyNumberFormat="1" applyFill="1" applyBorder="1" applyAlignment="1">
      <alignment horizontal="center"/>
    </xf>
    <xf numFmtId="2" fontId="0" fillId="21" borderId="32" xfId="0" applyNumberFormat="1" applyFill="1" applyBorder="1" applyAlignment="1">
      <alignment horizontal="center"/>
    </xf>
    <xf numFmtId="2" fontId="0" fillId="21" borderId="24" xfId="0" applyNumberFormat="1" applyFill="1" applyBorder="1" applyAlignment="1">
      <alignment horizontal="center"/>
    </xf>
    <xf numFmtId="2" fontId="0" fillId="21" borderId="31" xfId="0" applyNumberFormat="1" applyFill="1" applyBorder="1" applyAlignment="1">
      <alignment horizontal="center"/>
    </xf>
    <xf numFmtId="0" fontId="0" fillId="22" borderId="36" xfId="0" applyFill="1" applyBorder="1" applyAlignment="1">
      <alignment horizontal="center"/>
    </xf>
    <xf numFmtId="0" fontId="0" fillId="22" borderId="37" xfId="0" applyFont="1" applyFill="1" applyBorder="1" applyAlignment="1">
      <alignment horizontal="center"/>
    </xf>
    <xf numFmtId="0" fontId="0" fillId="22" borderId="38" xfId="0" applyFill="1" applyBorder="1" applyAlignment="1">
      <alignment horizontal="center"/>
    </xf>
    <xf numFmtId="0" fontId="0" fillId="22" borderId="39" xfId="0" applyFill="1" applyBorder="1" applyAlignment="1">
      <alignment horizontal="center"/>
    </xf>
    <xf numFmtId="0" fontId="0" fillId="22" borderId="40" xfId="0" applyFont="1" applyFill="1" applyBorder="1" applyAlignment="1">
      <alignment horizontal="center"/>
    </xf>
    <xf numFmtId="0" fontId="0" fillId="22" borderId="41" xfId="0" applyFont="1" applyFill="1" applyBorder="1" applyAlignment="1">
      <alignment horizontal="center"/>
    </xf>
    <xf numFmtId="0" fontId="0" fillId="22" borderId="36" xfId="0" applyFont="1" applyFill="1" applyBorder="1" applyAlignment="1">
      <alignment horizontal="center"/>
    </xf>
    <xf numFmtId="0" fontId="0" fillId="22" borderId="42" xfId="0" applyFill="1" applyBorder="1" applyAlignment="1">
      <alignment horizontal="center"/>
    </xf>
    <xf numFmtId="0" fontId="0" fillId="22" borderId="43" xfId="0" applyFill="1" applyBorder="1" applyAlignment="1">
      <alignment horizontal="center"/>
    </xf>
    <xf numFmtId="0" fontId="0" fillId="22" borderId="41" xfId="0" applyFill="1" applyBorder="1" applyAlignment="1">
      <alignment horizontal="center"/>
    </xf>
    <xf numFmtId="0" fontId="0" fillId="22" borderId="44" xfId="0" applyFont="1" applyFill="1" applyBorder="1" applyAlignment="1">
      <alignment horizontal="center"/>
    </xf>
    <xf numFmtId="0" fontId="0" fillId="22" borderId="45" xfId="0" applyFill="1" applyBorder="1" applyAlignment="1">
      <alignment horizontal="center"/>
    </xf>
    <xf numFmtId="0" fontId="0" fillId="22" borderId="46" xfId="0" applyFill="1" applyBorder="1" applyAlignment="1">
      <alignment horizontal="center"/>
    </xf>
    <xf numFmtId="0" fontId="0" fillId="22" borderId="47" xfId="0" applyFill="1" applyBorder="1" applyAlignment="1">
      <alignment horizontal="center"/>
    </xf>
    <xf numFmtId="0" fontId="0" fillId="22" borderId="48" xfId="0" applyFill="1" applyBorder="1" applyAlignment="1">
      <alignment horizontal="center"/>
    </xf>
    <xf numFmtId="0" fontId="0" fillId="22" borderId="49" xfId="0" applyFill="1" applyBorder="1" applyAlignment="1">
      <alignment horizontal="center"/>
    </xf>
    <xf numFmtId="0" fontId="0" fillId="22" borderId="50" xfId="0" applyFill="1" applyBorder="1" applyAlignment="1">
      <alignment horizontal="center"/>
    </xf>
    <xf numFmtId="0" fontId="8" fillId="22" borderId="36" xfId="0" applyFont="1" applyFill="1" applyBorder="1" applyAlignment="1">
      <alignment horizontal="center"/>
    </xf>
    <xf numFmtId="0" fontId="15" fillId="22" borderId="37" xfId="0" applyFont="1" applyFill="1" applyBorder="1" applyAlignment="1">
      <alignment horizontal="center"/>
    </xf>
    <xf numFmtId="2" fontId="0" fillId="23" borderId="19" xfId="0" applyNumberFormat="1" applyFont="1" applyFill="1" applyBorder="1" applyAlignment="1">
      <alignment horizontal="center"/>
    </xf>
    <xf numFmtId="2" fontId="0" fillId="23" borderId="21" xfId="0" applyNumberFormat="1" applyFont="1" applyFill="1" applyBorder="1" applyAlignment="1">
      <alignment horizontal="center"/>
    </xf>
    <xf numFmtId="2" fontId="0" fillId="24" borderId="32" xfId="0" applyNumberFormat="1" applyFill="1" applyBorder="1" applyAlignment="1">
      <alignment horizontal="center"/>
    </xf>
    <xf numFmtId="2" fontId="0" fillId="24" borderId="31" xfId="0" applyNumberFormat="1" applyFill="1" applyBorder="1" applyAlignment="1">
      <alignment horizontal="center"/>
    </xf>
    <xf numFmtId="2" fontId="0" fillId="24" borderId="33" xfId="0" applyNumberFormat="1" applyFill="1" applyBorder="1" applyAlignment="1">
      <alignment horizontal="center"/>
    </xf>
    <xf numFmtId="0" fontId="0" fillId="25" borderId="51" xfId="0" applyFill="1" applyBorder="1" applyAlignment="1">
      <alignment horizontal="center"/>
    </xf>
    <xf numFmtId="184" fontId="0" fillId="25" borderId="11" xfId="0" applyNumberFormat="1" applyFill="1" applyBorder="1" applyAlignment="1">
      <alignment horizontal="center"/>
    </xf>
    <xf numFmtId="173" fontId="0" fillId="25" borderId="11" xfId="0" applyNumberFormat="1" applyFill="1" applyBorder="1" applyAlignment="1">
      <alignment horizontal="center"/>
    </xf>
    <xf numFmtId="164" fontId="0" fillId="24" borderId="11" xfId="0" applyNumberFormat="1" applyFill="1" applyBorder="1" applyAlignment="1">
      <alignment horizontal="center"/>
    </xf>
    <xf numFmtId="164" fontId="0" fillId="25" borderId="11" xfId="0" applyNumberFormat="1" applyFill="1" applyBorder="1" applyAlignment="1">
      <alignment horizontal="center"/>
    </xf>
    <xf numFmtId="178" fontId="0" fillId="24" borderId="11" xfId="0" applyNumberFormat="1" applyFill="1" applyBorder="1" applyAlignment="1">
      <alignment horizontal="center"/>
    </xf>
    <xf numFmtId="0" fontId="0" fillId="24" borderId="11" xfId="0" applyNumberFormat="1" applyFill="1" applyBorder="1" applyAlignment="1">
      <alignment horizontal="center"/>
    </xf>
    <xf numFmtId="0" fontId="0" fillId="25" borderId="52" xfId="0" applyFill="1" applyBorder="1" applyAlignment="1">
      <alignment horizontal="center"/>
    </xf>
    <xf numFmtId="0" fontId="0" fillId="25" borderId="53" xfId="0" applyFill="1" applyBorder="1" applyAlignment="1">
      <alignment horizontal="center"/>
    </xf>
    <xf numFmtId="0" fontId="2" fillId="26" borderId="52" xfId="0" applyFont="1" applyFill="1" applyBorder="1" applyAlignment="1">
      <alignment horizontal="center"/>
    </xf>
    <xf numFmtId="0" fontId="0" fillId="26" borderId="54" xfId="0" applyFont="1" applyFill="1" applyBorder="1" applyAlignment="1">
      <alignment horizontal="center"/>
    </xf>
    <xf numFmtId="0" fontId="0" fillId="26" borderId="53" xfId="0" applyFont="1" applyFill="1" applyBorder="1" applyAlignment="1">
      <alignment horizontal="center"/>
    </xf>
    <xf numFmtId="0" fontId="0" fillId="25" borderId="55" xfId="0" applyFill="1" applyBorder="1" applyAlignment="1">
      <alignment horizontal="center"/>
    </xf>
    <xf numFmtId="0" fontId="0" fillId="25" borderId="56" xfId="0" applyFill="1" applyBorder="1" applyAlignment="1">
      <alignment horizontal="center"/>
    </xf>
    <xf numFmtId="0" fontId="0" fillId="25" borderId="57" xfId="0" applyFill="1" applyBorder="1" applyAlignment="1">
      <alignment horizontal="center"/>
    </xf>
    <xf numFmtId="0" fontId="0" fillId="25" borderId="58" xfId="0" applyFill="1" applyBorder="1" applyAlignment="1">
      <alignment horizontal="center"/>
    </xf>
    <xf numFmtId="0" fontId="0" fillId="25" borderId="59" xfId="0" applyFill="1" applyBorder="1" applyAlignment="1">
      <alignment horizontal="center"/>
    </xf>
    <xf numFmtId="0" fontId="0" fillId="25" borderId="60" xfId="0" applyFill="1" applyBorder="1" applyAlignment="1">
      <alignment horizontal="center"/>
    </xf>
    <xf numFmtId="0" fontId="0" fillId="3" borderId="55" xfId="0" applyFill="1" applyBorder="1" applyAlignment="1">
      <alignment horizontal="center"/>
    </xf>
    <xf numFmtId="0" fontId="0" fillId="3" borderId="56" xfId="0" applyFill="1" applyBorder="1" applyAlignment="1">
      <alignment horizontal="center"/>
    </xf>
    <xf numFmtId="0" fontId="0" fillId="3" borderId="61" xfId="0" applyFill="1" applyBorder="1" applyAlignment="1">
      <alignment horizontal="center"/>
    </xf>
    <xf numFmtId="0" fontId="0" fillId="3" borderId="0" xfId="0" applyFill="1" applyBorder="1" applyAlignment="1">
      <alignment horizontal="center"/>
    </xf>
    <xf numFmtId="183" fontId="0" fillId="25" borderId="58" xfId="0" applyNumberFormat="1" applyFill="1" applyBorder="1" applyAlignment="1">
      <alignment horizontal="center"/>
    </xf>
    <xf numFmtId="183" fontId="0" fillId="25" borderId="59" xfId="0" applyNumberFormat="1" applyFill="1" applyBorder="1" applyAlignment="1">
      <alignment horizontal="center"/>
    </xf>
    <xf numFmtId="2" fontId="0" fillId="3" borderId="0" xfId="0" applyNumberFormat="1" applyFill="1" applyBorder="1" applyAlignment="1">
      <alignment horizontal="center"/>
    </xf>
    <xf numFmtId="169" fontId="0" fillId="3" borderId="56" xfId="0" applyNumberFormat="1" applyFill="1" applyBorder="1" applyAlignment="1">
      <alignment horizontal="center"/>
    </xf>
    <xf numFmtId="0" fontId="0" fillId="3" borderId="0" xfId="0" applyNumberFormat="1" applyFill="1" applyBorder="1" applyAlignment="1">
      <alignment horizontal="center"/>
    </xf>
    <xf numFmtId="0" fontId="0" fillId="26" borderId="1" xfId="0" applyFont="1" applyFill="1" applyBorder="1" applyAlignment="1">
      <alignment horizontal="center"/>
    </xf>
    <xf numFmtId="0" fontId="0" fillId="26" borderId="51" xfId="0" applyFont="1" applyFill="1" applyBorder="1" applyAlignment="1">
      <alignment horizontal="center"/>
    </xf>
    <xf numFmtId="183" fontId="0" fillId="26" borderId="51" xfId="0" applyNumberFormat="1" applyFont="1" applyFill="1" applyBorder="1" applyAlignment="1">
      <alignment horizontal="center"/>
    </xf>
    <xf numFmtId="0" fontId="0" fillId="24" borderId="57" xfId="0" applyFill="1" applyBorder="1" applyAlignment="1">
      <alignment horizontal="center"/>
    </xf>
    <xf numFmtId="0" fontId="0" fillId="24" borderId="62" xfId="0" applyFill="1" applyBorder="1" applyAlignment="1">
      <alignment horizontal="center"/>
    </xf>
    <xf numFmtId="0" fontId="0" fillId="24" borderId="62" xfId="0" applyNumberFormat="1" applyFill="1" applyBorder="1" applyAlignment="1">
      <alignment horizontal="center"/>
    </xf>
    <xf numFmtId="183" fontId="0" fillId="25" borderId="60" xfId="0" applyNumberFormat="1" applyFill="1" applyBorder="1" applyAlignment="1">
      <alignment horizontal="center"/>
    </xf>
    <xf numFmtId="0" fontId="0" fillId="3" borderId="55" xfId="0" applyNumberFormat="1" applyFill="1" applyBorder="1" applyAlignment="1">
      <alignment horizontal="center"/>
    </xf>
    <xf numFmtId="0" fontId="0" fillId="3" borderId="56" xfId="0" applyNumberFormat="1" applyFill="1" applyBorder="1" applyAlignment="1">
      <alignment horizontal="center"/>
    </xf>
    <xf numFmtId="0" fontId="0" fillId="3" borderId="61" xfId="0" applyNumberFormat="1" applyFill="1" applyBorder="1" applyAlignment="1">
      <alignment horizontal="center"/>
    </xf>
    <xf numFmtId="0" fontId="0" fillId="24" borderId="57" xfId="0" applyNumberFormat="1" applyFill="1" applyBorder="1" applyAlignment="1">
      <alignment horizontal="center"/>
    </xf>
    <xf numFmtId="0" fontId="45" fillId="0" borderId="0" xfId="0" applyFont="1" applyBorder="1" applyAlignment="1">
      <alignment vertical="center"/>
    </xf>
    <xf numFmtId="0" fontId="46" fillId="0" borderId="0" xfId="2" applyFont="1"/>
    <xf numFmtId="0" fontId="46" fillId="27" borderId="2" xfId="2" applyFont="1" applyFill="1" applyBorder="1" applyAlignment="1" applyProtection="1">
      <alignment horizontal="center"/>
      <protection hidden="1"/>
    </xf>
    <xf numFmtId="177" fontId="47" fillId="5" borderId="2" xfId="2" applyNumberFormat="1" applyFont="1" applyFill="1" applyBorder="1" applyAlignment="1" applyProtection="1">
      <alignment horizontal="center"/>
      <protection hidden="1"/>
    </xf>
    <xf numFmtId="0" fontId="45" fillId="0" borderId="0" xfId="2" applyFont="1"/>
    <xf numFmtId="0" fontId="48" fillId="0" borderId="10" xfId="2" applyFont="1" applyBorder="1" applyAlignment="1" applyProtection="1">
      <alignment horizontal="right"/>
    </xf>
    <xf numFmtId="0" fontId="46" fillId="0" borderId="10" xfId="2" applyFont="1" applyBorder="1" applyProtection="1"/>
    <xf numFmtId="0" fontId="49" fillId="0" borderId="10" xfId="2" applyFont="1" applyBorder="1" applyAlignment="1" applyProtection="1">
      <alignment horizontal="left"/>
    </xf>
    <xf numFmtId="0" fontId="48" fillId="0" borderId="10" xfId="2" applyFont="1" applyBorder="1" applyAlignment="1" applyProtection="1"/>
    <xf numFmtId="0" fontId="48" fillId="0" borderId="7" xfId="0" applyFont="1" applyBorder="1" applyAlignment="1">
      <alignment horizontal="right" vertical="center"/>
    </xf>
    <xf numFmtId="0" fontId="49" fillId="0" borderId="7" xfId="0" applyFont="1" applyBorder="1" applyAlignment="1">
      <alignment horizontal="right" vertical="center"/>
    </xf>
    <xf numFmtId="166" fontId="0" fillId="0" borderId="7" xfId="0" applyNumberFormat="1" applyBorder="1" applyAlignment="1">
      <alignment horizontal="right" vertical="center"/>
    </xf>
    <xf numFmtId="193" fontId="0" fillId="3" borderId="11" xfId="0" applyNumberFormat="1" applyFill="1" applyBorder="1" applyAlignment="1">
      <alignment horizontal="center"/>
    </xf>
    <xf numFmtId="0" fontId="0" fillId="28" borderId="24" xfId="0" applyFont="1" applyFill="1" applyBorder="1" applyAlignment="1">
      <alignment horizontal="center"/>
    </xf>
    <xf numFmtId="0" fontId="0" fillId="29" borderId="26" xfId="0" applyFill="1" applyBorder="1" applyAlignment="1" applyProtection="1">
      <alignment horizontal="center"/>
    </xf>
    <xf numFmtId="186" fontId="0" fillId="25" borderId="11" xfId="0" applyNumberFormat="1" applyFill="1" applyBorder="1" applyAlignment="1">
      <alignment horizontal="center"/>
    </xf>
    <xf numFmtId="176" fontId="33" fillId="5" borderId="24" xfId="2" applyNumberFormat="1" applyFont="1" applyFill="1" applyBorder="1" applyAlignment="1" applyProtection="1">
      <alignment horizontal="center"/>
      <protection hidden="1"/>
    </xf>
    <xf numFmtId="176" fontId="33" fillId="5" borderId="26" xfId="2" applyNumberFormat="1" applyFont="1" applyFill="1" applyBorder="1" applyAlignment="1" applyProtection="1">
      <alignment horizontal="center"/>
      <protection hidden="1"/>
    </xf>
    <xf numFmtId="176" fontId="33" fillId="5" borderId="25" xfId="2" applyNumberFormat="1" applyFont="1" applyFill="1" applyBorder="1" applyAlignment="1" applyProtection="1">
      <alignment horizontal="center"/>
      <protection hidden="1"/>
    </xf>
    <xf numFmtId="0" fontId="33" fillId="5" borderId="63" xfId="2" applyNumberFormat="1" applyFont="1" applyFill="1" applyBorder="1" applyAlignment="1">
      <alignment horizontal="center"/>
    </xf>
    <xf numFmtId="0" fontId="33" fillId="5" borderId="20" xfId="2" applyNumberFormat="1" applyFont="1" applyFill="1" applyBorder="1" applyAlignment="1">
      <alignment horizontal="center"/>
    </xf>
    <xf numFmtId="0" fontId="33" fillId="5" borderId="23" xfId="2" applyNumberFormat="1" applyFont="1" applyFill="1" applyBorder="1" applyAlignment="1">
      <alignment horizontal="center"/>
    </xf>
    <xf numFmtId="176" fontId="33" fillId="5" borderId="63" xfId="2" applyNumberFormat="1" applyFont="1" applyFill="1" applyBorder="1" applyAlignment="1">
      <alignment horizontal="center"/>
    </xf>
    <xf numFmtId="196" fontId="33" fillId="5" borderId="63" xfId="2" applyNumberFormat="1" applyFont="1" applyFill="1" applyBorder="1" applyAlignment="1">
      <alignment horizontal="center"/>
    </xf>
    <xf numFmtId="196" fontId="33" fillId="5" borderId="20" xfId="2" applyNumberFormat="1" applyFont="1" applyFill="1" applyBorder="1" applyAlignment="1">
      <alignment horizontal="center"/>
    </xf>
    <xf numFmtId="196" fontId="33" fillId="5" borderId="23" xfId="2" applyNumberFormat="1" applyFont="1" applyFill="1" applyBorder="1" applyAlignment="1">
      <alignment horizontal="center"/>
    </xf>
    <xf numFmtId="174" fontId="33" fillId="5" borderId="63" xfId="2" applyNumberFormat="1" applyFont="1" applyFill="1" applyBorder="1" applyAlignment="1">
      <alignment horizontal="center"/>
    </xf>
    <xf numFmtId="174" fontId="33" fillId="5" borderId="20" xfId="2" applyNumberFormat="1" applyFont="1" applyFill="1" applyBorder="1" applyAlignment="1">
      <alignment horizontal="center"/>
    </xf>
    <xf numFmtId="174" fontId="33" fillId="5" borderId="23" xfId="2" applyNumberFormat="1" applyFont="1" applyFill="1" applyBorder="1" applyAlignment="1">
      <alignment horizontal="center"/>
    </xf>
    <xf numFmtId="167" fontId="33" fillId="5" borderId="63" xfId="2" applyNumberFormat="1" applyFont="1" applyFill="1" applyBorder="1" applyAlignment="1">
      <alignment horizontal="center"/>
    </xf>
    <xf numFmtId="167" fontId="33" fillId="5" borderId="20" xfId="2" applyNumberFormat="1" applyFont="1" applyFill="1" applyBorder="1" applyAlignment="1">
      <alignment horizontal="center"/>
    </xf>
    <xf numFmtId="167" fontId="33" fillId="5" borderId="23" xfId="2" applyNumberFormat="1" applyFont="1" applyFill="1" applyBorder="1" applyAlignment="1">
      <alignment horizontal="center"/>
    </xf>
    <xf numFmtId="170" fontId="33" fillId="5" borderId="63" xfId="2" applyNumberFormat="1" applyFont="1" applyFill="1" applyBorder="1" applyAlignment="1">
      <alignment horizontal="center"/>
    </xf>
    <xf numFmtId="170" fontId="33" fillId="5" borderId="20" xfId="2" applyNumberFormat="1" applyFont="1" applyFill="1" applyBorder="1" applyAlignment="1">
      <alignment horizontal="center"/>
    </xf>
    <xf numFmtId="170" fontId="33" fillId="5" borderId="23" xfId="2" applyNumberFormat="1" applyFont="1" applyFill="1" applyBorder="1" applyAlignment="1">
      <alignment horizontal="center"/>
    </xf>
    <xf numFmtId="0" fontId="2" fillId="9" borderId="2" xfId="0" applyFont="1" applyFill="1" applyBorder="1" applyAlignment="1" applyProtection="1">
      <alignment horizontal="center" vertical="center"/>
      <protection hidden="1"/>
    </xf>
    <xf numFmtId="0" fontId="0" fillId="9" borderId="2" xfId="0" applyFont="1" applyFill="1" applyBorder="1" applyAlignment="1" applyProtection="1">
      <alignment horizontal="center" vertical="center"/>
      <protection hidden="1"/>
    </xf>
    <xf numFmtId="0" fontId="0" fillId="0" borderId="22" xfId="0" applyBorder="1" applyAlignment="1">
      <alignment horizontal="center" vertical="center"/>
    </xf>
    <xf numFmtId="1" fontId="0" fillId="0" borderId="22" xfId="0" applyNumberFormat="1" applyBorder="1" applyAlignment="1">
      <alignment horizontal="center" vertical="center"/>
    </xf>
    <xf numFmtId="0" fontId="8" fillId="0" borderId="33" xfId="0" applyFont="1" applyBorder="1" applyAlignment="1">
      <alignment horizontal="center" vertical="center"/>
    </xf>
    <xf numFmtId="0" fontId="8" fillId="0" borderId="32" xfId="0" applyFont="1" applyBorder="1" applyAlignment="1">
      <alignment horizontal="center" vertical="center"/>
    </xf>
    <xf numFmtId="0" fontId="0" fillId="0" borderId="33" xfId="0" applyFont="1" applyBorder="1" applyAlignment="1">
      <alignment horizontal="center" vertical="center"/>
    </xf>
    <xf numFmtId="0" fontId="0" fillId="0" borderId="32" xfId="0" applyFont="1" applyBorder="1" applyAlignment="1">
      <alignment horizontal="center" vertical="center"/>
    </xf>
    <xf numFmtId="187" fontId="2" fillId="7" borderId="2" xfId="0" applyNumberFormat="1" applyFont="1" applyFill="1" applyBorder="1" applyAlignment="1">
      <alignment horizontal="center" vertical="center"/>
    </xf>
    <xf numFmtId="197" fontId="33" fillId="5" borderId="24" xfId="2" applyNumberFormat="1" applyFont="1" applyFill="1" applyBorder="1" applyAlignment="1">
      <alignment horizontal="center"/>
    </xf>
    <xf numFmtId="197" fontId="33" fillId="5" borderId="26" xfId="2" applyNumberFormat="1" applyFont="1" applyFill="1" applyBorder="1" applyAlignment="1">
      <alignment horizontal="center"/>
    </xf>
    <xf numFmtId="197" fontId="33" fillId="5" borderId="25" xfId="2" applyNumberFormat="1" applyFont="1" applyFill="1" applyBorder="1" applyAlignment="1">
      <alignment horizontal="center"/>
    </xf>
    <xf numFmtId="0" fontId="2" fillId="0" borderId="0" xfId="0" applyFont="1" applyFill="1" applyBorder="1" applyAlignment="1">
      <alignment horizontal="center"/>
    </xf>
    <xf numFmtId="0" fontId="45" fillId="0" borderId="0" xfId="2" applyFont="1" applyBorder="1" applyAlignment="1" applyProtection="1">
      <alignment horizontal="right"/>
      <protection hidden="1"/>
    </xf>
    <xf numFmtId="0" fontId="2" fillId="0" borderId="31" xfId="0" applyFont="1" applyBorder="1"/>
    <xf numFmtId="0" fontId="2" fillId="0" borderId="32" xfId="0" applyFont="1" applyBorder="1"/>
    <xf numFmtId="0" fontId="2" fillId="0" borderId="21" xfId="0" applyFont="1" applyBorder="1"/>
    <xf numFmtId="0" fontId="2" fillId="0" borderId="19" xfId="0" applyFont="1" applyBorder="1" applyAlignment="1">
      <alignment horizontal="left"/>
    </xf>
    <xf numFmtId="14" fontId="2" fillId="0" borderId="23" xfId="0" applyNumberFormat="1" applyFont="1" applyBorder="1" applyAlignment="1">
      <alignment horizontal="center"/>
    </xf>
    <xf numFmtId="0" fontId="15" fillId="0" borderId="0" xfId="0" applyFont="1" applyBorder="1" applyProtection="1"/>
    <xf numFmtId="0" fontId="15" fillId="0" borderId="0" xfId="0" applyFont="1" applyFill="1" applyBorder="1" applyProtection="1"/>
    <xf numFmtId="0" fontId="2" fillId="0" borderId="0" xfId="0" applyFont="1" applyBorder="1" applyAlignment="1" applyProtection="1">
      <alignment horizontal="right"/>
    </xf>
    <xf numFmtId="0" fontId="15" fillId="0" borderId="0" xfId="0" applyFont="1" applyBorder="1" applyAlignment="1" applyProtection="1">
      <alignment horizontal="right"/>
    </xf>
    <xf numFmtId="0" fontId="2" fillId="0" borderId="0" xfId="0" applyFont="1" applyBorder="1" applyProtection="1"/>
    <xf numFmtId="0" fontId="42" fillId="0" borderId="0" xfId="0" applyFont="1" applyBorder="1" applyAlignment="1" applyProtection="1">
      <alignment horizontal="center"/>
    </xf>
    <xf numFmtId="0" fontId="15" fillId="0" borderId="0" xfId="0" applyFont="1" applyFill="1" applyBorder="1" applyAlignment="1" applyProtection="1">
      <alignment horizontal="center"/>
    </xf>
    <xf numFmtId="0" fontId="2" fillId="0" borderId="19" xfId="0" applyFont="1" applyBorder="1"/>
    <xf numFmtId="0" fontId="2" fillId="0" borderId="34" xfId="0" applyFont="1" applyBorder="1"/>
    <xf numFmtId="0" fontId="2" fillId="0" borderId="14" xfId="0" applyFont="1" applyBorder="1" applyAlignment="1">
      <alignment horizontal="center"/>
    </xf>
    <xf numFmtId="0" fontId="0" fillId="0" borderId="0" xfId="0" applyBorder="1" applyProtection="1"/>
    <xf numFmtId="0" fontId="15" fillId="0" borderId="2" xfId="0" applyFont="1" applyFill="1" applyBorder="1" applyAlignment="1" applyProtection="1">
      <alignment horizontal="center"/>
    </xf>
    <xf numFmtId="0" fontId="15" fillId="0" borderId="64" xfId="0" applyFont="1" applyFill="1" applyBorder="1" applyAlignment="1" applyProtection="1">
      <alignment horizontal="center"/>
    </xf>
    <xf numFmtId="0" fontId="0" fillId="0" borderId="0" xfId="0" applyFont="1" applyFill="1" applyBorder="1" applyAlignment="1" applyProtection="1">
      <alignment horizontal="center"/>
    </xf>
    <xf numFmtId="201" fontId="15" fillId="0" borderId="0" xfId="0" applyNumberFormat="1" applyFont="1" applyBorder="1" applyProtection="1"/>
    <xf numFmtId="0" fontId="0" fillId="0" borderId="0" xfId="0" applyBorder="1" applyAlignment="1" applyProtection="1">
      <alignment horizontal="left"/>
    </xf>
    <xf numFmtId="191" fontId="0" fillId="0" borderId="0" xfId="0" applyNumberFormat="1" applyBorder="1" applyProtection="1"/>
    <xf numFmtId="192" fontId="0" fillId="0" borderId="0" xfId="0" applyNumberFormat="1" applyFill="1" applyBorder="1" applyProtection="1"/>
    <xf numFmtId="0" fontId="43" fillId="0" borderId="0" xfId="0" applyFont="1" applyBorder="1" applyProtection="1"/>
    <xf numFmtId="0" fontId="2" fillId="0" borderId="31" xfId="0" applyFont="1" applyBorder="1" applyProtection="1"/>
    <xf numFmtId="0" fontId="2" fillId="0" borderId="33" xfId="0" applyFont="1" applyBorder="1" applyProtection="1"/>
    <xf numFmtId="192" fontId="2" fillId="30" borderId="32" xfId="0" applyNumberFormat="1" applyFont="1" applyFill="1" applyBorder="1" applyProtection="1">
      <protection locked="0"/>
    </xf>
    <xf numFmtId="0" fontId="2" fillId="0" borderId="21" xfId="0" applyFont="1" applyBorder="1" applyProtection="1"/>
    <xf numFmtId="0" fontId="2" fillId="0" borderId="22" xfId="0" applyFont="1" applyBorder="1" applyProtection="1"/>
    <xf numFmtId="198" fontId="2" fillId="0" borderId="23" xfId="0" applyNumberFormat="1" applyFont="1" applyFill="1" applyBorder="1" applyProtection="1"/>
    <xf numFmtId="0" fontId="42" fillId="0" borderId="0" xfId="0" applyFont="1" applyBorder="1" applyAlignment="1" applyProtection="1"/>
    <xf numFmtId="0" fontId="2" fillId="0" borderId="31" xfId="0" applyFont="1" applyBorder="1" applyAlignment="1" applyProtection="1"/>
    <xf numFmtId="0" fontId="2" fillId="0" borderId="33" xfId="0" applyFont="1" applyBorder="1" applyAlignment="1" applyProtection="1"/>
    <xf numFmtId="0" fontId="2" fillId="0" borderId="19" xfId="0" applyFont="1" applyBorder="1" applyAlignment="1" applyProtection="1"/>
    <xf numFmtId="0" fontId="2" fillId="0" borderId="0" xfId="0" applyFont="1" applyBorder="1" applyAlignment="1" applyProtection="1"/>
    <xf numFmtId="0" fontId="2" fillId="0" borderId="21" xfId="0" applyFont="1" applyBorder="1" applyAlignment="1" applyProtection="1"/>
    <xf numFmtId="0" fontId="2" fillId="0" borderId="22" xfId="0" applyFont="1" applyBorder="1" applyAlignment="1" applyProtection="1"/>
    <xf numFmtId="3" fontId="2" fillId="30" borderId="32" xfId="0" applyNumberFormat="1" applyFont="1" applyFill="1" applyBorder="1" applyAlignment="1" applyProtection="1">
      <alignment horizontal="center"/>
    </xf>
    <xf numFmtId="191" fontId="2" fillId="0" borderId="33" xfId="0" applyNumberFormat="1" applyFont="1" applyFill="1" applyBorder="1" applyAlignment="1" applyProtection="1">
      <alignment horizontal="center"/>
    </xf>
    <xf numFmtId="192" fontId="2" fillId="0" borderId="32" xfId="0" applyNumberFormat="1" applyFont="1" applyFill="1" applyBorder="1" applyAlignment="1" applyProtection="1">
      <alignment horizontal="center"/>
    </xf>
    <xf numFmtId="191" fontId="2" fillId="0" borderId="22" xfId="0" applyNumberFormat="1" applyFont="1" applyFill="1" applyBorder="1" applyAlignment="1" applyProtection="1">
      <alignment horizontal="center"/>
    </xf>
    <xf numFmtId="192" fontId="2" fillId="0" borderId="23" xfId="0" applyNumberFormat="1" applyFont="1" applyFill="1" applyBorder="1" applyAlignment="1" applyProtection="1">
      <alignment horizontal="center"/>
    </xf>
    <xf numFmtId="192" fontId="2" fillId="30" borderId="32" xfId="0" applyNumberFormat="1" applyFont="1" applyFill="1" applyBorder="1" applyAlignment="1" applyProtection="1">
      <alignment horizontal="center"/>
      <protection locked="0"/>
    </xf>
    <xf numFmtId="202" fontId="2" fillId="0" borderId="23" xfId="0" applyNumberFormat="1" applyFont="1" applyFill="1" applyBorder="1" applyAlignment="1" applyProtection="1">
      <alignment horizontal="center"/>
    </xf>
    <xf numFmtId="201" fontId="2" fillId="0" borderId="23" xfId="0" applyNumberFormat="1" applyFont="1" applyBorder="1" applyAlignment="1" applyProtection="1">
      <alignment horizontal="center"/>
    </xf>
    <xf numFmtId="199" fontId="2" fillId="0" borderId="33" xfId="0" applyNumberFormat="1" applyFont="1" applyFill="1" applyBorder="1" applyAlignment="1" applyProtection="1">
      <alignment horizontal="center"/>
    </xf>
    <xf numFmtId="200" fontId="2" fillId="0" borderId="32" xfId="0" applyNumberFormat="1" applyFont="1" applyFill="1" applyBorder="1" applyAlignment="1" applyProtection="1">
      <alignment horizontal="center"/>
    </xf>
    <xf numFmtId="191" fontId="2" fillId="0" borderId="0" xfId="0" applyNumberFormat="1" applyFont="1" applyFill="1" applyBorder="1" applyAlignment="1" applyProtection="1">
      <alignment horizontal="center"/>
    </xf>
    <xf numFmtId="192" fontId="2" fillId="0" borderId="20" xfId="0" applyNumberFormat="1" applyFont="1" applyFill="1" applyBorder="1" applyAlignment="1" applyProtection="1">
      <alignment horizontal="center"/>
    </xf>
    <xf numFmtId="0" fontId="15" fillId="0" borderId="10" xfId="0" applyFont="1" applyFill="1" applyBorder="1" applyProtection="1"/>
    <xf numFmtId="0" fontId="15" fillId="0" borderId="10" xfId="0" applyFont="1" applyBorder="1" applyProtection="1"/>
    <xf numFmtId="0" fontId="0" fillId="29" borderId="20" xfId="0" applyFill="1" applyBorder="1" applyAlignment="1" applyProtection="1">
      <alignment horizontal="center"/>
    </xf>
    <xf numFmtId="0" fontId="0" fillId="29" borderId="26" xfId="0" applyFill="1" applyBorder="1" applyAlignment="1">
      <alignment horizontal="center"/>
    </xf>
    <xf numFmtId="0" fontId="0" fillId="31" borderId="65" xfId="0" applyNumberFormat="1" applyFill="1" applyBorder="1" applyAlignment="1">
      <alignment horizontal="center"/>
    </xf>
    <xf numFmtId="186" fontId="0" fillId="24" borderId="11" xfId="0" applyNumberFormat="1" applyFill="1" applyBorder="1" applyAlignment="1">
      <alignment horizontal="center"/>
    </xf>
    <xf numFmtId="203" fontId="0" fillId="24" borderId="11" xfId="0" applyNumberFormat="1" applyFill="1" applyBorder="1" applyAlignment="1">
      <alignment horizontal="center"/>
    </xf>
    <xf numFmtId="0" fontId="2" fillId="11" borderId="66" xfId="0" applyFont="1" applyFill="1" applyBorder="1" applyAlignment="1" applyProtection="1">
      <alignment horizontal="center" vertical="center"/>
      <protection hidden="1"/>
    </xf>
    <xf numFmtId="164" fontId="2" fillId="17" borderId="24" xfId="0" applyNumberFormat="1" applyFont="1" applyFill="1" applyBorder="1" applyAlignment="1">
      <alignment horizontal="center" vertical="center"/>
    </xf>
    <xf numFmtId="0" fontId="2" fillId="11" borderId="67" xfId="0" applyFont="1" applyFill="1" applyBorder="1" applyAlignment="1" applyProtection="1">
      <alignment horizontal="center" vertical="center"/>
      <protection hidden="1"/>
    </xf>
    <xf numFmtId="170" fontId="2" fillId="3" borderId="25" xfId="0" applyNumberFormat="1" applyFont="1" applyFill="1" applyBorder="1" applyAlignment="1" applyProtection="1">
      <alignment horizontal="center" vertical="center"/>
      <protection locked="0"/>
    </xf>
    <xf numFmtId="0" fontId="2" fillId="28" borderId="2" xfId="0" applyFont="1" applyFill="1" applyBorder="1" applyAlignment="1">
      <alignment horizontal="center" vertical="center"/>
    </xf>
    <xf numFmtId="0" fontId="0" fillId="0" borderId="0" xfId="0" applyFont="1" applyFill="1" applyBorder="1" applyAlignment="1">
      <alignment horizontal="center"/>
    </xf>
    <xf numFmtId="0" fontId="0" fillId="30" borderId="0" xfId="0" applyFill="1"/>
    <xf numFmtId="0" fontId="0" fillId="30" borderId="0" xfId="0" applyFill="1" applyAlignment="1">
      <alignment horizontal="center"/>
    </xf>
    <xf numFmtId="0" fontId="0" fillId="0" borderId="0" xfId="0" applyFill="1" applyBorder="1" applyAlignment="1" applyProtection="1">
      <alignment horizontal="center"/>
      <protection locked="0"/>
    </xf>
    <xf numFmtId="0" fontId="0" fillId="29" borderId="25" xfId="0" applyFill="1" applyBorder="1" applyAlignment="1">
      <alignment horizontal="center"/>
    </xf>
    <xf numFmtId="0" fontId="1" fillId="0" borderId="0" xfId="2" applyFont="1" applyBorder="1" applyProtection="1">
      <protection locked="0"/>
    </xf>
    <xf numFmtId="0" fontId="1" fillId="0" borderId="0" xfId="2" applyFont="1"/>
    <xf numFmtId="0" fontId="36" fillId="0" borderId="0" xfId="2" applyFont="1"/>
    <xf numFmtId="186" fontId="0" fillId="0" borderId="0" xfId="0" applyNumberFormat="1" applyAlignment="1">
      <alignment vertical="center"/>
    </xf>
    <xf numFmtId="0" fontId="0" fillId="0" borderId="0" xfId="0" quotePrefix="1" applyAlignment="1">
      <alignment horizontal="center" vertical="center"/>
    </xf>
    <xf numFmtId="170" fontId="0" fillId="0" borderId="0" xfId="0" applyNumberFormat="1" applyAlignment="1">
      <alignment horizontal="right" vertical="center"/>
    </xf>
    <xf numFmtId="0" fontId="45" fillId="0" borderId="0" xfId="0" applyFont="1" applyAlignment="1">
      <alignment vertical="center"/>
    </xf>
    <xf numFmtId="0" fontId="0" fillId="30" borderId="2" xfId="0" applyFill="1" applyBorder="1" applyAlignment="1">
      <alignment vertical="center"/>
    </xf>
    <xf numFmtId="164" fontId="2" fillId="18" borderId="24" xfId="0" applyNumberFormat="1" applyFont="1" applyFill="1" applyBorder="1" applyAlignment="1" applyProtection="1">
      <alignment horizontal="center" vertical="center"/>
      <protection locked="0"/>
    </xf>
    <xf numFmtId="0" fontId="10" fillId="0" borderId="0" xfId="1" applyAlignment="1" applyProtection="1">
      <alignment horizontal="left"/>
      <protection hidden="1"/>
    </xf>
    <xf numFmtId="166" fontId="50" fillId="0" borderId="0" xfId="0" applyNumberFormat="1" applyFont="1" applyBorder="1" applyAlignment="1">
      <alignment vertical="center"/>
    </xf>
    <xf numFmtId="0" fontId="2" fillId="0" borderId="0" xfId="0" applyFont="1" applyFill="1" applyBorder="1" applyAlignment="1" applyProtection="1">
      <alignment horizontal="center" vertical="center"/>
      <protection hidden="1"/>
    </xf>
    <xf numFmtId="186" fontId="2" fillId="0" borderId="0" xfId="0" applyNumberFormat="1" applyFont="1" applyFill="1" applyBorder="1" applyAlignment="1">
      <alignment horizontal="center" vertical="center"/>
    </xf>
    <xf numFmtId="204" fontId="2" fillId="32" borderId="2" xfId="0" applyNumberFormat="1" applyFont="1" applyFill="1" applyBorder="1" applyAlignment="1">
      <alignment horizontal="center" vertical="center"/>
    </xf>
    <xf numFmtId="175" fontId="0" fillId="7" borderId="46" xfId="0" applyNumberFormat="1" applyFont="1" applyFill="1" applyBorder="1" applyAlignment="1">
      <alignment horizontal="center" vertical="center"/>
    </xf>
    <xf numFmtId="175" fontId="2" fillId="7" borderId="2" xfId="0" applyNumberFormat="1" applyFont="1" applyFill="1" applyBorder="1" applyAlignment="1">
      <alignment horizontal="center" vertical="center"/>
    </xf>
    <xf numFmtId="0" fontId="0" fillId="0" borderId="0" xfId="0" applyFill="1" applyBorder="1" applyAlignment="1">
      <alignment vertical="center"/>
    </xf>
    <xf numFmtId="166" fontId="2" fillId="0" borderId="0" xfId="0" applyNumberFormat="1" applyFont="1" applyFill="1" applyBorder="1" applyAlignment="1">
      <alignment horizontal="right" vertical="center"/>
    </xf>
    <xf numFmtId="0" fontId="2" fillId="9" borderId="46" xfId="0" applyFont="1" applyFill="1" applyBorder="1" applyAlignment="1" applyProtection="1">
      <alignment horizontal="center" vertical="center"/>
      <protection hidden="1"/>
    </xf>
    <xf numFmtId="0" fontId="5" fillId="9" borderId="46" xfId="0" applyFont="1" applyFill="1" applyBorder="1" applyAlignment="1" applyProtection="1">
      <alignment horizontal="center" vertical="center"/>
      <protection hidden="1"/>
    </xf>
    <xf numFmtId="2" fontId="0" fillId="7" borderId="68" xfId="0" applyNumberFormat="1" applyFill="1" applyBorder="1" applyAlignment="1">
      <alignment horizontal="center" vertical="center"/>
    </xf>
    <xf numFmtId="187" fontId="2" fillId="7" borderId="68" xfId="0" applyNumberFormat="1" applyFont="1" applyFill="1" applyBorder="1" applyAlignment="1">
      <alignment horizontal="center" vertical="center"/>
    </xf>
    <xf numFmtId="165" fontId="0" fillId="7" borderId="69" xfId="0" applyNumberFormat="1" applyFill="1" applyBorder="1" applyAlignment="1">
      <alignment horizontal="center" vertical="center"/>
    </xf>
    <xf numFmtId="188" fontId="2" fillId="7" borderId="70" xfId="0" applyNumberFormat="1" applyFont="1" applyFill="1" applyBorder="1" applyAlignment="1">
      <alignment horizontal="center" vertical="center"/>
    </xf>
    <xf numFmtId="165" fontId="0" fillId="7" borderId="71" xfId="0" applyNumberFormat="1" applyFill="1" applyBorder="1" applyAlignment="1">
      <alignment horizontal="center" vertical="center"/>
    </xf>
    <xf numFmtId="165" fontId="0" fillId="7" borderId="70" xfId="0" applyNumberFormat="1" applyFont="1" applyFill="1" applyBorder="1" applyAlignment="1">
      <alignment horizontal="center" vertical="center"/>
    </xf>
    <xf numFmtId="186" fontId="0" fillId="7" borderId="43" xfId="0" applyNumberFormat="1" applyFont="1" applyFill="1" applyBorder="1" applyAlignment="1">
      <alignment horizontal="center" vertical="center"/>
    </xf>
    <xf numFmtId="165" fontId="0" fillId="7" borderId="72" xfId="0" applyNumberFormat="1" applyFont="1" applyFill="1" applyBorder="1" applyAlignment="1">
      <alignment horizontal="center" vertical="center"/>
    </xf>
    <xf numFmtId="166" fontId="2" fillId="27" borderId="14" xfId="0" applyNumberFormat="1" applyFont="1" applyFill="1" applyBorder="1" applyAlignment="1">
      <alignment horizontal="center" vertical="center"/>
    </xf>
    <xf numFmtId="0" fontId="0" fillId="32" borderId="2" xfId="0" applyFill="1" applyBorder="1" applyAlignment="1">
      <alignment vertical="center"/>
    </xf>
    <xf numFmtId="187" fontId="0" fillId="7" borderId="73" xfId="0" applyNumberFormat="1" applyFont="1" applyFill="1" applyBorder="1" applyAlignment="1">
      <alignment horizontal="center" vertical="center"/>
    </xf>
    <xf numFmtId="205" fontId="0" fillId="32" borderId="2" xfId="0" applyNumberFormat="1" applyFill="1" applyBorder="1" applyAlignment="1">
      <alignment horizontal="center" vertical="center"/>
    </xf>
    <xf numFmtId="206" fontId="15" fillId="0" borderId="0" xfId="2" applyNumberFormat="1" applyFont="1" applyProtection="1">
      <protection hidden="1"/>
    </xf>
    <xf numFmtId="175" fontId="2" fillId="0" borderId="0" xfId="2" applyNumberFormat="1" applyFont="1" applyBorder="1" applyProtection="1">
      <protection locked="0"/>
    </xf>
    <xf numFmtId="186" fontId="2" fillId="30" borderId="2" xfId="0" applyNumberFormat="1" applyFont="1" applyFill="1" applyBorder="1" applyAlignment="1">
      <alignment horizontal="center" vertical="center"/>
    </xf>
    <xf numFmtId="177" fontId="2" fillId="0" borderId="0" xfId="2" applyNumberFormat="1" applyFont="1"/>
    <xf numFmtId="170" fontId="2" fillId="33" borderId="25" xfId="0" applyNumberFormat="1" applyFont="1" applyFill="1" applyBorder="1" applyAlignment="1" applyProtection="1">
      <alignment horizontal="center" vertical="center"/>
      <protection locked="0"/>
    </xf>
    <xf numFmtId="165" fontId="2" fillId="5" borderId="34" xfId="2" applyNumberFormat="1" applyFont="1" applyFill="1" applyBorder="1" applyAlignment="1">
      <alignment horizontal="center"/>
    </xf>
    <xf numFmtId="178" fontId="14" fillId="5" borderId="34" xfId="2" applyNumberFormat="1" applyFont="1" applyFill="1" applyBorder="1" applyAlignment="1"/>
    <xf numFmtId="179" fontId="32" fillId="5" borderId="24" xfId="2" applyNumberFormat="1" applyFont="1" applyFill="1" applyBorder="1" applyAlignment="1" applyProtection="1">
      <alignment horizontal="center" vertical="center"/>
      <protection hidden="1"/>
    </xf>
    <xf numFmtId="0" fontId="32" fillId="5" borderId="24" xfId="2" applyFont="1" applyFill="1" applyBorder="1" applyAlignment="1" applyProtection="1">
      <alignment horizontal="center" vertical="center"/>
      <protection hidden="1"/>
    </xf>
    <xf numFmtId="2" fontId="15" fillId="0" borderId="19" xfId="2" applyNumberFormat="1" applyFont="1" applyBorder="1" applyAlignment="1" applyProtection="1">
      <alignment horizontal="center"/>
      <protection hidden="1"/>
    </xf>
    <xf numFmtId="2" fontId="15" fillId="0" borderId="20" xfId="2" applyNumberFormat="1" applyFont="1" applyBorder="1" applyAlignment="1" applyProtection="1">
      <alignment horizontal="center"/>
      <protection hidden="1"/>
    </xf>
    <xf numFmtId="2" fontId="15" fillId="0" borderId="0" xfId="2" applyNumberFormat="1" applyFont="1" applyBorder="1" applyAlignment="1" applyProtection="1">
      <alignment horizontal="center"/>
      <protection hidden="1"/>
    </xf>
    <xf numFmtId="0" fontId="8" fillId="0" borderId="0" xfId="2" applyFont="1" applyBorder="1" applyAlignment="1" applyProtection="1">
      <alignment horizontal="center"/>
      <protection hidden="1"/>
    </xf>
    <xf numFmtId="0" fontId="2" fillId="6" borderId="24" xfId="2" applyFont="1" applyFill="1" applyBorder="1" applyAlignment="1">
      <alignment vertical="center"/>
    </xf>
    <xf numFmtId="0" fontId="2" fillId="6" borderId="24" xfId="2" applyFont="1" applyFill="1" applyBorder="1" applyAlignment="1">
      <alignment horizontal="center" vertical="center"/>
    </xf>
    <xf numFmtId="0" fontId="0" fillId="7" borderId="74" xfId="0" applyFill="1" applyBorder="1" applyAlignment="1">
      <alignment horizontal="center" vertical="center"/>
    </xf>
    <xf numFmtId="0" fontId="0" fillId="0" borderId="0" xfId="0" applyFill="1" applyBorder="1" applyAlignment="1">
      <alignment horizontal="center"/>
    </xf>
    <xf numFmtId="0" fontId="0" fillId="0" borderId="0" xfId="0" applyFill="1" applyBorder="1" applyAlignment="1" applyProtection="1">
      <alignment horizontal="center"/>
    </xf>
    <xf numFmtId="0" fontId="2" fillId="0" borderId="33" xfId="0" applyFont="1" applyFill="1" applyBorder="1" applyAlignment="1">
      <alignment horizontal="center"/>
    </xf>
    <xf numFmtId="165" fontId="2" fillId="0" borderId="20" xfId="0" applyNumberFormat="1" applyFont="1" applyFill="1" applyBorder="1" applyAlignment="1">
      <alignment horizontal="center" vertical="center"/>
    </xf>
    <xf numFmtId="165" fontId="2" fillId="0" borderId="20" xfId="0" applyNumberFormat="1" applyFont="1" applyFill="1" applyBorder="1" applyAlignment="1">
      <alignment horizontal="center"/>
    </xf>
    <xf numFmtId="0" fontId="2" fillId="0" borderId="22" xfId="0" applyFont="1" applyFill="1" applyBorder="1" applyAlignment="1">
      <alignment horizontal="center"/>
    </xf>
    <xf numFmtId="175" fontId="2" fillId="0" borderId="0" xfId="0" applyNumberFormat="1" applyFont="1" applyFill="1" applyBorder="1" applyAlignment="1" applyProtection="1">
      <alignment horizontal="center" vertical="center"/>
    </xf>
    <xf numFmtId="0" fontId="2" fillId="0" borderId="22" xfId="0" applyFont="1" applyFill="1" applyBorder="1" applyAlignment="1">
      <alignment horizontal="center" vertical="center"/>
    </xf>
    <xf numFmtId="182" fontId="2" fillId="0" borderId="0" xfId="0" applyNumberFormat="1" applyFont="1" applyFill="1" applyBorder="1" applyAlignment="1">
      <alignment horizontal="center"/>
    </xf>
    <xf numFmtId="1" fontId="2" fillId="0" borderId="0" xfId="0" applyNumberFormat="1" applyFont="1" applyFill="1" applyBorder="1" applyAlignment="1">
      <alignment horizontal="center" vertical="center"/>
    </xf>
    <xf numFmtId="14" fontId="2" fillId="0" borderId="0" xfId="0" applyNumberFormat="1" applyFont="1" applyBorder="1" applyAlignment="1">
      <alignment horizontal="center"/>
    </xf>
    <xf numFmtId="0" fontId="0" fillId="0" borderId="0" xfId="0" applyFont="1" applyBorder="1" applyAlignment="1" applyProtection="1">
      <alignment horizontal="right"/>
    </xf>
    <xf numFmtId="0" fontId="2" fillId="0" borderId="0" xfId="0" applyFont="1" applyBorder="1" applyAlignment="1">
      <alignment horizontal="right"/>
    </xf>
    <xf numFmtId="0" fontId="0" fillId="0" borderId="0" xfId="0" applyBorder="1" applyAlignment="1" applyProtection="1">
      <alignment horizontal="right"/>
    </xf>
    <xf numFmtId="0" fontId="0" fillId="0" borderId="64" xfId="0" applyBorder="1" applyAlignment="1">
      <alignment horizontal="center"/>
    </xf>
    <xf numFmtId="0" fontId="0" fillId="0" borderId="0" xfId="0" applyFont="1" applyBorder="1" applyAlignment="1">
      <alignment horizontal="right"/>
    </xf>
    <xf numFmtId="0" fontId="0" fillId="0" borderId="0" xfId="0" applyFont="1" applyFill="1" applyBorder="1" applyAlignment="1" applyProtection="1">
      <alignment horizontal="right"/>
    </xf>
    <xf numFmtId="0" fontId="0" fillId="0" borderId="2" xfId="0" applyFont="1" applyFill="1" applyBorder="1" applyAlignment="1" applyProtection="1">
      <alignment horizontal="center"/>
    </xf>
    <xf numFmtId="0" fontId="0" fillId="0" borderId="2" xfId="0" applyFont="1" applyBorder="1" applyAlignment="1">
      <alignment horizontal="center"/>
    </xf>
    <xf numFmtId="0" fontId="0" fillId="0" borderId="0" xfId="0" applyFill="1" applyBorder="1" applyAlignment="1" applyProtection="1">
      <alignment horizontal="right"/>
    </xf>
    <xf numFmtId="0" fontId="2" fillId="10" borderId="2" xfId="2" applyFont="1" applyFill="1" applyBorder="1" applyAlignment="1" applyProtection="1">
      <alignment horizontal="left"/>
      <protection hidden="1"/>
    </xf>
    <xf numFmtId="0" fontId="2" fillId="10" borderId="26" xfId="2" applyFont="1" applyFill="1" applyBorder="1" applyAlignment="1" applyProtection="1">
      <alignment horizontal="left"/>
      <protection hidden="1"/>
    </xf>
    <xf numFmtId="0" fontId="2" fillId="0" borderId="2" xfId="0" applyFont="1" applyBorder="1" applyAlignment="1">
      <alignment horizontal="center"/>
    </xf>
    <xf numFmtId="1" fontId="2" fillId="0" borderId="2" xfId="0" applyNumberFormat="1" applyFont="1" applyBorder="1" applyAlignment="1">
      <alignment horizontal="center"/>
    </xf>
    <xf numFmtId="0" fontId="2" fillId="0" borderId="2" xfId="0" applyFont="1" applyFill="1" applyBorder="1" applyAlignment="1">
      <alignment horizontal="center" vertical="center"/>
    </xf>
    <xf numFmtId="0" fontId="2" fillId="0" borderId="2" xfId="0" applyFont="1" applyFill="1" applyBorder="1" applyAlignment="1">
      <alignment horizontal="center"/>
    </xf>
    <xf numFmtId="175" fontId="2" fillId="0" borderId="2" xfId="0" applyNumberFormat="1" applyFont="1" applyFill="1" applyBorder="1" applyAlignment="1" applyProtection="1">
      <alignment horizontal="center" vertical="center"/>
    </xf>
    <xf numFmtId="0" fontId="2" fillId="0" borderId="2" xfId="0" applyNumberFormat="1" applyFont="1" applyBorder="1" applyAlignment="1">
      <alignment horizontal="center"/>
    </xf>
    <xf numFmtId="0" fontId="2" fillId="0" borderId="2" xfId="0" applyNumberFormat="1" applyFont="1" applyFill="1" applyBorder="1" applyAlignment="1">
      <alignment horizontal="center" vertical="center"/>
    </xf>
    <xf numFmtId="0" fontId="2" fillId="0" borderId="2" xfId="0" applyNumberFormat="1" applyFont="1" applyFill="1" applyBorder="1" applyAlignment="1">
      <alignment horizontal="center"/>
    </xf>
    <xf numFmtId="0" fontId="2" fillId="0" borderId="2" xfId="0" applyNumberFormat="1" applyFont="1" applyFill="1" applyBorder="1" applyAlignment="1" applyProtection="1">
      <alignment horizontal="center" vertical="center"/>
    </xf>
    <xf numFmtId="0" fontId="2" fillId="0" borderId="0" xfId="0" applyNumberFormat="1" applyFont="1" applyFill="1" applyBorder="1" applyAlignment="1" applyProtection="1">
      <alignment horizontal="center" vertical="center"/>
    </xf>
    <xf numFmtId="0" fontId="2" fillId="0" borderId="0" xfId="0" applyNumberFormat="1" applyFont="1" applyBorder="1"/>
    <xf numFmtId="175" fontId="2" fillId="0" borderId="2" xfId="0" applyNumberFormat="1" applyFont="1" applyFill="1" applyBorder="1" applyAlignment="1" applyProtection="1">
      <alignment horizontal="right" vertical="center"/>
    </xf>
    <xf numFmtId="0" fontId="0" fillId="0" borderId="20" xfId="0" applyFont="1" applyFill="1" applyBorder="1" applyAlignment="1">
      <alignment horizontal="center"/>
    </xf>
    <xf numFmtId="0" fontId="0" fillId="0" borderId="0" xfId="0" applyBorder="1" applyAlignment="1">
      <alignment horizontal="left" vertical="top"/>
    </xf>
    <xf numFmtId="0" fontId="0" fillId="0" borderId="0" xfId="0" applyFont="1" applyBorder="1"/>
    <xf numFmtId="0" fontId="45" fillId="0" borderId="0" xfId="2" applyFont="1" applyAlignment="1">
      <alignment horizontal="center"/>
    </xf>
    <xf numFmtId="0" fontId="2" fillId="6" borderId="2" xfId="2" applyFont="1" applyFill="1" applyBorder="1" applyAlignment="1" applyProtection="1">
      <alignment horizontal="center"/>
      <protection hidden="1"/>
    </xf>
    <xf numFmtId="0" fontId="2" fillId="10" borderId="75" xfId="2" applyFont="1" applyFill="1" applyBorder="1" applyAlignment="1" applyProtection="1">
      <alignment horizontal="center"/>
      <protection hidden="1"/>
    </xf>
    <xf numFmtId="0" fontId="2" fillId="10" borderId="76" xfId="2" applyFont="1" applyFill="1" applyBorder="1" applyAlignment="1" applyProtection="1">
      <alignment horizontal="center"/>
      <protection hidden="1"/>
    </xf>
    <xf numFmtId="0" fontId="45" fillId="4" borderId="25" xfId="2" applyFont="1" applyFill="1" applyBorder="1" applyAlignment="1" applyProtection="1">
      <alignment horizontal="center"/>
      <protection locked="0"/>
    </xf>
    <xf numFmtId="0" fontId="45" fillId="4" borderId="77" xfId="2" applyFont="1" applyFill="1" applyBorder="1" applyAlignment="1" applyProtection="1">
      <alignment horizontal="center"/>
      <protection locked="0"/>
    </xf>
    <xf numFmtId="165" fontId="33" fillId="5" borderId="2" xfId="2" applyNumberFormat="1" applyFont="1" applyFill="1" applyBorder="1" applyAlignment="1">
      <alignment horizontal="center"/>
    </xf>
    <xf numFmtId="178" fontId="33" fillId="5" borderId="34" xfId="2" applyNumberFormat="1" applyFont="1" applyFill="1" applyBorder="1" applyAlignment="1">
      <alignment horizontal="center"/>
    </xf>
    <xf numFmtId="178" fontId="33" fillId="5" borderId="14" xfId="2" applyNumberFormat="1" applyFont="1" applyFill="1" applyBorder="1" applyAlignment="1">
      <alignment horizontal="center"/>
    </xf>
    <xf numFmtId="165" fontId="33" fillId="5" borderId="34" xfId="2" applyNumberFormat="1" applyFont="1" applyFill="1" applyBorder="1" applyAlignment="1">
      <alignment horizontal="center"/>
    </xf>
    <xf numFmtId="165" fontId="33" fillId="5" borderId="14" xfId="2" applyNumberFormat="1" applyFont="1" applyFill="1" applyBorder="1" applyAlignment="1">
      <alignment horizontal="center"/>
    </xf>
    <xf numFmtId="0" fontId="2" fillId="10" borderId="78" xfId="2" applyFont="1" applyFill="1" applyBorder="1" applyAlignment="1" applyProtection="1">
      <alignment horizontal="center"/>
      <protection hidden="1"/>
    </xf>
    <xf numFmtId="0" fontId="2" fillId="10" borderId="79" xfId="2" applyFont="1" applyFill="1" applyBorder="1" applyAlignment="1" applyProtection="1">
      <alignment horizontal="center"/>
      <protection hidden="1"/>
    </xf>
    <xf numFmtId="0" fontId="2" fillId="0" borderId="0" xfId="2" applyFont="1" applyBorder="1" applyAlignment="1">
      <alignment horizontal="center"/>
    </xf>
    <xf numFmtId="177" fontId="2" fillId="4" borderId="34" xfId="2" applyNumberFormat="1" applyFont="1" applyFill="1" applyBorder="1" applyAlignment="1" applyProtection="1">
      <alignment horizontal="center"/>
      <protection locked="0"/>
    </xf>
    <xf numFmtId="177" fontId="2" fillId="4" borderId="14" xfId="2" applyNumberFormat="1" applyFont="1" applyFill="1" applyBorder="1" applyAlignment="1" applyProtection="1">
      <alignment horizontal="center"/>
      <protection locked="0"/>
    </xf>
    <xf numFmtId="0" fontId="35" fillId="4" borderId="25" xfId="2" applyFont="1" applyFill="1" applyBorder="1" applyAlignment="1" applyProtection="1">
      <alignment horizontal="center" vertical="center"/>
      <protection locked="0"/>
    </xf>
    <xf numFmtId="0" fontId="35" fillId="4" borderId="2" xfId="2" applyFont="1" applyFill="1" applyBorder="1" applyAlignment="1" applyProtection="1">
      <alignment horizontal="center" vertical="center"/>
      <protection locked="0"/>
    </xf>
    <xf numFmtId="0" fontId="3" fillId="19" borderId="0" xfId="2" applyFont="1" applyFill="1" applyBorder="1" applyAlignment="1">
      <alignment horizontal="center"/>
    </xf>
    <xf numFmtId="0" fontId="2" fillId="0" borderId="0" xfId="2" applyFont="1" applyBorder="1" applyAlignment="1" applyProtection="1">
      <alignment horizontal="center"/>
      <protection hidden="1"/>
    </xf>
    <xf numFmtId="178" fontId="33" fillId="5" borderId="2" xfId="2" applyNumberFormat="1" applyFont="1" applyFill="1" applyBorder="1" applyAlignment="1">
      <alignment horizontal="center"/>
    </xf>
    <xf numFmtId="0" fontId="2" fillId="10" borderId="80" xfId="2" applyFont="1" applyFill="1" applyBorder="1" applyAlignment="1" applyProtection="1">
      <alignment horizontal="center"/>
      <protection hidden="1"/>
    </xf>
    <xf numFmtId="0" fontId="2" fillId="10" borderId="81" xfId="2" applyFont="1" applyFill="1" applyBorder="1" applyAlignment="1" applyProtection="1">
      <alignment horizontal="center"/>
      <protection hidden="1"/>
    </xf>
    <xf numFmtId="0" fontId="2" fillId="4" borderId="34" xfId="2" applyFont="1" applyFill="1" applyBorder="1" applyAlignment="1" applyProtection="1">
      <alignment horizontal="center"/>
      <protection locked="0"/>
    </xf>
    <xf numFmtId="0" fontId="2" fillId="4" borderId="82" xfId="2" applyFont="1" applyFill="1" applyBorder="1" applyAlignment="1" applyProtection="1">
      <alignment horizontal="center"/>
      <protection locked="0"/>
    </xf>
    <xf numFmtId="0" fontId="2" fillId="10" borderId="34" xfId="2" applyFont="1" applyFill="1" applyBorder="1" applyAlignment="1" applyProtection="1">
      <alignment horizontal="center"/>
      <protection hidden="1"/>
    </xf>
    <xf numFmtId="0" fontId="2" fillId="10" borderId="14" xfId="2" applyFont="1" applyFill="1" applyBorder="1" applyAlignment="1" applyProtection="1">
      <alignment horizontal="center"/>
      <protection hidden="1"/>
    </xf>
    <xf numFmtId="176" fontId="33" fillId="5" borderId="34" xfId="2" applyNumberFormat="1" applyFont="1" applyFill="1" applyBorder="1" applyAlignment="1">
      <alignment horizontal="center"/>
    </xf>
    <xf numFmtId="176" fontId="33" fillId="5" borderId="14" xfId="2" applyNumberFormat="1" applyFont="1" applyFill="1" applyBorder="1" applyAlignment="1">
      <alignment horizontal="center"/>
    </xf>
    <xf numFmtId="178" fontId="34" fillId="5" borderId="34" xfId="2" applyNumberFormat="1" applyFont="1" applyFill="1" applyBorder="1" applyAlignment="1">
      <alignment horizontal="center"/>
    </xf>
    <xf numFmtId="178" fontId="34" fillId="5" borderId="14" xfId="2" applyNumberFormat="1" applyFont="1" applyFill="1" applyBorder="1" applyAlignment="1">
      <alignment horizontal="center"/>
    </xf>
    <xf numFmtId="0" fontId="33" fillId="6" borderId="34" xfId="2" applyFont="1" applyFill="1" applyBorder="1" applyAlignment="1">
      <alignment horizontal="center"/>
    </xf>
    <xf numFmtId="0" fontId="33" fillId="6" borderId="14" xfId="2" applyFont="1" applyFill="1" applyBorder="1" applyAlignment="1">
      <alignment horizontal="center"/>
    </xf>
    <xf numFmtId="20" fontId="2" fillId="4" borderId="34" xfId="2" applyNumberFormat="1" applyFont="1" applyFill="1" applyBorder="1" applyAlignment="1" applyProtection="1">
      <alignment horizontal="center"/>
      <protection locked="0"/>
    </xf>
    <xf numFmtId="20" fontId="2" fillId="4" borderId="82" xfId="2" applyNumberFormat="1" applyFont="1" applyFill="1" applyBorder="1" applyAlignment="1" applyProtection="1">
      <alignment horizontal="center"/>
      <protection locked="0"/>
    </xf>
    <xf numFmtId="177" fontId="2" fillId="4" borderId="2" xfId="2" applyNumberFormat="1" applyFont="1" applyFill="1" applyBorder="1" applyAlignment="1" applyProtection="1">
      <alignment horizontal="center"/>
      <protection locked="0"/>
    </xf>
    <xf numFmtId="0" fontId="45" fillId="0" borderId="83" xfId="2" applyFont="1" applyBorder="1" applyAlignment="1">
      <alignment horizontal="center"/>
    </xf>
    <xf numFmtId="0" fontId="2" fillId="4" borderId="21" xfId="2" applyFont="1" applyFill="1" applyBorder="1" applyAlignment="1" applyProtection="1">
      <alignment horizontal="center"/>
      <protection locked="0"/>
    </xf>
    <xf numFmtId="0" fontId="2" fillId="4" borderId="84" xfId="2" applyFont="1" applyFill="1" applyBorder="1" applyAlignment="1" applyProtection="1">
      <alignment horizontal="center"/>
      <protection locked="0"/>
    </xf>
    <xf numFmtId="0" fontId="17" fillId="5" borderId="31" xfId="2" applyNumberFormat="1" applyFont="1" applyFill="1" applyBorder="1" applyAlignment="1">
      <alignment horizontal="center" vertical="center"/>
    </xf>
    <xf numFmtId="0" fontId="17" fillId="5" borderId="32" xfId="2" applyNumberFormat="1" applyFont="1" applyFill="1" applyBorder="1" applyAlignment="1">
      <alignment horizontal="center" vertical="center"/>
    </xf>
    <xf numFmtId="0" fontId="17" fillId="5" borderId="21" xfId="2" applyNumberFormat="1" applyFont="1" applyFill="1" applyBorder="1" applyAlignment="1">
      <alignment horizontal="center" vertical="center"/>
    </xf>
    <xf numFmtId="0" fontId="17" fillId="5" borderId="23" xfId="2" applyNumberFormat="1" applyFont="1" applyFill="1" applyBorder="1" applyAlignment="1">
      <alignment horizontal="center" vertical="center"/>
    </xf>
    <xf numFmtId="0" fontId="2" fillId="4" borderId="2" xfId="2" applyFont="1" applyFill="1" applyBorder="1" applyAlignment="1" applyProtection="1">
      <alignment horizontal="center"/>
      <protection locked="0"/>
    </xf>
    <xf numFmtId="0" fontId="2" fillId="4" borderId="8" xfId="2" applyFont="1" applyFill="1" applyBorder="1" applyAlignment="1" applyProtection="1">
      <alignment horizontal="center"/>
      <protection locked="0"/>
    </xf>
    <xf numFmtId="177" fontId="33" fillId="5" borderId="34" xfId="2" applyNumberFormat="1" applyFont="1" applyFill="1" applyBorder="1" applyAlignment="1" applyProtection="1">
      <alignment horizontal="center"/>
      <protection hidden="1"/>
    </xf>
    <xf numFmtId="177" fontId="33" fillId="5" borderId="14" xfId="2" applyNumberFormat="1" applyFont="1" applyFill="1" applyBorder="1" applyAlignment="1" applyProtection="1">
      <alignment horizontal="center"/>
      <protection hidden="1"/>
    </xf>
    <xf numFmtId="176" fontId="33" fillId="5" borderId="34" xfId="2" applyNumberFormat="1" applyFont="1" applyFill="1" applyBorder="1" applyAlignment="1" applyProtection="1">
      <alignment horizontal="center"/>
      <protection hidden="1"/>
    </xf>
    <xf numFmtId="176" fontId="33" fillId="5" borderId="14" xfId="2" applyNumberFormat="1" applyFont="1" applyFill="1" applyBorder="1" applyAlignment="1" applyProtection="1">
      <alignment horizontal="center"/>
      <protection hidden="1"/>
    </xf>
    <xf numFmtId="165" fontId="2" fillId="5" borderId="34" xfId="2" applyNumberFormat="1" applyFont="1" applyFill="1" applyBorder="1" applyAlignment="1">
      <alignment horizontal="center"/>
    </xf>
    <xf numFmtId="165" fontId="2" fillId="5" borderId="14" xfId="2" applyNumberFormat="1" applyFont="1" applyFill="1" applyBorder="1" applyAlignment="1">
      <alignment horizontal="center"/>
    </xf>
    <xf numFmtId="0" fontId="15" fillId="0" borderId="0" xfId="2" applyFont="1" applyBorder="1" applyAlignment="1" applyProtection="1">
      <alignment horizontal="center"/>
      <protection hidden="1"/>
    </xf>
    <xf numFmtId="0" fontId="30" fillId="6" borderId="34" xfId="2" applyFont="1" applyFill="1" applyBorder="1" applyAlignment="1" applyProtection="1">
      <alignment horizontal="center"/>
      <protection hidden="1"/>
    </xf>
    <xf numFmtId="0" fontId="30" fillId="6" borderId="14" xfId="2" applyFont="1" applyFill="1" applyBorder="1" applyAlignment="1" applyProtection="1">
      <alignment horizontal="center"/>
      <protection hidden="1"/>
    </xf>
    <xf numFmtId="0" fontId="2" fillId="10" borderId="2" xfId="2" applyFont="1" applyFill="1" applyBorder="1" applyAlignment="1" applyProtection="1">
      <alignment horizontal="center"/>
      <protection hidden="1"/>
    </xf>
    <xf numFmtId="0" fontId="33" fillId="6" borderId="2" xfId="2" applyFont="1" applyFill="1" applyBorder="1" applyAlignment="1">
      <alignment horizontal="center"/>
    </xf>
    <xf numFmtId="0" fontId="41" fillId="8" borderId="85" xfId="0" applyFont="1" applyFill="1" applyBorder="1" applyAlignment="1" applyProtection="1">
      <alignment horizontal="center" vertical="center"/>
      <protection hidden="1"/>
    </xf>
    <xf numFmtId="0" fontId="41" fillId="8" borderId="86" xfId="0" applyFont="1" applyFill="1" applyBorder="1" applyAlignment="1" applyProtection="1">
      <alignment horizontal="center" vertical="center"/>
      <protection hidden="1"/>
    </xf>
    <xf numFmtId="0" fontId="2" fillId="8" borderId="87" xfId="0" applyFont="1" applyFill="1" applyBorder="1" applyAlignment="1" applyProtection="1">
      <alignment horizontal="center" vertical="center"/>
      <protection hidden="1"/>
    </xf>
    <xf numFmtId="0" fontId="11" fillId="8" borderId="15" xfId="0" applyFont="1" applyFill="1" applyBorder="1" applyAlignment="1" applyProtection="1">
      <alignment horizontal="center" vertical="center"/>
      <protection hidden="1"/>
    </xf>
    <xf numFmtId="0" fontId="41" fillId="8" borderId="88" xfId="0" applyFont="1" applyFill="1" applyBorder="1" applyAlignment="1" applyProtection="1">
      <alignment horizontal="center" vertical="center"/>
      <protection hidden="1"/>
    </xf>
    <xf numFmtId="0" fontId="41" fillId="8" borderId="89" xfId="0" applyFont="1" applyFill="1" applyBorder="1" applyAlignment="1" applyProtection="1">
      <alignment horizontal="center" vertical="center"/>
      <protection hidden="1"/>
    </xf>
    <xf numFmtId="0" fontId="14" fillId="8" borderId="15" xfId="0" applyFont="1" applyFill="1" applyBorder="1" applyAlignment="1" applyProtection="1">
      <alignment horizontal="center" vertical="center"/>
      <protection hidden="1"/>
    </xf>
    <xf numFmtId="0" fontId="12" fillId="8" borderId="17" xfId="0" applyFont="1" applyFill="1" applyBorder="1" applyAlignment="1" applyProtection="1">
      <alignment horizontal="center" vertical="center"/>
      <protection hidden="1"/>
    </xf>
    <xf numFmtId="0" fontId="12" fillId="8" borderId="16" xfId="0" applyFont="1" applyFill="1" applyBorder="1" applyAlignment="1" applyProtection="1">
      <alignment horizontal="center" vertical="center"/>
      <protection hidden="1"/>
    </xf>
    <xf numFmtId="0" fontId="2" fillId="13" borderId="90" xfId="0" applyFont="1" applyFill="1" applyBorder="1" applyAlignment="1" applyProtection="1">
      <alignment horizontal="center" vertical="center"/>
      <protection locked="0"/>
    </xf>
    <xf numFmtId="0" fontId="2" fillId="13" borderId="91" xfId="0" applyFont="1" applyFill="1" applyBorder="1" applyAlignment="1" applyProtection="1">
      <alignment horizontal="center" vertical="center"/>
      <protection locked="0"/>
    </xf>
    <xf numFmtId="164" fontId="2" fillId="13" borderId="46" xfId="0" applyNumberFormat="1" applyFont="1" applyFill="1" applyBorder="1" applyAlignment="1" applyProtection="1">
      <alignment horizontal="center" vertical="center"/>
    </xf>
    <xf numFmtId="168" fontId="2" fillId="13" borderId="15" xfId="0" applyNumberFormat="1" applyFont="1" applyFill="1" applyBorder="1" applyAlignment="1" applyProtection="1">
      <alignment horizontal="center" vertical="center"/>
      <protection locked="0"/>
    </xf>
    <xf numFmtId="167" fontId="2" fillId="13" borderId="15" xfId="0" applyNumberFormat="1" applyFont="1" applyFill="1" applyBorder="1" applyAlignment="1" applyProtection="1">
      <alignment horizontal="center" vertical="center"/>
      <protection locked="0"/>
    </xf>
    <xf numFmtId="0" fontId="2" fillId="13" borderId="92" xfId="0" applyFont="1" applyFill="1" applyBorder="1" applyAlignment="1" applyProtection="1">
      <alignment horizontal="center"/>
    </xf>
    <xf numFmtId="0" fontId="2" fillId="13" borderId="91" xfId="0" applyFont="1" applyFill="1" applyBorder="1" applyAlignment="1" applyProtection="1">
      <alignment horizontal="center"/>
    </xf>
    <xf numFmtId="0" fontId="2" fillId="12" borderId="15" xfId="0" applyFont="1" applyFill="1" applyBorder="1" applyAlignment="1" applyProtection="1">
      <alignment horizontal="center"/>
      <protection hidden="1"/>
    </xf>
    <xf numFmtId="166" fontId="2" fillId="17" borderId="46" xfId="0" applyNumberFormat="1" applyFont="1" applyFill="1" applyBorder="1" applyAlignment="1">
      <alignment horizontal="center" vertical="center"/>
    </xf>
    <xf numFmtId="0" fontId="2" fillId="12" borderId="66" xfId="0" applyFont="1" applyFill="1" applyBorder="1" applyAlignment="1" applyProtection="1">
      <alignment horizontal="center"/>
      <protection hidden="1"/>
    </xf>
    <xf numFmtId="0" fontId="2" fillId="12" borderId="93" xfId="0" applyFont="1" applyFill="1" applyBorder="1" applyAlignment="1" applyProtection="1">
      <alignment horizontal="center"/>
      <protection hidden="1"/>
    </xf>
    <xf numFmtId="0" fontId="11" fillId="8" borderId="94" xfId="0" applyFont="1" applyFill="1" applyBorder="1" applyAlignment="1" applyProtection="1">
      <alignment horizontal="center" vertical="center"/>
      <protection hidden="1"/>
    </xf>
    <xf numFmtId="0" fontId="11" fillId="8" borderId="68" xfId="0" applyFont="1" applyFill="1" applyBorder="1" applyAlignment="1" applyProtection="1">
      <alignment horizontal="center" vertical="center"/>
      <protection hidden="1"/>
    </xf>
    <xf numFmtId="0" fontId="12" fillId="8" borderId="95" xfId="0" applyFont="1" applyFill="1" applyBorder="1" applyAlignment="1" applyProtection="1">
      <alignment horizontal="center" vertical="center"/>
      <protection hidden="1"/>
    </xf>
    <xf numFmtId="0" fontId="11" fillId="8" borderId="96" xfId="0" applyFont="1" applyFill="1" applyBorder="1" applyAlignment="1" applyProtection="1">
      <alignment horizontal="center" vertical="center"/>
      <protection hidden="1"/>
    </xf>
    <xf numFmtId="0" fontId="41" fillId="8" borderId="97" xfId="0" applyFont="1" applyFill="1" applyBorder="1" applyAlignment="1" applyProtection="1">
      <alignment horizontal="center" vertical="center"/>
      <protection hidden="1"/>
    </xf>
    <xf numFmtId="0" fontId="2" fillId="4" borderId="34" xfId="2" applyFont="1" applyFill="1" applyBorder="1" applyAlignment="1" applyProtection="1">
      <alignment horizontal="center" vertical="center"/>
      <protection locked="0"/>
    </xf>
    <xf numFmtId="0" fontId="2" fillId="4" borderId="14" xfId="2" applyFont="1" applyFill="1" applyBorder="1" applyAlignment="1" applyProtection="1">
      <alignment horizontal="center" vertical="center"/>
      <protection locked="0"/>
    </xf>
    <xf numFmtId="0" fontId="14" fillId="8" borderId="98" xfId="0" applyFont="1" applyFill="1" applyBorder="1" applyAlignment="1" applyProtection="1">
      <alignment horizontal="center" vertical="center"/>
      <protection hidden="1"/>
    </xf>
    <xf numFmtId="0" fontId="14" fillId="8" borderId="43" xfId="0" applyFont="1" applyFill="1" applyBorder="1" applyAlignment="1" applyProtection="1">
      <alignment horizontal="center" vertical="center"/>
      <protection hidden="1"/>
    </xf>
    <xf numFmtId="0" fontId="2" fillId="10" borderId="2" xfId="2" applyFont="1" applyFill="1" applyBorder="1" applyAlignment="1" applyProtection="1">
      <alignment horizontal="center" vertical="center"/>
      <protection hidden="1"/>
    </xf>
    <xf numFmtId="0" fontId="0" fillId="0" borderId="31" xfId="0" applyBorder="1" applyAlignment="1">
      <alignment horizontal="center" vertical="center"/>
    </xf>
    <xf numFmtId="0" fontId="0" fillId="0" borderId="33" xfId="0" applyBorder="1" applyAlignment="1">
      <alignment horizontal="center" vertical="center"/>
    </xf>
    <xf numFmtId="0" fontId="0" fillId="0" borderId="32" xfId="0" applyBorder="1" applyAlignment="1">
      <alignment horizontal="center" vertical="center"/>
    </xf>
    <xf numFmtId="0" fontId="2" fillId="4" borderId="2" xfId="2" applyFont="1" applyFill="1" applyBorder="1" applyAlignment="1" applyProtection="1">
      <alignment horizontal="center" vertical="center"/>
      <protection locked="0"/>
    </xf>
    <xf numFmtId="0" fontId="3" fillId="20" borderId="0" xfId="0" applyFont="1" applyFill="1" applyBorder="1" applyAlignment="1">
      <alignment horizontal="center"/>
    </xf>
    <xf numFmtId="0" fontId="35" fillId="13" borderId="15" xfId="0" applyFont="1" applyFill="1" applyBorder="1" applyAlignment="1" applyProtection="1">
      <alignment horizontal="center"/>
    </xf>
    <xf numFmtId="0" fontId="2" fillId="0" borderId="0" xfId="0" applyFont="1" applyBorder="1" applyAlignment="1">
      <alignment horizontal="center" vertical="center"/>
    </xf>
    <xf numFmtId="0" fontId="2" fillId="0" borderId="0" xfId="0" applyFont="1" applyBorder="1" applyAlignment="1" applyProtection="1">
      <alignment horizontal="center"/>
      <protection hidden="1"/>
    </xf>
    <xf numFmtId="0" fontId="0" fillId="0" borderId="0" xfId="0" applyAlignment="1">
      <alignment horizontal="center"/>
    </xf>
    <xf numFmtId="0" fontId="0" fillId="30" borderId="21" xfId="0" applyFill="1" applyBorder="1" applyAlignment="1">
      <alignment horizontal="center"/>
    </xf>
    <xf numFmtId="0" fontId="0" fillId="30" borderId="23" xfId="0" applyFill="1" applyBorder="1" applyAlignment="1">
      <alignment horizontal="center"/>
    </xf>
    <xf numFmtId="0" fontId="0" fillId="0" borderId="0" xfId="0" applyFill="1" applyBorder="1" applyAlignment="1" applyProtection="1">
      <alignment horizontal="center"/>
    </xf>
    <xf numFmtId="0" fontId="0" fillId="0" borderId="0" xfId="0" applyFill="1" applyBorder="1" applyAlignment="1">
      <alignment horizontal="center"/>
    </xf>
    <xf numFmtId="0" fontId="0" fillId="0" borderId="0" xfId="0" applyAlignment="1" applyProtection="1">
      <alignment horizontal="center"/>
      <protection locked="0"/>
    </xf>
    <xf numFmtId="0" fontId="0" fillId="30" borderId="19" xfId="0" applyFill="1" applyBorder="1" applyAlignment="1" applyProtection="1">
      <alignment horizontal="center"/>
    </xf>
    <xf numFmtId="0" fontId="0" fillId="30" borderId="20" xfId="0" applyFill="1" applyBorder="1" applyAlignment="1" applyProtection="1">
      <alignment horizontal="center"/>
    </xf>
    <xf numFmtId="0" fontId="0" fillId="4" borderId="19" xfId="0" applyFill="1" applyBorder="1" applyAlignment="1" applyProtection="1">
      <alignment horizontal="center"/>
      <protection locked="0"/>
    </xf>
    <xf numFmtId="0" fontId="0" fillId="4" borderId="20" xfId="0" applyFill="1" applyBorder="1" applyAlignment="1" applyProtection="1">
      <alignment horizontal="center"/>
      <protection locked="0"/>
    </xf>
    <xf numFmtId="0" fontId="0" fillId="4" borderId="0" xfId="0" applyFill="1" applyBorder="1" applyAlignment="1" applyProtection="1">
      <alignment horizontal="center"/>
      <protection locked="0"/>
    </xf>
    <xf numFmtId="0" fontId="0" fillId="30" borderId="21" xfId="0" applyFill="1" applyBorder="1" applyAlignment="1" applyProtection="1">
      <alignment horizontal="center"/>
      <protection locked="0"/>
    </xf>
    <xf numFmtId="0" fontId="0" fillId="30" borderId="23" xfId="0" applyFill="1" applyBorder="1" applyAlignment="1" applyProtection="1">
      <alignment horizontal="center"/>
      <protection locked="0"/>
    </xf>
    <xf numFmtId="0" fontId="0" fillId="0" borderId="33" xfId="0" applyBorder="1" applyAlignment="1" applyProtection="1">
      <alignment horizontal="center"/>
      <protection locked="0"/>
    </xf>
    <xf numFmtId="0" fontId="0" fillId="0" borderId="0" xfId="0" applyFill="1" applyBorder="1" applyAlignment="1" applyProtection="1">
      <alignment horizontal="center"/>
      <protection locked="0"/>
    </xf>
    <xf numFmtId="0" fontId="0" fillId="30" borderId="19" xfId="0" applyFill="1" applyBorder="1" applyAlignment="1" applyProtection="1">
      <alignment horizontal="center"/>
      <protection locked="0"/>
    </xf>
    <xf numFmtId="0" fontId="0" fillId="30" borderId="20" xfId="0" applyFill="1" applyBorder="1" applyAlignment="1" applyProtection="1">
      <alignment horizontal="center"/>
      <protection locked="0"/>
    </xf>
    <xf numFmtId="0" fontId="0" fillId="28" borderId="31" xfId="0" applyFill="1" applyBorder="1" applyAlignment="1">
      <alignment horizontal="center"/>
    </xf>
    <xf numFmtId="0" fontId="0" fillId="28" borderId="32" xfId="0" applyFont="1" applyFill="1" applyBorder="1" applyAlignment="1">
      <alignment horizontal="center"/>
    </xf>
    <xf numFmtId="0" fontId="0" fillId="28" borderId="31" xfId="0" applyFont="1" applyFill="1" applyBorder="1" applyAlignment="1">
      <alignment horizontal="center"/>
    </xf>
    <xf numFmtId="0" fontId="0" fillId="0" borderId="33" xfId="0" applyBorder="1" applyAlignment="1">
      <alignment horizontal="center"/>
    </xf>
    <xf numFmtId="2" fontId="0" fillId="22" borderId="53" xfId="0" applyNumberFormat="1" applyFont="1" applyFill="1" applyBorder="1" applyAlignment="1">
      <alignment horizontal="center"/>
    </xf>
    <xf numFmtId="2" fontId="0" fillId="22" borderId="65" xfId="0" applyNumberFormat="1" applyFont="1" applyFill="1" applyBorder="1" applyAlignment="1">
      <alignment horizontal="center"/>
    </xf>
    <xf numFmtId="2" fontId="0" fillId="22" borderId="11" xfId="0" applyNumberFormat="1" applyFont="1" applyFill="1" applyBorder="1" applyAlignment="1">
      <alignment horizontal="center"/>
    </xf>
    <xf numFmtId="2" fontId="0" fillId="22" borderId="54" xfId="0" applyNumberFormat="1" applyFont="1" applyFill="1" applyBorder="1" applyAlignment="1">
      <alignment horizontal="center"/>
    </xf>
    <xf numFmtId="0" fontId="0" fillId="22" borderId="99" xfId="0" applyFont="1" applyFill="1" applyBorder="1" applyAlignment="1">
      <alignment horizontal="center"/>
    </xf>
    <xf numFmtId="0" fontId="0" fillId="22" borderId="100" xfId="0" applyFont="1" applyFill="1" applyBorder="1" applyAlignment="1">
      <alignment horizontal="center"/>
    </xf>
    <xf numFmtId="0" fontId="0" fillId="22" borderId="101" xfId="0" applyFont="1" applyFill="1" applyBorder="1" applyAlignment="1">
      <alignment horizontal="center"/>
    </xf>
    <xf numFmtId="2" fontId="0" fillId="22" borderId="52" xfId="0" applyNumberFormat="1" applyFill="1" applyBorder="1" applyAlignment="1">
      <alignment horizontal="center"/>
    </xf>
    <xf numFmtId="2" fontId="0" fillId="22" borderId="52" xfId="0" applyNumberFormat="1" applyFont="1" applyFill="1" applyBorder="1" applyAlignment="1">
      <alignment horizontal="center"/>
    </xf>
    <xf numFmtId="194" fontId="2" fillId="13" borderId="46" xfId="0" applyNumberFormat="1" applyFont="1" applyFill="1" applyBorder="1" applyAlignment="1" applyProtection="1">
      <alignment horizontal="center" vertical="center"/>
    </xf>
    <xf numFmtId="195" fontId="2" fillId="17" borderId="15" xfId="0" applyNumberFormat="1" applyFont="1" applyFill="1" applyBorder="1" applyAlignment="1">
      <alignment horizontal="center" vertical="center"/>
    </xf>
    <xf numFmtId="0" fontId="2" fillId="13" borderId="15" xfId="0" applyFont="1" applyFill="1" applyBorder="1" applyAlignment="1" applyProtection="1">
      <alignment horizontal="center" vertical="center"/>
    </xf>
    <xf numFmtId="0" fontId="2" fillId="13" borderId="46" xfId="0" applyNumberFormat="1" applyFont="1" applyFill="1" applyBorder="1" applyAlignment="1" applyProtection="1">
      <alignment horizontal="center" vertical="center"/>
    </xf>
    <xf numFmtId="165" fontId="2" fillId="0" borderId="33" xfId="0" applyNumberFormat="1" applyFont="1" applyFill="1" applyBorder="1" applyAlignment="1">
      <alignment horizontal="center" vertical="center"/>
    </xf>
    <xf numFmtId="165" fontId="2" fillId="0" borderId="32" xfId="0" applyNumberFormat="1" applyFont="1" applyFill="1" applyBorder="1" applyAlignment="1">
      <alignment horizontal="center" vertical="center"/>
    </xf>
    <xf numFmtId="165" fontId="2" fillId="0" borderId="0" xfId="0" applyNumberFormat="1" applyFont="1" applyFill="1" applyBorder="1" applyAlignment="1">
      <alignment horizontal="center" vertical="center"/>
    </xf>
    <xf numFmtId="165" fontId="2" fillId="0" borderId="20" xfId="0" applyNumberFormat="1" applyFont="1" applyFill="1" applyBorder="1" applyAlignment="1">
      <alignment horizontal="center" vertical="center"/>
    </xf>
    <xf numFmtId="0" fontId="2" fillId="0" borderId="12" xfId="0" applyFont="1" applyBorder="1" applyAlignment="1">
      <alignment horizontal="center" vertical="center"/>
    </xf>
    <xf numFmtId="0" fontId="2" fillId="0" borderId="102" xfId="0" applyFont="1" applyBorder="1" applyAlignment="1">
      <alignment horizontal="center" vertical="center"/>
    </xf>
    <xf numFmtId="0" fontId="2" fillId="0" borderId="0" xfId="0" applyFont="1" applyFill="1" applyBorder="1" applyAlignment="1" applyProtection="1">
      <alignment horizontal="center" vertical="center"/>
    </xf>
    <xf numFmtId="0" fontId="2" fillId="0" borderId="20" xfId="0" applyFont="1" applyFill="1" applyBorder="1" applyAlignment="1" applyProtection="1">
      <alignment horizontal="center" vertical="center"/>
    </xf>
    <xf numFmtId="175" fontId="2" fillId="0" borderId="22" xfId="0" applyNumberFormat="1" applyFont="1" applyFill="1" applyBorder="1" applyAlignment="1" applyProtection="1">
      <alignment horizontal="center" vertical="center"/>
    </xf>
    <xf numFmtId="175" fontId="2" fillId="0" borderId="23" xfId="0" applyNumberFormat="1" applyFont="1" applyFill="1" applyBorder="1" applyAlignment="1" applyProtection="1">
      <alignment horizontal="center" vertical="center"/>
    </xf>
    <xf numFmtId="165" fontId="2" fillId="0" borderId="12" xfId="0" applyNumberFormat="1" applyFont="1" applyFill="1" applyBorder="1" applyAlignment="1">
      <alignment horizontal="center" vertical="center"/>
    </xf>
    <xf numFmtId="1" fontId="2" fillId="0" borderId="12" xfId="0" applyNumberFormat="1" applyFont="1" applyFill="1" applyBorder="1" applyAlignment="1">
      <alignment horizontal="center" vertical="center"/>
    </xf>
    <xf numFmtId="0" fontId="2" fillId="0" borderId="21" xfId="0" applyFont="1" applyFill="1" applyBorder="1" applyAlignment="1" applyProtection="1">
      <alignment horizontal="left"/>
    </xf>
    <xf numFmtId="0" fontId="2" fillId="0" borderId="22" xfId="0" applyFont="1" applyFill="1" applyBorder="1" applyAlignment="1" applyProtection="1">
      <alignment horizontal="left"/>
    </xf>
    <xf numFmtId="0" fontId="2" fillId="0" borderId="31" xfId="0" applyFont="1" applyBorder="1" applyAlignment="1" applyProtection="1">
      <alignment horizontal="left"/>
    </xf>
    <xf numFmtId="0" fontId="2" fillId="0" borderId="33" xfId="0" applyFont="1" applyBorder="1" applyAlignment="1" applyProtection="1">
      <alignment horizontal="left"/>
    </xf>
    <xf numFmtId="0" fontId="2" fillId="0" borderId="21" xfId="0" applyFont="1" applyBorder="1" applyAlignment="1" applyProtection="1">
      <alignment horizontal="left"/>
    </xf>
    <xf numFmtId="0" fontId="2" fillId="0" borderId="22" xfId="0" applyFont="1" applyBorder="1" applyAlignment="1" applyProtection="1">
      <alignment horizontal="left"/>
    </xf>
    <xf numFmtId="165" fontId="2" fillId="0" borderId="33" xfId="0" applyNumberFormat="1" applyFont="1" applyBorder="1" applyAlignment="1">
      <alignment horizontal="center" vertical="center"/>
    </xf>
    <xf numFmtId="165" fontId="2" fillId="0" borderId="32" xfId="0" applyNumberFormat="1" applyFont="1" applyBorder="1" applyAlignment="1">
      <alignment horizontal="center" vertical="center"/>
    </xf>
    <xf numFmtId="165" fontId="2" fillId="0" borderId="0" xfId="0" applyNumberFormat="1" applyFont="1" applyBorder="1" applyAlignment="1">
      <alignment horizontal="center" vertical="center"/>
    </xf>
    <xf numFmtId="165" fontId="2" fillId="0" borderId="20" xfId="0" applyNumberFormat="1" applyFont="1" applyBorder="1" applyAlignment="1">
      <alignment horizontal="center" vertical="center"/>
    </xf>
  </cellXfs>
  <cellStyles count="3">
    <cellStyle name="Lien hypertexte" xfId="1" builtinId="8"/>
    <cellStyle name="Normal" xfId="0" builtinId="0"/>
    <cellStyle name="Normal 2" xfId="2" xr:uid="{00000000-0005-0000-0000-000002000000}"/>
  </cellStyles>
  <dxfs count="54">
    <dxf>
      <font>
        <color theme="0"/>
      </font>
    </dxf>
    <dxf>
      <font>
        <color theme="0"/>
      </font>
    </dxf>
    <dxf>
      <font>
        <color theme="0"/>
      </font>
    </dxf>
    <dxf>
      <fill>
        <patternFill patternType="solid">
          <fgColor indexed="42"/>
          <bgColor rgb="FFFFFFCC"/>
        </patternFill>
      </fill>
    </dxf>
    <dxf>
      <fill>
        <patternFill patternType="solid">
          <fgColor indexed="31"/>
          <bgColor indexed="22"/>
        </patternFill>
      </fill>
    </dxf>
    <dxf>
      <fill>
        <patternFill patternType="solid">
          <fgColor indexed="27"/>
          <bgColor rgb="FFFFCCFF"/>
        </patternFill>
      </fill>
    </dxf>
    <dxf>
      <font>
        <color theme="0"/>
      </font>
      <fill>
        <patternFill>
          <bgColor theme="0"/>
        </patternFill>
      </fill>
      <border>
        <left/>
        <right/>
        <top/>
        <bottom/>
      </border>
    </dxf>
    <dxf>
      <font>
        <color rgb="FFFFFF99"/>
        <name val="Cambria"/>
        <scheme val="none"/>
      </font>
    </dxf>
    <dxf>
      <font>
        <color rgb="FFFFCC99"/>
      </font>
    </dxf>
    <dxf>
      <fill>
        <patternFill>
          <bgColor rgb="FFFF0000"/>
        </patternFill>
      </fill>
    </dxf>
    <dxf>
      <fill>
        <patternFill>
          <bgColor rgb="FFFF0000"/>
        </patternFill>
      </fill>
    </dxf>
    <dxf>
      <font>
        <color rgb="FFCC6600"/>
      </font>
    </dxf>
    <dxf>
      <font>
        <color rgb="FFCC6600"/>
      </font>
    </dxf>
    <dxf>
      <font>
        <color rgb="FF808080"/>
      </font>
    </dxf>
    <dxf>
      <font>
        <color rgb="FFFF0000"/>
      </font>
    </dxf>
    <dxf>
      <font>
        <color theme="0"/>
      </font>
      <fill>
        <patternFill patternType="none">
          <bgColor indexed="65"/>
        </patternFill>
      </fill>
      <border>
        <left/>
        <right/>
        <top/>
        <bottom/>
      </border>
    </dxf>
    <dxf>
      <font>
        <color theme="0"/>
      </font>
      <fill>
        <patternFill patternType="none">
          <bgColor indexed="65"/>
        </patternFill>
      </fill>
      <border>
        <left/>
        <right/>
        <bottom/>
      </border>
    </dxf>
    <dxf>
      <font>
        <color rgb="FF99CCFF"/>
      </font>
    </dxf>
    <dxf>
      <fill>
        <patternFill>
          <bgColor indexed="10"/>
        </patternFill>
      </fill>
    </dxf>
    <dxf>
      <font>
        <color indexed="9"/>
      </font>
      <fill>
        <patternFill patternType="solid">
          <bgColor indexed="9"/>
        </patternFill>
      </fill>
      <border>
        <left/>
        <right/>
        <top/>
        <bottom/>
      </border>
    </dxf>
    <dxf>
      <font>
        <color theme="0"/>
      </font>
      <fill>
        <patternFill patternType="solid">
          <bgColor theme="0"/>
        </patternFill>
      </fill>
      <border>
        <right/>
        <bottom/>
      </border>
    </dxf>
    <dxf>
      <font>
        <color rgb="FFCCFFFF"/>
      </font>
    </dxf>
    <dxf>
      <fill>
        <patternFill>
          <bgColor indexed="10"/>
        </patternFill>
      </fill>
    </dxf>
    <dxf>
      <font>
        <color theme="0"/>
      </font>
      <fill>
        <patternFill>
          <bgColor theme="0"/>
        </patternFill>
      </fill>
      <border>
        <right/>
        <top/>
        <bottom/>
      </border>
    </dxf>
    <dxf>
      <fill>
        <patternFill patternType="solid">
          <fgColor indexed="53"/>
          <bgColor rgb="FFFF0000"/>
        </patternFill>
      </fill>
    </dxf>
    <dxf>
      <fill>
        <patternFill patternType="solid">
          <fgColor indexed="60"/>
          <bgColor indexed="10"/>
        </patternFill>
      </fill>
    </dxf>
    <dxf>
      <fill>
        <patternFill patternType="solid">
          <fgColor indexed="60"/>
          <bgColor indexed="10"/>
        </patternFill>
      </fill>
    </dxf>
    <dxf>
      <font>
        <color rgb="FFFF0000"/>
      </font>
    </dxf>
    <dxf>
      <font>
        <color theme="0"/>
      </font>
    </dxf>
    <dxf>
      <font>
        <color theme="1"/>
      </font>
    </dxf>
    <dxf>
      <font>
        <color theme="1"/>
      </font>
    </dxf>
    <dxf>
      <font>
        <color rgb="FFCC6600"/>
      </font>
    </dxf>
    <dxf>
      <font>
        <color rgb="FFCC6600"/>
      </font>
    </dxf>
    <dxf>
      <font>
        <color rgb="FFCC6600"/>
      </font>
    </dxf>
    <dxf>
      <font>
        <color rgb="FFCC6600"/>
      </font>
    </dxf>
    <dxf>
      <font>
        <color rgb="FFCC6600"/>
      </font>
    </dxf>
    <dxf>
      <font>
        <color rgb="FFCC6600"/>
      </font>
    </dxf>
    <dxf>
      <font>
        <color rgb="FFCC6600"/>
      </font>
    </dxf>
    <dxf>
      <font>
        <color rgb="FFFF0000"/>
      </font>
    </dxf>
    <dxf>
      <font>
        <color rgb="FF808080"/>
      </font>
    </dxf>
    <dxf>
      <font>
        <color rgb="FFFF0000"/>
      </font>
    </dxf>
    <dxf>
      <font>
        <color rgb="FFCC6600"/>
      </font>
    </dxf>
    <dxf>
      <font>
        <color theme="0"/>
      </font>
      <fill>
        <patternFill>
          <bgColor theme="0"/>
        </patternFill>
      </fill>
      <border>
        <left/>
        <right/>
        <bottom/>
      </border>
    </dxf>
    <dxf>
      <font>
        <condense val="0"/>
        <extend val="0"/>
        <color indexed="9"/>
      </font>
      <fill>
        <patternFill patternType="none">
          <bgColor indexed="65"/>
        </patternFill>
      </fill>
      <border>
        <left/>
        <right/>
        <top/>
        <bottom/>
      </border>
    </dxf>
    <dxf>
      <font>
        <color indexed="9"/>
      </font>
      <fill>
        <patternFill>
          <bgColor indexed="9"/>
        </patternFill>
      </fill>
      <border>
        <left/>
        <right/>
        <top/>
        <bottom/>
      </border>
    </dxf>
    <dxf>
      <font>
        <color rgb="FFFF0000"/>
      </font>
    </dxf>
    <dxf>
      <font>
        <color rgb="FFFF0000"/>
      </font>
    </dxf>
    <dxf>
      <font>
        <color rgb="FFFF0000"/>
      </font>
    </dxf>
    <dxf>
      <font>
        <color rgb="FFFF0000"/>
      </font>
    </dxf>
    <dxf>
      <font>
        <color rgb="FFFF0000"/>
      </font>
    </dxf>
    <dxf>
      <font>
        <color rgb="FFFF0000"/>
      </font>
    </dxf>
    <dxf>
      <font>
        <condense val="0"/>
        <extend val="0"/>
        <color indexed="11"/>
      </font>
    </dxf>
    <dxf>
      <font>
        <condense val="0"/>
        <extend val="0"/>
        <color indexed="9"/>
      </font>
      <fill>
        <patternFill patternType="none">
          <bgColor indexed="65"/>
        </patternFill>
      </fill>
      <border>
        <left/>
        <right/>
        <top/>
        <bottom/>
      </border>
    </dxf>
    <dxf>
      <font>
        <color theme="0"/>
      </font>
      <fill>
        <patternFill patternType="none">
          <bgColor indexed="65"/>
        </patternFill>
      </fill>
      <border>
        <left/>
        <right/>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3CAFF"/>
      <rgbColor rgb="00993366"/>
      <rgbColor rgb="00E6E6E6"/>
      <rgbColor rgb="00CCFFFF"/>
      <rgbColor rgb="00660066"/>
      <rgbColor rgb="00FF8080"/>
      <rgbColor rgb="000066CC"/>
      <rgbColor rgb="00CCCCCC"/>
      <rgbColor rgb="00000080"/>
      <rgbColor rgb="00FF00FF"/>
      <rgbColor rgb="00FFFF00"/>
      <rgbColor rgb="0000FFFF"/>
      <rgbColor rgb="00800080"/>
      <rgbColor rgb="00800000"/>
      <rgbColor rgb="00008080"/>
      <rgbColor rgb="000000FF"/>
      <rgbColor rgb="0000CCFF"/>
      <rgbColor rgb="00D9D9D9"/>
      <rgbColor rgb="00CCFFCC"/>
      <rgbColor rgb="00FFFF99"/>
      <rgbColor rgb="0099CCFF"/>
      <rgbColor rgb="00FF99CC"/>
      <rgbColor rgb="00CC99FF"/>
      <rgbColor rgb="00FFCC99"/>
      <rgbColor rgb="003366FF"/>
      <rgbColor rgb="0033CCCC"/>
      <rgbColor rgb="0099CC00"/>
      <rgbColor rgb="00FFD320"/>
      <rgbColor rgb="00FF9900"/>
      <rgbColor rgb="00FF6600"/>
      <rgbColor rgb="00666699"/>
      <rgbColor rgb="00B3B3B3"/>
      <rgbColor rgb="0000458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70566137003713E-2"/>
          <c:y val="6.4690026954178192E-2"/>
          <c:w val="0.84871001627006748"/>
          <c:h val="0.90566037735849303"/>
        </c:manualLayout>
      </c:layout>
      <c:scatterChart>
        <c:scatterStyle val="lineMarker"/>
        <c:varyColors val="0"/>
        <c:ser>
          <c:idx val="0"/>
          <c:order val="0"/>
          <c:tx>
            <c:v>fuselage</c:v>
          </c:tx>
          <c:spPr>
            <a:ln w="25400">
              <a:solidFill>
                <a:srgbClr val="000080"/>
              </a:solidFill>
              <a:prstDash val="solid"/>
            </a:ln>
          </c:spPr>
          <c:marker>
            <c:symbol val="none"/>
          </c:marker>
          <c:xVal>
            <c:numRef>
              <c:f>Stabilito!$D$124:$D$131</c:f>
              <c:numCache>
                <c:formatCode>0</c:formatCode>
                <c:ptCount val="8"/>
                <c:pt idx="0">
                  <c:v>0</c:v>
                </c:pt>
                <c:pt idx="1">
                  <c:v>50</c:v>
                </c:pt>
                <c:pt idx="2">
                  <c:v>50</c:v>
                </c:pt>
                <c:pt idx="3">
                  <c:v>50</c:v>
                </c:pt>
                <c:pt idx="4">
                  <c:v>50</c:v>
                </c:pt>
                <c:pt idx="5">
                  <c:v>50</c:v>
                </c:pt>
                <c:pt idx="6">
                  <c:v>50</c:v>
                </c:pt>
                <c:pt idx="7">
                  <c:v>0</c:v>
                </c:pt>
              </c:numCache>
            </c:numRef>
          </c:xVal>
          <c:yVal>
            <c:numRef>
              <c:f>Stabilito!$C$124:$C$131</c:f>
              <c:numCache>
                <c:formatCode>0</c:formatCode>
                <c:ptCount val="8"/>
                <c:pt idx="0">
                  <c:v>-250</c:v>
                </c:pt>
                <c:pt idx="1">
                  <c:v>-250</c:v>
                </c:pt>
                <c:pt idx="2">
                  <c:v>-250</c:v>
                </c:pt>
                <c:pt idx="3">
                  <c:v>-250</c:v>
                </c:pt>
                <c:pt idx="4">
                  <c:v>-250</c:v>
                </c:pt>
                <c:pt idx="5">
                  <c:v>-250</c:v>
                </c:pt>
                <c:pt idx="6">
                  <c:v>-1800</c:v>
                </c:pt>
                <c:pt idx="7">
                  <c:v>-1800</c:v>
                </c:pt>
              </c:numCache>
            </c:numRef>
          </c:yVal>
          <c:smooth val="0"/>
          <c:extLst>
            <c:ext xmlns:c16="http://schemas.microsoft.com/office/drawing/2014/chart" uri="{C3380CC4-5D6E-409C-BE32-E72D297353CC}">
              <c16:uniqueId val="{00000000-55B2-4265-BF98-AB5DCB6E604E}"/>
            </c:ext>
          </c:extLst>
        </c:ser>
        <c:ser>
          <c:idx val="1"/>
          <c:order val="1"/>
          <c:tx>
            <c:v>aileron</c:v>
          </c:tx>
          <c:spPr>
            <a:ln w="25400">
              <a:solidFill>
                <a:srgbClr val="00FF00"/>
              </a:solidFill>
              <a:prstDash val="solid"/>
            </a:ln>
          </c:spPr>
          <c:marker>
            <c:symbol val="none"/>
          </c:marker>
          <c:xVal>
            <c:numRef>
              <c:f>Stabilito!$D$132:$D$136</c:f>
              <c:numCache>
                <c:formatCode>0</c:formatCode>
                <c:ptCount val="5"/>
                <c:pt idx="0">
                  <c:v>50</c:v>
                </c:pt>
                <c:pt idx="1">
                  <c:v>200</c:v>
                </c:pt>
                <c:pt idx="2">
                  <c:v>200</c:v>
                </c:pt>
                <c:pt idx="3">
                  <c:v>50</c:v>
                </c:pt>
                <c:pt idx="4">
                  <c:v>50</c:v>
                </c:pt>
              </c:numCache>
            </c:numRef>
          </c:xVal>
          <c:yVal>
            <c:numRef>
              <c:f>Stabilito!$C$132:$C$136</c:f>
              <c:numCache>
                <c:formatCode>0</c:formatCode>
                <c:ptCount val="5"/>
                <c:pt idx="0">
                  <c:v>-1580</c:v>
                </c:pt>
                <c:pt idx="1">
                  <c:v>-1780</c:v>
                </c:pt>
                <c:pt idx="2">
                  <c:v>-1880</c:v>
                </c:pt>
                <c:pt idx="3">
                  <c:v>-1800</c:v>
                </c:pt>
                <c:pt idx="4">
                  <c:v>-1580</c:v>
                </c:pt>
              </c:numCache>
            </c:numRef>
          </c:yVal>
          <c:smooth val="0"/>
          <c:extLst>
            <c:ext xmlns:c16="http://schemas.microsoft.com/office/drawing/2014/chart" uri="{C3380CC4-5D6E-409C-BE32-E72D297353CC}">
              <c16:uniqueId val="{00000001-55B2-4265-BF98-AB5DCB6E604E}"/>
            </c:ext>
          </c:extLst>
        </c:ser>
        <c:ser>
          <c:idx val="2"/>
          <c:order val="2"/>
          <c:tx>
            <c:v>fuselage2</c:v>
          </c:tx>
          <c:spPr>
            <a:ln w="25400">
              <a:solidFill>
                <a:srgbClr val="000080"/>
              </a:solidFill>
              <a:prstDash val="solid"/>
            </a:ln>
          </c:spPr>
          <c:marker>
            <c:symbol val="none"/>
          </c:marker>
          <c:xVal>
            <c:numRef>
              <c:f>Stabilito!$E$124:$E$131</c:f>
              <c:numCache>
                <c:formatCode>0</c:formatCode>
                <c:ptCount val="8"/>
                <c:pt idx="0">
                  <c:v>0</c:v>
                </c:pt>
                <c:pt idx="1">
                  <c:v>-50</c:v>
                </c:pt>
                <c:pt idx="2">
                  <c:v>-50</c:v>
                </c:pt>
                <c:pt idx="3">
                  <c:v>-50</c:v>
                </c:pt>
                <c:pt idx="4">
                  <c:v>-50</c:v>
                </c:pt>
                <c:pt idx="5">
                  <c:v>-50</c:v>
                </c:pt>
                <c:pt idx="6">
                  <c:v>-50</c:v>
                </c:pt>
                <c:pt idx="7">
                  <c:v>0</c:v>
                </c:pt>
              </c:numCache>
            </c:numRef>
          </c:xVal>
          <c:yVal>
            <c:numRef>
              <c:f>Stabilito!$C$124:$C$131</c:f>
              <c:numCache>
                <c:formatCode>0</c:formatCode>
                <c:ptCount val="8"/>
                <c:pt idx="0">
                  <c:v>-250</c:v>
                </c:pt>
                <c:pt idx="1">
                  <c:v>-250</c:v>
                </c:pt>
                <c:pt idx="2">
                  <c:v>-250</c:v>
                </c:pt>
                <c:pt idx="3">
                  <c:v>-250</c:v>
                </c:pt>
                <c:pt idx="4">
                  <c:v>-250</c:v>
                </c:pt>
                <c:pt idx="5">
                  <c:v>-250</c:v>
                </c:pt>
                <c:pt idx="6">
                  <c:v>-1800</c:v>
                </c:pt>
                <c:pt idx="7">
                  <c:v>-1800</c:v>
                </c:pt>
              </c:numCache>
            </c:numRef>
          </c:yVal>
          <c:smooth val="0"/>
          <c:extLst>
            <c:ext xmlns:c16="http://schemas.microsoft.com/office/drawing/2014/chart" uri="{C3380CC4-5D6E-409C-BE32-E72D297353CC}">
              <c16:uniqueId val="{00000002-55B2-4265-BF98-AB5DCB6E604E}"/>
            </c:ext>
          </c:extLst>
        </c:ser>
        <c:ser>
          <c:idx val="3"/>
          <c:order val="3"/>
          <c:tx>
            <c:v>aileron2</c:v>
          </c:tx>
          <c:spPr>
            <a:ln w="25400">
              <a:solidFill>
                <a:srgbClr val="00FF00"/>
              </a:solidFill>
              <a:prstDash val="solid"/>
            </a:ln>
          </c:spPr>
          <c:marker>
            <c:symbol val="none"/>
          </c:marker>
          <c:xVal>
            <c:numRef>
              <c:f>Stabilito!$E$132:$E$136</c:f>
              <c:numCache>
                <c:formatCode>0</c:formatCode>
                <c:ptCount val="5"/>
                <c:pt idx="0">
                  <c:v>-50</c:v>
                </c:pt>
                <c:pt idx="1">
                  <c:v>-200</c:v>
                </c:pt>
                <c:pt idx="2">
                  <c:v>-200</c:v>
                </c:pt>
                <c:pt idx="3">
                  <c:v>-50</c:v>
                </c:pt>
                <c:pt idx="4">
                  <c:v>-50</c:v>
                </c:pt>
              </c:numCache>
            </c:numRef>
          </c:xVal>
          <c:yVal>
            <c:numRef>
              <c:f>Stabilito!$C$132:$C$136</c:f>
              <c:numCache>
                <c:formatCode>0</c:formatCode>
                <c:ptCount val="5"/>
                <c:pt idx="0">
                  <c:v>-1580</c:v>
                </c:pt>
                <c:pt idx="1">
                  <c:v>-1780</c:v>
                </c:pt>
                <c:pt idx="2">
                  <c:v>-1880</c:v>
                </c:pt>
                <c:pt idx="3">
                  <c:v>-1800</c:v>
                </c:pt>
                <c:pt idx="4">
                  <c:v>-1580</c:v>
                </c:pt>
              </c:numCache>
            </c:numRef>
          </c:yVal>
          <c:smooth val="0"/>
          <c:extLst>
            <c:ext xmlns:c16="http://schemas.microsoft.com/office/drawing/2014/chart" uri="{C3380CC4-5D6E-409C-BE32-E72D297353CC}">
              <c16:uniqueId val="{00000003-55B2-4265-BF98-AB5DCB6E604E}"/>
            </c:ext>
          </c:extLst>
        </c:ser>
        <c:ser>
          <c:idx val="4"/>
          <c:order val="4"/>
          <c:tx>
            <c:strRef>
              <c:f>Stabilito!$B$12</c:f>
              <c:strCache>
                <c:ptCount val="1"/>
                <c:pt idx="0">
                  <c:v>Centre de Masse</c:v>
                </c:pt>
              </c:strCache>
            </c:strRef>
          </c:tx>
          <c:spPr>
            <a:ln w="25400">
              <a:solidFill>
                <a:srgbClr val="0000FF"/>
              </a:solidFill>
              <a:prstDash val="solid"/>
            </a:ln>
          </c:spPr>
          <c:marker>
            <c:symbol val="circle"/>
            <c:size val="5"/>
            <c:spPr>
              <a:solidFill>
                <a:srgbClr val="0000FF"/>
              </a:solidFill>
              <a:ln w="9525">
                <a:noFill/>
              </a:ln>
            </c:spPr>
          </c:marker>
          <c:dLbls>
            <c:dLbl>
              <c:idx val="1"/>
              <c:spPr>
                <a:noFill/>
                <a:ln w="25400">
                  <a:noFill/>
                </a:ln>
              </c:spPr>
              <c:txPr>
                <a:bodyPr/>
                <a:lstStyle/>
                <a:p>
                  <a:pPr>
                    <a:defRPr sz="800" b="0" i="0" u="none" strike="noStrike" baseline="0">
                      <a:solidFill>
                        <a:srgbClr val="0000FF"/>
                      </a:solidFill>
                      <a:latin typeface="Arial"/>
                      <a:ea typeface="Arial"/>
                      <a:cs typeface="Arial"/>
                    </a:defRPr>
                  </a:pPr>
                  <a:endParaRPr lang="fr-FR"/>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55B2-4265-BF98-AB5DCB6E604E}"/>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Stabilito!$D$149:$D$150</c:f>
              <c:numCache>
                <c:formatCode>0</c:formatCode>
                <c:ptCount val="2"/>
                <c:pt idx="0">
                  <c:v>0</c:v>
                </c:pt>
                <c:pt idx="1">
                  <c:v>0</c:v>
                </c:pt>
              </c:numCache>
            </c:numRef>
          </c:xVal>
          <c:yVal>
            <c:numRef>
              <c:f>Stabilito!$C$149:$C$150</c:f>
              <c:numCache>
                <c:formatCode>0</c:formatCode>
                <c:ptCount val="2"/>
                <c:pt idx="0">
                  <c:v>-1239.3907566675355</c:v>
                </c:pt>
                <c:pt idx="1">
                  <c:v>-1177.6681884208342</c:v>
                </c:pt>
              </c:numCache>
            </c:numRef>
          </c:yVal>
          <c:smooth val="0"/>
          <c:extLst>
            <c:ext xmlns:c16="http://schemas.microsoft.com/office/drawing/2014/chart" uri="{C3380CC4-5D6E-409C-BE32-E72D297353CC}">
              <c16:uniqueId val="{00000005-55B2-4265-BF98-AB5DCB6E604E}"/>
            </c:ext>
          </c:extLst>
        </c:ser>
        <c:ser>
          <c:idx val="5"/>
          <c:order val="5"/>
          <c:tx>
            <c:strRef>
              <c:f>Stabilito!$F$28</c:f>
              <c:strCache>
                <c:ptCount val="1"/>
                <c:pt idx="0">
                  <c:v>Portance</c:v>
                </c:pt>
              </c:strCache>
            </c:strRef>
          </c:tx>
          <c:spPr>
            <a:ln w="25400">
              <a:solidFill>
                <a:srgbClr val="800000"/>
              </a:solidFill>
              <a:prstDash val="solid"/>
            </a:ln>
          </c:spPr>
          <c:marker>
            <c:symbol val="diamond"/>
            <c:size val="5"/>
            <c:spPr>
              <a:solidFill>
                <a:srgbClr val="800000"/>
              </a:solidFill>
              <a:ln>
                <a:solidFill>
                  <a:srgbClr val="800000"/>
                </a:solidFill>
                <a:prstDash val="solid"/>
              </a:ln>
            </c:spPr>
          </c:marker>
          <c:dLbls>
            <c:dLbl>
              <c:idx val="1"/>
              <c:spPr>
                <a:noFill/>
                <a:ln w="25400">
                  <a:noFill/>
                </a:ln>
              </c:spPr>
              <c:txPr>
                <a:bodyPr/>
                <a:lstStyle/>
                <a:p>
                  <a:pPr>
                    <a:defRPr sz="800" b="0" i="0" u="none" strike="noStrike" baseline="0">
                      <a:solidFill>
                        <a:srgbClr val="800000"/>
                      </a:solidFill>
                      <a:latin typeface="Arial"/>
                      <a:ea typeface="Arial"/>
                      <a:cs typeface="Arial"/>
                    </a:defRPr>
                  </a:pPr>
                  <a:endParaRPr lang="fr-FR"/>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6-55B2-4265-BF98-AB5DCB6E604E}"/>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Stabilito!$D$151:$D$154</c:f>
              <c:numCache>
                <c:formatCode>0</c:formatCode>
                <c:ptCount val="4"/>
                <c:pt idx="0">
                  <c:v>0</c:v>
                </c:pt>
                <c:pt idx="1">
                  <c:v>127.56676226462501</c:v>
                </c:pt>
                <c:pt idx="2">
                  <c:v>127.56676226462501</c:v>
                </c:pt>
                <c:pt idx="3">
                  <c:v>0</c:v>
                </c:pt>
              </c:numCache>
            </c:numRef>
          </c:xVal>
          <c:yVal>
            <c:numRef>
              <c:f>Stabilito!$C$151:$C$154</c:f>
              <c:numCache>
                <c:formatCode>0</c:formatCode>
                <c:ptCount val="4"/>
                <c:pt idx="0">
                  <c:v>-1542.904434046003</c:v>
                </c:pt>
                <c:pt idx="1">
                  <c:v>-1542.904434046003</c:v>
                </c:pt>
                <c:pt idx="2">
                  <c:v>-1542.904434046003</c:v>
                </c:pt>
                <c:pt idx="3">
                  <c:v>-1542.904434046003</c:v>
                </c:pt>
              </c:numCache>
            </c:numRef>
          </c:yVal>
          <c:smooth val="0"/>
          <c:extLst>
            <c:ext xmlns:c16="http://schemas.microsoft.com/office/drawing/2014/chart" uri="{C3380CC4-5D6E-409C-BE32-E72D297353CC}">
              <c16:uniqueId val="{00000007-55B2-4265-BF98-AB5DCB6E604E}"/>
            </c:ext>
          </c:extLst>
        </c:ser>
        <c:ser>
          <c:idx val="6"/>
          <c:order val="6"/>
          <c:tx>
            <c:v>canard</c:v>
          </c:tx>
          <c:spPr>
            <a:ln w="25400">
              <a:solidFill>
                <a:srgbClr val="008000"/>
              </a:solidFill>
              <a:prstDash val="solid"/>
            </a:ln>
          </c:spPr>
          <c:marker>
            <c:symbol val="none"/>
          </c:marker>
          <c:xVal>
            <c:numRef>
              <c:f>Stabilito!$D$158:$D$162</c:f>
              <c:numCache>
                <c:formatCode>0</c:formatCode>
                <c:ptCount val="5"/>
                <c:pt idx="0">
                  <c:v>0</c:v>
                </c:pt>
                <c:pt idx="1">
                  <c:v>0</c:v>
                </c:pt>
                <c:pt idx="2">
                  <c:v>0</c:v>
                </c:pt>
                <c:pt idx="3">
                  <c:v>0</c:v>
                </c:pt>
                <c:pt idx="4">
                  <c:v>0</c:v>
                </c:pt>
              </c:numCache>
            </c:numRef>
          </c:xVal>
          <c:yVal>
            <c:numRef>
              <c:f>Stabilito!$C$158:$C$162</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8-55B2-4265-BF98-AB5DCB6E604E}"/>
            </c:ext>
          </c:extLst>
        </c:ser>
        <c:ser>
          <c:idx val="7"/>
          <c:order val="7"/>
          <c:tx>
            <c:v>canard2</c:v>
          </c:tx>
          <c:spPr>
            <a:ln w="25400">
              <a:solidFill>
                <a:srgbClr val="008000"/>
              </a:solidFill>
              <a:prstDash val="solid"/>
            </a:ln>
          </c:spPr>
          <c:marker>
            <c:symbol val="none"/>
          </c:marker>
          <c:xVal>
            <c:numRef>
              <c:f>Stabilito!$E$158:$E$162</c:f>
              <c:numCache>
                <c:formatCode>0</c:formatCode>
                <c:ptCount val="5"/>
                <c:pt idx="0">
                  <c:v>0</c:v>
                </c:pt>
                <c:pt idx="1">
                  <c:v>0</c:v>
                </c:pt>
                <c:pt idx="2">
                  <c:v>0</c:v>
                </c:pt>
                <c:pt idx="3">
                  <c:v>0</c:v>
                </c:pt>
                <c:pt idx="4">
                  <c:v>0</c:v>
                </c:pt>
              </c:numCache>
            </c:numRef>
          </c:xVal>
          <c:yVal>
            <c:numRef>
              <c:f>Stabilito!$C$158:$C$162</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9-55B2-4265-BF98-AB5DCB6E604E}"/>
            </c:ext>
          </c:extLst>
        </c:ser>
        <c:ser>
          <c:idx val="8"/>
          <c:order val="8"/>
          <c:tx>
            <c:v>masquage</c:v>
          </c:tx>
          <c:spPr>
            <a:ln w="25400">
              <a:solidFill>
                <a:srgbClr val="FF0000"/>
              </a:solidFill>
              <a:prstDash val="sysDash"/>
            </a:ln>
          </c:spPr>
          <c:marker>
            <c:symbol val="none"/>
          </c:marker>
          <c:xVal>
            <c:numRef>
              <c:f>Stabilito!$D$163:$D$167</c:f>
              <c:numCache>
                <c:formatCode>0</c:formatCode>
                <c:ptCount val="5"/>
                <c:pt idx="0">
                  <c:v>0</c:v>
                </c:pt>
                <c:pt idx="1">
                  <c:v>0</c:v>
                </c:pt>
                <c:pt idx="2">
                  <c:v>0</c:v>
                </c:pt>
                <c:pt idx="3">
                  <c:v>0</c:v>
                </c:pt>
                <c:pt idx="4">
                  <c:v>0</c:v>
                </c:pt>
              </c:numCache>
            </c:numRef>
          </c:xVal>
          <c:yVal>
            <c:numRef>
              <c:f>Stabilito!$C$163:$C$167</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A-55B2-4265-BF98-AB5DCB6E604E}"/>
            </c:ext>
          </c:extLst>
        </c:ser>
        <c:ser>
          <c:idx val="9"/>
          <c:order val="9"/>
          <c:tx>
            <c:v>masquage2</c:v>
          </c:tx>
          <c:spPr>
            <a:ln w="25400">
              <a:solidFill>
                <a:srgbClr val="FF0000"/>
              </a:solidFill>
              <a:prstDash val="sysDash"/>
            </a:ln>
          </c:spPr>
          <c:marker>
            <c:symbol val="none"/>
          </c:marker>
          <c:xVal>
            <c:numRef>
              <c:f>Stabilito!$E$163:$E$167</c:f>
              <c:numCache>
                <c:formatCode>0</c:formatCode>
                <c:ptCount val="5"/>
                <c:pt idx="0">
                  <c:v>0</c:v>
                </c:pt>
                <c:pt idx="1">
                  <c:v>0</c:v>
                </c:pt>
                <c:pt idx="2">
                  <c:v>0</c:v>
                </c:pt>
                <c:pt idx="3">
                  <c:v>0</c:v>
                </c:pt>
                <c:pt idx="4">
                  <c:v>0</c:v>
                </c:pt>
              </c:numCache>
            </c:numRef>
          </c:xVal>
          <c:yVal>
            <c:numRef>
              <c:f>Stabilito!$C$163:$C$167</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B-55B2-4265-BF98-AB5DCB6E604E}"/>
            </c:ext>
          </c:extLst>
        </c:ser>
        <c:ser>
          <c:idx val="10"/>
          <c:order val="10"/>
          <c:tx>
            <c:v>cadre</c:v>
          </c:tx>
          <c:spPr>
            <a:ln w="12700">
              <a:solidFill>
                <a:srgbClr val="FFFFFF"/>
              </a:solidFill>
              <a:prstDash val="solid"/>
            </a:ln>
          </c:spPr>
          <c:marker>
            <c:symbol val="none"/>
          </c:marker>
          <c:xVal>
            <c:numRef>
              <c:f>Stabilito!$D$168:$D$169</c:f>
              <c:numCache>
                <c:formatCode>0</c:formatCode>
                <c:ptCount val="2"/>
                <c:pt idx="0">
                  <c:v>600</c:v>
                </c:pt>
                <c:pt idx="1">
                  <c:v>-600</c:v>
                </c:pt>
              </c:numCache>
            </c:numRef>
          </c:xVal>
          <c:yVal>
            <c:numRef>
              <c:f>Stabilito!$C$168:$C$169</c:f>
              <c:numCache>
                <c:formatCode>0</c:formatCode>
                <c:ptCount val="2"/>
                <c:pt idx="0">
                  <c:v>-1898.8</c:v>
                </c:pt>
                <c:pt idx="1">
                  <c:v>-1898.8</c:v>
                </c:pt>
              </c:numCache>
            </c:numRef>
          </c:yVal>
          <c:smooth val="0"/>
          <c:extLst>
            <c:ext xmlns:c16="http://schemas.microsoft.com/office/drawing/2014/chart" uri="{C3380CC4-5D6E-409C-BE32-E72D297353CC}">
              <c16:uniqueId val="{0000000C-55B2-4265-BF98-AB5DCB6E604E}"/>
            </c:ext>
          </c:extLst>
        </c:ser>
        <c:ser>
          <c:idx val="11"/>
          <c:order val="11"/>
          <c:tx>
            <c:v>Propu</c:v>
          </c:tx>
          <c:spPr>
            <a:ln w="25400">
              <a:solidFill>
                <a:srgbClr val="FF00FF"/>
              </a:solidFill>
              <a:prstDash val="solid"/>
            </a:ln>
          </c:spPr>
          <c:marker>
            <c:symbol val="none"/>
          </c:marker>
          <c:xVal>
            <c:numRef>
              <c:f>Stabilito!$D$170:$D$174</c:f>
              <c:numCache>
                <c:formatCode>0</c:formatCode>
                <c:ptCount val="5"/>
                <c:pt idx="0">
                  <c:v>-37.5</c:v>
                </c:pt>
                <c:pt idx="1">
                  <c:v>37.5</c:v>
                </c:pt>
                <c:pt idx="2">
                  <c:v>37.5</c:v>
                </c:pt>
                <c:pt idx="3">
                  <c:v>-37.5</c:v>
                </c:pt>
                <c:pt idx="4">
                  <c:v>-37.5</c:v>
                </c:pt>
              </c:numCache>
            </c:numRef>
          </c:xVal>
          <c:yVal>
            <c:numRef>
              <c:f>Stabilito!$C$170:$C$174</c:f>
              <c:numCache>
                <c:formatCode>0</c:formatCode>
                <c:ptCount val="5"/>
                <c:pt idx="0">
                  <c:v>-1314</c:v>
                </c:pt>
                <c:pt idx="1">
                  <c:v>-1314</c:v>
                </c:pt>
                <c:pt idx="2">
                  <c:v>-1800</c:v>
                </c:pt>
                <c:pt idx="3">
                  <c:v>-1800</c:v>
                </c:pt>
                <c:pt idx="4">
                  <c:v>-1314</c:v>
                </c:pt>
              </c:numCache>
            </c:numRef>
          </c:yVal>
          <c:smooth val="0"/>
          <c:extLst>
            <c:ext xmlns:c16="http://schemas.microsoft.com/office/drawing/2014/chart" uri="{C3380CC4-5D6E-409C-BE32-E72D297353CC}">
              <c16:uniqueId val="{0000000D-55B2-4265-BF98-AB5DCB6E604E}"/>
            </c:ext>
          </c:extLst>
        </c:ser>
        <c:ser>
          <c:idx val="12"/>
          <c:order val="12"/>
          <c:tx>
            <c:v>Cone</c:v>
          </c:tx>
          <c:spPr>
            <a:ln w="25400">
              <a:solidFill>
                <a:srgbClr val="800080"/>
              </a:solidFill>
              <a:prstDash val="solid"/>
            </a:ln>
          </c:spPr>
          <c:marker>
            <c:symbol val="none"/>
          </c:marker>
          <c:xVal>
            <c:numRef>
              <c:f>Stabilito!$D$175:$D$180</c:f>
              <c:numCache>
                <c:formatCode>0</c:formatCode>
                <c:ptCount val="6"/>
                <c:pt idx="0">
                  <c:v>0</c:v>
                </c:pt>
                <c:pt idx="1">
                  <c:v>10</c:v>
                </c:pt>
                <c:pt idx="2">
                  <c:v>25</c:v>
                </c:pt>
                <c:pt idx="3">
                  <c:v>37.5</c:v>
                </c:pt>
                <c:pt idx="4">
                  <c:v>45</c:v>
                </c:pt>
                <c:pt idx="5">
                  <c:v>50</c:v>
                </c:pt>
              </c:numCache>
            </c:numRef>
          </c:xVal>
          <c:yVal>
            <c:numRef>
              <c:f>Stabilito!$C$175:$C$180</c:f>
              <c:numCache>
                <c:formatCode>0</c:formatCode>
                <c:ptCount val="6"/>
                <c:pt idx="0">
                  <c:v>0</c:v>
                </c:pt>
                <c:pt idx="1">
                  <c:v>-25</c:v>
                </c:pt>
                <c:pt idx="2">
                  <c:v>-62.5</c:v>
                </c:pt>
                <c:pt idx="3">
                  <c:v>-125</c:v>
                </c:pt>
                <c:pt idx="4">
                  <c:v>-187.5</c:v>
                </c:pt>
                <c:pt idx="5">
                  <c:v>-250</c:v>
                </c:pt>
              </c:numCache>
            </c:numRef>
          </c:yVal>
          <c:smooth val="0"/>
          <c:extLst>
            <c:ext xmlns:c16="http://schemas.microsoft.com/office/drawing/2014/chart" uri="{C3380CC4-5D6E-409C-BE32-E72D297353CC}">
              <c16:uniqueId val="{0000000E-55B2-4265-BF98-AB5DCB6E604E}"/>
            </c:ext>
          </c:extLst>
        </c:ser>
        <c:ser>
          <c:idx val="13"/>
          <c:order val="13"/>
          <c:tx>
            <c:v>Cone1</c:v>
          </c:tx>
          <c:spPr>
            <a:ln w="25400">
              <a:solidFill>
                <a:srgbClr val="800080"/>
              </a:solidFill>
              <a:prstDash val="solid"/>
            </a:ln>
          </c:spPr>
          <c:marker>
            <c:symbol val="none"/>
          </c:marker>
          <c:xVal>
            <c:numRef>
              <c:f>Stabilito!$E$175:$E$180</c:f>
              <c:numCache>
                <c:formatCode>0</c:formatCode>
                <c:ptCount val="6"/>
                <c:pt idx="0">
                  <c:v>0</c:v>
                </c:pt>
                <c:pt idx="1">
                  <c:v>-10</c:v>
                </c:pt>
                <c:pt idx="2">
                  <c:v>-25</c:v>
                </c:pt>
                <c:pt idx="3">
                  <c:v>-37.5</c:v>
                </c:pt>
                <c:pt idx="4">
                  <c:v>-45</c:v>
                </c:pt>
                <c:pt idx="5">
                  <c:v>-50</c:v>
                </c:pt>
              </c:numCache>
            </c:numRef>
          </c:xVal>
          <c:yVal>
            <c:numRef>
              <c:f>Stabilito!$C$175:$C$180</c:f>
              <c:numCache>
                <c:formatCode>0</c:formatCode>
                <c:ptCount val="6"/>
                <c:pt idx="0">
                  <c:v>0</c:v>
                </c:pt>
                <c:pt idx="1">
                  <c:v>-25</c:v>
                </c:pt>
                <c:pt idx="2">
                  <c:v>-62.5</c:v>
                </c:pt>
                <c:pt idx="3">
                  <c:v>-125</c:v>
                </c:pt>
                <c:pt idx="4">
                  <c:v>-187.5</c:v>
                </c:pt>
                <c:pt idx="5">
                  <c:v>-250</c:v>
                </c:pt>
              </c:numCache>
            </c:numRef>
          </c:yVal>
          <c:smooth val="0"/>
          <c:extLst>
            <c:ext xmlns:c16="http://schemas.microsoft.com/office/drawing/2014/chart" uri="{C3380CC4-5D6E-409C-BE32-E72D297353CC}">
              <c16:uniqueId val="{0000000F-55B2-4265-BF98-AB5DCB6E604E}"/>
            </c:ext>
          </c:extLst>
        </c:ser>
        <c:ser>
          <c:idx val="14"/>
          <c:order val="14"/>
          <c:tx>
            <c:strRef>
              <c:f>Stabilito!$B$137</c:f>
              <c:strCache>
                <c:ptCount val="1"/>
                <c:pt idx="0">
                  <c:v>Envergure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b"/>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0-55B2-4265-BF98-AB5DCB6E604E}"/>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Stabilito!$D$137:$D$139</c:f>
              <c:numCache>
                <c:formatCode>0</c:formatCode>
                <c:ptCount val="3"/>
                <c:pt idx="0">
                  <c:v>-200</c:v>
                </c:pt>
                <c:pt idx="1">
                  <c:v>-125</c:v>
                </c:pt>
                <c:pt idx="2">
                  <c:v>-50</c:v>
                </c:pt>
              </c:numCache>
            </c:numRef>
          </c:xVal>
          <c:yVal>
            <c:numRef>
              <c:f>Stabilito!$C$137:$C$139</c:f>
              <c:numCache>
                <c:formatCode>0</c:formatCode>
                <c:ptCount val="3"/>
                <c:pt idx="0">
                  <c:v>-1940</c:v>
                </c:pt>
                <c:pt idx="1">
                  <c:v>-1940</c:v>
                </c:pt>
                <c:pt idx="2">
                  <c:v>-1940</c:v>
                </c:pt>
              </c:numCache>
            </c:numRef>
          </c:yVal>
          <c:smooth val="0"/>
          <c:extLst>
            <c:ext xmlns:c16="http://schemas.microsoft.com/office/drawing/2014/chart" uri="{C3380CC4-5D6E-409C-BE32-E72D297353CC}">
              <c16:uniqueId val="{00000011-55B2-4265-BF98-AB5DCB6E604E}"/>
            </c:ext>
          </c:extLst>
        </c:ser>
        <c:ser>
          <c:idx val="15"/>
          <c:order val="15"/>
          <c:tx>
            <c:strRef>
              <c:f>Stabilito!$B$143</c:f>
              <c:strCache>
                <c:ptCount val="1"/>
                <c:pt idx="0">
                  <c:v>Flèche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2-55B2-4265-BF98-AB5DCB6E604E}"/>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Stabilito!$D$143:$D$145</c:f>
              <c:numCache>
                <c:formatCode>0</c:formatCode>
                <c:ptCount val="3"/>
                <c:pt idx="0">
                  <c:v>-260</c:v>
                </c:pt>
                <c:pt idx="1">
                  <c:v>-260</c:v>
                </c:pt>
                <c:pt idx="2">
                  <c:v>-260</c:v>
                </c:pt>
              </c:numCache>
            </c:numRef>
          </c:xVal>
          <c:yVal>
            <c:numRef>
              <c:f>Stabilito!$C$143:$C$145</c:f>
              <c:numCache>
                <c:formatCode>0</c:formatCode>
                <c:ptCount val="3"/>
                <c:pt idx="0">
                  <c:v>-1580</c:v>
                </c:pt>
                <c:pt idx="1">
                  <c:v>-1680</c:v>
                </c:pt>
                <c:pt idx="2">
                  <c:v>-1780</c:v>
                </c:pt>
              </c:numCache>
            </c:numRef>
          </c:yVal>
          <c:smooth val="0"/>
          <c:extLst>
            <c:ext xmlns:c16="http://schemas.microsoft.com/office/drawing/2014/chart" uri="{C3380CC4-5D6E-409C-BE32-E72D297353CC}">
              <c16:uniqueId val="{00000013-55B2-4265-BF98-AB5DCB6E604E}"/>
            </c:ext>
          </c:extLst>
        </c:ser>
        <c:ser>
          <c:idx val="16"/>
          <c:order val="16"/>
          <c:tx>
            <c:strRef>
              <c:f>Stabilito!$B$146</c:f>
              <c:strCache>
                <c:ptCount val="1"/>
                <c:pt idx="0">
                  <c:v>Saumon</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4-55B2-4265-BF98-AB5DCB6E604E}"/>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Stabilito!$D$146:$D$148</c:f>
              <c:numCache>
                <c:formatCode>0</c:formatCode>
                <c:ptCount val="3"/>
                <c:pt idx="0">
                  <c:v>-290</c:v>
                </c:pt>
                <c:pt idx="1">
                  <c:v>-290</c:v>
                </c:pt>
                <c:pt idx="2">
                  <c:v>-290</c:v>
                </c:pt>
              </c:numCache>
            </c:numRef>
          </c:xVal>
          <c:yVal>
            <c:numRef>
              <c:f>Stabilito!$C$146:$C$148</c:f>
              <c:numCache>
                <c:formatCode>0</c:formatCode>
                <c:ptCount val="3"/>
                <c:pt idx="0">
                  <c:v>-1780</c:v>
                </c:pt>
                <c:pt idx="1">
                  <c:v>-1830</c:v>
                </c:pt>
                <c:pt idx="2">
                  <c:v>-1880</c:v>
                </c:pt>
              </c:numCache>
            </c:numRef>
          </c:yVal>
          <c:smooth val="0"/>
          <c:extLst>
            <c:ext xmlns:c16="http://schemas.microsoft.com/office/drawing/2014/chart" uri="{C3380CC4-5D6E-409C-BE32-E72D297353CC}">
              <c16:uniqueId val="{00000015-55B2-4265-BF98-AB5DCB6E604E}"/>
            </c:ext>
          </c:extLst>
        </c:ser>
        <c:ser>
          <c:idx val="17"/>
          <c:order val="17"/>
          <c:tx>
            <c:strRef>
              <c:f>Stabilito!$B$140</c:f>
              <c:strCache>
                <c:ptCount val="1"/>
                <c:pt idx="0">
                  <c:v>Emplanture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6-55B2-4265-BF98-AB5DCB6E604E}"/>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Stabilito!$D$140:$D$142</c:f>
              <c:numCache>
                <c:formatCode>0</c:formatCode>
                <c:ptCount val="3"/>
                <c:pt idx="0">
                  <c:v>290</c:v>
                </c:pt>
                <c:pt idx="1">
                  <c:v>290</c:v>
                </c:pt>
                <c:pt idx="2">
                  <c:v>290</c:v>
                </c:pt>
              </c:numCache>
            </c:numRef>
          </c:xVal>
          <c:yVal>
            <c:numRef>
              <c:f>Stabilito!$C$140:$C$142</c:f>
              <c:numCache>
                <c:formatCode>0</c:formatCode>
                <c:ptCount val="3"/>
                <c:pt idx="0">
                  <c:v>-1580</c:v>
                </c:pt>
                <c:pt idx="1">
                  <c:v>-1690</c:v>
                </c:pt>
                <c:pt idx="2">
                  <c:v>-1800</c:v>
                </c:pt>
              </c:numCache>
            </c:numRef>
          </c:yVal>
          <c:smooth val="0"/>
          <c:extLst>
            <c:ext xmlns:c16="http://schemas.microsoft.com/office/drawing/2014/chart" uri="{C3380CC4-5D6E-409C-BE32-E72D297353CC}">
              <c16:uniqueId val="{00000017-55B2-4265-BF98-AB5DCB6E604E}"/>
            </c:ext>
          </c:extLst>
        </c:ser>
        <c:ser>
          <c:idx val="18"/>
          <c:order val="18"/>
          <c:tx>
            <c:strRef>
              <c:f>Stabilito!$B$155</c:f>
              <c:strCache>
                <c:ptCount val="1"/>
                <c:pt idx="0">
                  <c:v>Marge Statique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8-55B2-4265-BF98-AB5DCB6E604E}"/>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Stabilito!$D$155:$D$157</c:f>
              <c:numCache>
                <c:formatCode>0</c:formatCode>
                <c:ptCount val="3"/>
                <c:pt idx="0">
                  <c:v>-290</c:v>
                </c:pt>
                <c:pt idx="1">
                  <c:v>-290</c:v>
                </c:pt>
                <c:pt idx="2">
                  <c:v>-290</c:v>
                </c:pt>
              </c:numCache>
            </c:numRef>
          </c:xVal>
          <c:yVal>
            <c:numRef>
              <c:f>Stabilito!$C$155:$C$157</c:f>
              <c:numCache>
                <c:formatCode>0</c:formatCode>
                <c:ptCount val="3"/>
                <c:pt idx="0">
                  <c:v>-1208.529472544185</c:v>
                </c:pt>
                <c:pt idx="1">
                  <c:v>-1375.7169532950938</c:v>
                </c:pt>
                <c:pt idx="2">
                  <c:v>-1542.904434046003</c:v>
                </c:pt>
              </c:numCache>
            </c:numRef>
          </c:yVal>
          <c:smooth val="0"/>
          <c:extLst>
            <c:ext xmlns:c16="http://schemas.microsoft.com/office/drawing/2014/chart" uri="{C3380CC4-5D6E-409C-BE32-E72D297353CC}">
              <c16:uniqueId val="{00000019-55B2-4265-BF98-AB5DCB6E604E}"/>
            </c:ext>
          </c:extLst>
        </c:ser>
        <c:dLbls>
          <c:showLegendKey val="0"/>
          <c:showVal val="0"/>
          <c:showCatName val="0"/>
          <c:showSerName val="0"/>
          <c:showPercent val="0"/>
          <c:showBubbleSize val="0"/>
        </c:dLbls>
        <c:axId val="148707200"/>
        <c:axId val="148708736"/>
      </c:scatterChart>
      <c:valAx>
        <c:axId val="148707200"/>
        <c:scaling>
          <c:orientation val="minMax"/>
        </c:scaling>
        <c:delete val="0"/>
        <c:axPos val="t"/>
        <c:numFmt formatCode="0" sourceLinked="1"/>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fr-FR"/>
          </a:p>
        </c:txPr>
        <c:crossAx val="148708736"/>
        <c:crosses val="max"/>
        <c:crossBetween val="midCat"/>
      </c:valAx>
      <c:valAx>
        <c:axId val="148708736"/>
        <c:scaling>
          <c:orientation val="minMax"/>
        </c:scaling>
        <c:delete val="0"/>
        <c:axPos val="r"/>
        <c:numFmt formatCode="0" sourceLinked="1"/>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fr-FR"/>
          </a:p>
        </c:txPr>
        <c:crossAx val="148707200"/>
        <c:crosses val="max"/>
        <c:crossBetween val="midCat"/>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475"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49212598450000095" footer="0.49212598450000095"/>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Abaco!$B$75</c:f>
          <c:strCache>
            <c:ptCount val="1"/>
            <c:pt idx="0">
              <c:v>Vitesse max / Masse totale</c:v>
            </c:pt>
          </c:strCache>
        </c:strRef>
      </c:tx>
      <c:layout>
        <c:manualLayout>
          <c:xMode val="edge"/>
          <c:yMode val="edge"/>
          <c:x val="0.32580555555555563"/>
          <c:y val="3.2407484861159096E-2"/>
        </c:manualLayout>
      </c:layout>
      <c:overlay val="1"/>
      <c:txPr>
        <a:bodyPr/>
        <a:lstStyle/>
        <a:p>
          <a:pPr>
            <a:defRPr sz="1800" b="1"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0.13612729658792738"/>
          <c:y val="5.1400554097404488E-2"/>
          <c:w val="0.81367125984251965"/>
          <c:h val="0.8326195683872849"/>
        </c:manualLayout>
      </c:layout>
      <c:scatterChart>
        <c:scatterStyle val="lineMarker"/>
        <c:varyColors val="0"/>
        <c:ser>
          <c:idx val="0"/>
          <c:order val="0"/>
          <c:tx>
            <c:strRef>
              <c:f>Abaco!$B$41</c:f>
              <c:strCache>
                <c:ptCount val="1"/>
                <c:pt idx="0">
                  <c:v>Ø = 75 mm</c:v>
                </c:pt>
              </c:strCache>
            </c:strRef>
          </c:tx>
          <c:xVal>
            <c:numRef>
              <c:f>Abaco!$D$41:$D$49</c:f>
              <c:numCache>
                <c:formatCode>General\ "kg"</c:formatCode>
                <c:ptCount val="9"/>
                <c:pt idx="0">
                  <c:v>3.5110000000000001</c:v>
                </c:pt>
                <c:pt idx="1">
                  <c:v>5.5110000000000001</c:v>
                </c:pt>
                <c:pt idx="2">
                  <c:v>7.5110000000000001</c:v>
                </c:pt>
                <c:pt idx="3">
                  <c:v>9.5109999999999992</c:v>
                </c:pt>
                <c:pt idx="4">
                  <c:v>11.510999999999999</c:v>
                </c:pt>
                <c:pt idx="5">
                  <c:v>13.510999999999999</c:v>
                </c:pt>
                <c:pt idx="6">
                  <c:v>15.510999999999999</c:v>
                </c:pt>
                <c:pt idx="7">
                  <c:v>17.510999999999999</c:v>
                </c:pt>
                <c:pt idx="8">
                  <c:v>19.510999999999999</c:v>
                </c:pt>
              </c:numCache>
            </c:numRef>
          </c:xVal>
          <c:yVal>
            <c:numRef>
              <c:f>Abaco!$K$41:$K$49</c:f>
              <c:numCache>
                <c:formatCode>General" m/s"</c:formatCode>
                <c:ptCount val="9"/>
                <c:pt idx="0">
                  <c:v>720.40587937186433</c:v>
                </c:pt>
                <c:pt idx="1">
                  <c:v>578.76395208833526</c:v>
                </c:pt>
                <c:pt idx="2">
                  <c:v>449.7404606411157</c:v>
                </c:pt>
                <c:pt idx="3">
                  <c:v>356.55096531767543</c:v>
                </c:pt>
                <c:pt idx="4">
                  <c:v>290.07916611082868</c:v>
                </c:pt>
                <c:pt idx="5">
                  <c:v>241.33872058662368</c:v>
                </c:pt>
                <c:pt idx="6">
                  <c:v>204.43678948610534</c:v>
                </c:pt>
                <c:pt idx="7">
                  <c:v>175.67708521400979</c:v>
                </c:pt>
                <c:pt idx="8">
                  <c:v>152.70145399386931</c:v>
                </c:pt>
              </c:numCache>
            </c:numRef>
          </c:yVal>
          <c:smooth val="0"/>
          <c:extLst>
            <c:ext xmlns:c16="http://schemas.microsoft.com/office/drawing/2014/chart" uri="{C3380CC4-5D6E-409C-BE32-E72D297353CC}">
              <c16:uniqueId val="{00000000-9914-49FC-B9B5-8796295CAF59}"/>
            </c:ext>
          </c:extLst>
        </c:ser>
        <c:ser>
          <c:idx val="1"/>
          <c:order val="1"/>
          <c:tx>
            <c:strRef>
              <c:f>Abaco!$B$50</c:f>
              <c:strCache>
                <c:ptCount val="1"/>
                <c:pt idx="0">
                  <c:v>Ø = 100 mm</c:v>
                </c:pt>
              </c:strCache>
            </c:strRef>
          </c:tx>
          <c:xVal>
            <c:numRef>
              <c:f>Abaco!$D$50:$D$58</c:f>
              <c:numCache>
                <c:formatCode>General\ "kg"</c:formatCode>
                <c:ptCount val="9"/>
                <c:pt idx="0">
                  <c:v>3.5110000000000001</c:v>
                </c:pt>
                <c:pt idx="1">
                  <c:v>5.5110000000000001</c:v>
                </c:pt>
                <c:pt idx="2">
                  <c:v>7.5110000000000001</c:v>
                </c:pt>
                <c:pt idx="3">
                  <c:v>9.5109999999999992</c:v>
                </c:pt>
                <c:pt idx="4">
                  <c:v>11.510999999999999</c:v>
                </c:pt>
                <c:pt idx="5">
                  <c:v>13.510999999999999</c:v>
                </c:pt>
                <c:pt idx="6">
                  <c:v>15.510999999999999</c:v>
                </c:pt>
                <c:pt idx="7">
                  <c:v>17.510999999999999</c:v>
                </c:pt>
                <c:pt idx="8">
                  <c:v>19.510999999999999</c:v>
                </c:pt>
              </c:numCache>
            </c:numRef>
          </c:xVal>
          <c:yVal>
            <c:numRef>
              <c:f>Abaco!$K$50:$K$58</c:f>
              <c:numCache>
                <c:formatCode>General" m/s"</c:formatCode>
                <c:ptCount val="9"/>
                <c:pt idx="0">
                  <c:v>559.24790560645113</c:v>
                </c:pt>
                <c:pt idx="1">
                  <c:v>492.98064867788429</c:v>
                </c:pt>
                <c:pt idx="2">
                  <c:v>407.81565273131088</c:v>
                </c:pt>
                <c:pt idx="3">
                  <c:v>334.84541737763595</c:v>
                </c:pt>
                <c:pt idx="4">
                  <c:v>277.97298079788806</c:v>
                </c:pt>
                <c:pt idx="5">
                  <c:v>234.1306125840905</c:v>
                </c:pt>
                <c:pt idx="6">
                  <c:v>199.91007687162974</c:v>
                </c:pt>
                <c:pt idx="7">
                  <c:v>172.70965088348086</c:v>
                </c:pt>
                <c:pt idx="8">
                  <c:v>150.68755908170158</c:v>
                </c:pt>
              </c:numCache>
            </c:numRef>
          </c:yVal>
          <c:smooth val="0"/>
          <c:extLst>
            <c:ext xmlns:c16="http://schemas.microsoft.com/office/drawing/2014/chart" uri="{C3380CC4-5D6E-409C-BE32-E72D297353CC}">
              <c16:uniqueId val="{00000001-9914-49FC-B9B5-8796295CAF59}"/>
            </c:ext>
          </c:extLst>
        </c:ser>
        <c:ser>
          <c:idx val="2"/>
          <c:order val="2"/>
          <c:tx>
            <c:strRef>
              <c:f>Abaco!$B$59</c:f>
              <c:strCache>
                <c:ptCount val="1"/>
                <c:pt idx="0">
                  <c:v>Ø = 150 mm</c:v>
                </c:pt>
              </c:strCache>
            </c:strRef>
          </c:tx>
          <c:xVal>
            <c:numRef>
              <c:f>Abaco!$D$59:$D$67</c:f>
              <c:numCache>
                <c:formatCode>General\ "kg"</c:formatCode>
                <c:ptCount val="9"/>
                <c:pt idx="0">
                  <c:v>3.5110000000000001</c:v>
                </c:pt>
                <c:pt idx="1">
                  <c:v>5.5110000000000001</c:v>
                </c:pt>
                <c:pt idx="2">
                  <c:v>7.5110000000000001</c:v>
                </c:pt>
                <c:pt idx="3">
                  <c:v>9.5109999999999992</c:v>
                </c:pt>
                <c:pt idx="4">
                  <c:v>11.510999999999999</c:v>
                </c:pt>
                <c:pt idx="5">
                  <c:v>13.510999999999999</c:v>
                </c:pt>
                <c:pt idx="6">
                  <c:v>15.510999999999999</c:v>
                </c:pt>
                <c:pt idx="7">
                  <c:v>17.510999999999999</c:v>
                </c:pt>
                <c:pt idx="8">
                  <c:v>19.510999999999999</c:v>
                </c:pt>
              </c:numCache>
            </c:numRef>
          </c:xVal>
          <c:yVal>
            <c:numRef>
              <c:f>Abaco!$K$59:$K$67</c:f>
              <c:numCache>
                <c:formatCode>General" m/s"</c:formatCode>
                <c:ptCount val="9"/>
                <c:pt idx="0">
                  <c:v>377.65613998433196</c:v>
                </c:pt>
                <c:pt idx="1">
                  <c:v>361.49840668041907</c:v>
                </c:pt>
                <c:pt idx="2">
                  <c:v>327.65339171775878</c:v>
                </c:pt>
                <c:pt idx="3">
                  <c:v>287.39712182341555</c:v>
                </c:pt>
                <c:pt idx="4">
                  <c:v>249.26007158486863</c:v>
                </c:pt>
                <c:pt idx="5">
                  <c:v>216.128503854586</c:v>
                </c:pt>
                <c:pt idx="6">
                  <c:v>188.21212882666285</c:v>
                </c:pt>
                <c:pt idx="7">
                  <c:v>164.85922197422249</c:v>
                </c:pt>
                <c:pt idx="8">
                  <c:v>145.27020112807938</c:v>
                </c:pt>
              </c:numCache>
            </c:numRef>
          </c:yVal>
          <c:smooth val="0"/>
          <c:extLst>
            <c:ext xmlns:c16="http://schemas.microsoft.com/office/drawing/2014/chart" uri="{C3380CC4-5D6E-409C-BE32-E72D297353CC}">
              <c16:uniqueId val="{00000002-9914-49FC-B9B5-8796295CAF59}"/>
            </c:ext>
          </c:extLst>
        </c:ser>
        <c:dLbls>
          <c:showLegendKey val="0"/>
          <c:showVal val="0"/>
          <c:showCatName val="0"/>
          <c:showSerName val="0"/>
          <c:showPercent val="0"/>
          <c:showBubbleSize val="0"/>
        </c:dLbls>
        <c:axId val="193467904"/>
        <c:axId val="193469824"/>
      </c:scatterChart>
      <c:valAx>
        <c:axId val="193467904"/>
        <c:scaling>
          <c:orientation val="minMax"/>
        </c:scaling>
        <c:delete val="0"/>
        <c:axPos val="b"/>
        <c:majorGridlines/>
        <c:title>
          <c:tx>
            <c:strRef>
              <c:f>Abaco!$B$73</c:f>
              <c:strCache>
                <c:ptCount val="1"/>
                <c:pt idx="0">
                  <c:v>Masse totale</c:v>
                </c:pt>
              </c:strCache>
            </c:strRef>
          </c:tx>
          <c:layout>
            <c:manualLayout>
              <c:xMode val="edge"/>
              <c:yMode val="edge"/>
              <c:x val="0.25133792650918629"/>
              <c:y val="0.80923605680929611"/>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 &quot;kg&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469824"/>
        <c:crosses val="autoZero"/>
        <c:crossBetween val="midCat"/>
      </c:valAx>
      <c:valAx>
        <c:axId val="193469824"/>
        <c:scaling>
          <c:orientation val="minMax"/>
        </c:scaling>
        <c:delete val="0"/>
        <c:axPos val="l"/>
        <c:majorGridlines/>
        <c:title>
          <c:tx>
            <c:strRef>
              <c:f>Abaco!$B$74</c:f>
              <c:strCache>
                <c:ptCount val="1"/>
                <c:pt idx="0">
                  <c:v>Vitesse max</c:v>
                </c:pt>
              </c:strCache>
            </c:strRef>
          </c:tx>
          <c:layout>
            <c:manualLayout>
              <c:xMode val="edge"/>
              <c:yMode val="edge"/>
              <c:x val="0.14166666666666666"/>
              <c:y val="5.803422378207343E-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quot; m/s&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467904"/>
        <c:crosses val="autoZero"/>
        <c:crossBetween val="midCat"/>
      </c:valAx>
    </c:plotArea>
    <c:legend>
      <c:legendPos val="r"/>
      <c:layout>
        <c:manualLayout>
          <c:xMode val="edge"/>
          <c:yMode val="edge"/>
          <c:x val="0.71944466316710431"/>
          <c:y val="0.18706733829172051"/>
          <c:w val="0.20833333333333343"/>
          <c:h val="0.24711352766816386"/>
        </c:manualLayout>
      </c:layout>
      <c:overlay val="0"/>
      <c:spPr>
        <a:solidFill>
          <a:schemeClr val="bg1"/>
        </a:solidFill>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 l="0.70000000000000062" r="0.70000000000000062" t="0.750000000000002"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Abaco!$B$77</c:f>
          <c:strCache>
            <c:ptCount val="1"/>
            <c:pt idx="0">
              <c:v>Altitude max / Masse totale</c:v>
            </c:pt>
          </c:strCache>
        </c:strRef>
      </c:tx>
      <c:layout>
        <c:manualLayout>
          <c:xMode val="edge"/>
          <c:yMode val="edge"/>
          <c:x val="0.32580555555555563"/>
          <c:y val="3.2407517456544362E-2"/>
        </c:manualLayout>
      </c:layout>
      <c:overlay val="1"/>
      <c:txPr>
        <a:bodyPr/>
        <a:lstStyle/>
        <a:p>
          <a:pPr>
            <a:defRPr sz="1800" b="1"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0.13612729658792738"/>
          <c:y val="5.1400554097404488E-2"/>
          <c:w val="0.81367125984251965"/>
          <c:h val="0.8326195683872849"/>
        </c:manualLayout>
      </c:layout>
      <c:scatterChart>
        <c:scatterStyle val="lineMarker"/>
        <c:varyColors val="0"/>
        <c:ser>
          <c:idx val="0"/>
          <c:order val="0"/>
          <c:tx>
            <c:strRef>
              <c:f>Abaco!$B$41</c:f>
              <c:strCache>
                <c:ptCount val="1"/>
                <c:pt idx="0">
                  <c:v>Ø = 75 mm</c:v>
                </c:pt>
              </c:strCache>
            </c:strRef>
          </c:tx>
          <c:xVal>
            <c:numRef>
              <c:f>Abaco!$D$41:$D$49</c:f>
              <c:numCache>
                <c:formatCode>General\ "kg"</c:formatCode>
                <c:ptCount val="9"/>
                <c:pt idx="0">
                  <c:v>3.5110000000000001</c:v>
                </c:pt>
                <c:pt idx="1">
                  <c:v>5.5110000000000001</c:v>
                </c:pt>
                <c:pt idx="2">
                  <c:v>7.5110000000000001</c:v>
                </c:pt>
                <c:pt idx="3">
                  <c:v>9.5109999999999992</c:v>
                </c:pt>
                <c:pt idx="4">
                  <c:v>11.510999999999999</c:v>
                </c:pt>
                <c:pt idx="5">
                  <c:v>13.510999999999999</c:v>
                </c:pt>
                <c:pt idx="6">
                  <c:v>15.510999999999999</c:v>
                </c:pt>
                <c:pt idx="7">
                  <c:v>17.510999999999999</c:v>
                </c:pt>
                <c:pt idx="8">
                  <c:v>19.510999999999999</c:v>
                </c:pt>
              </c:numCache>
            </c:numRef>
          </c:xVal>
          <c:yVal>
            <c:numRef>
              <c:f>Abaco!$L$41:$L$49</c:f>
              <c:numCache>
                <c:formatCode>General" m"</c:formatCode>
                <c:ptCount val="9"/>
                <c:pt idx="0">
                  <c:v>4565.8665325686015</c:v>
                </c:pt>
                <c:pt idx="1">
                  <c:v>5072.1431695839892</c:v>
                </c:pt>
                <c:pt idx="2">
                  <c:v>4847.7356752843643</c:v>
                </c:pt>
                <c:pt idx="3">
                  <c:v>4238.4492517259459</c:v>
                </c:pt>
                <c:pt idx="4">
                  <c:v>3513.8547981546321</c:v>
                </c:pt>
                <c:pt idx="5">
                  <c:v>2833.7540440246567</c:v>
                </c:pt>
                <c:pt idx="6">
                  <c:v>2262.2823683124443</c:v>
                </c:pt>
                <c:pt idx="7">
                  <c:v>1806.9808471575052</c:v>
                </c:pt>
                <c:pt idx="8">
                  <c:v>1452.1613182100903</c:v>
                </c:pt>
              </c:numCache>
            </c:numRef>
          </c:yVal>
          <c:smooth val="0"/>
          <c:extLst>
            <c:ext xmlns:c16="http://schemas.microsoft.com/office/drawing/2014/chart" uri="{C3380CC4-5D6E-409C-BE32-E72D297353CC}">
              <c16:uniqueId val="{00000000-7A95-4EBD-989B-939CDF0A10EC}"/>
            </c:ext>
          </c:extLst>
        </c:ser>
        <c:ser>
          <c:idx val="1"/>
          <c:order val="1"/>
          <c:tx>
            <c:strRef>
              <c:f>Abaco!$B$50</c:f>
              <c:strCache>
                <c:ptCount val="1"/>
                <c:pt idx="0">
                  <c:v>Ø = 100 mm</c:v>
                </c:pt>
              </c:strCache>
            </c:strRef>
          </c:tx>
          <c:xVal>
            <c:numRef>
              <c:f>Abaco!$D$50:$D$58</c:f>
              <c:numCache>
                <c:formatCode>General\ "kg"</c:formatCode>
                <c:ptCount val="9"/>
                <c:pt idx="0">
                  <c:v>3.5110000000000001</c:v>
                </c:pt>
                <c:pt idx="1">
                  <c:v>5.5110000000000001</c:v>
                </c:pt>
                <c:pt idx="2">
                  <c:v>7.5110000000000001</c:v>
                </c:pt>
                <c:pt idx="3">
                  <c:v>9.5109999999999992</c:v>
                </c:pt>
                <c:pt idx="4">
                  <c:v>11.510999999999999</c:v>
                </c:pt>
                <c:pt idx="5">
                  <c:v>13.510999999999999</c:v>
                </c:pt>
                <c:pt idx="6">
                  <c:v>15.510999999999999</c:v>
                </c:pt>
                <c:pt idx="7">
                  <c:v>17.510999999999999</c:v>
                </c:pt>
                <c:pt idx="8">
                  <c:v>19.510999999999999</c:v>
                </c:pt>
              </c:numCache>
            </c:numRef>
          </c:xVal>
          <c:yVal>
            <c:numRef>
              <c:f>Abaco!$L$50:$L$58</c:f>
              <c:numCache>
                <c:formatCode>General" m"</c:formatCode>
                <c:ptCount val="9"/>
                <c:pt idx="0">
                  <c:v>3236.6715266317624</c:v>
                </c:pt>
                <c:pt idx="1">
                  <c:v>3578.6495445148685</c:v>
                </c:pt>
                <c:pt idx="2">
                  <c:v>3545.9389424582055</c:v>
                </c:pt>
                <c:pt idx="3">
                  <c:v>3266.9748365435066</c:v>
                </c:pt>
                <c:pt idx="4">
                  <c:v>2861.8226328928922</c:v>
                </c:pt>
                <c:pt idx="5">
                  <c:v>2424.8803295095827</c:v>
                </c:pt>
                <c:pt idx="6">
                  <c:v>2015.0659066120447</c:v>
                </c:pt>
                <c:pt idx="7">
                  <c:v>1659.4270956838932</c:v>
                </c:pt>
                <c:pt idx="8">
                  <c:v>1363.8720025522668</c:v>
                </c:pt>
              </c:numCache>
            </c:numRef>
          </c:yVal>
          <c:smooth val="0"/>
          <c:extLst>
            <c:ext xmlns:c16="http://schemas.microsoft.com/office/drawing/2014/chart" uri="{C3380CC4-5D6E-409C-BE32-E72D297353CC}">
              <c16:uniqueId val="{00000001-7A95-4EBD-989B-939CDF0A10EC}"/>
            </c:ext>
          </c:extLst>
        </c:ser>
        <c:ser>
          <c:idx val="2"/>
          <c:order val="2"/>
          <c:tx>
            <c:strRef>
              <c:f>Abaco!$B$59</c:f>
              <c:strCache>
                <c:ptCount val="1"/>
                <c:pt idx="0">
                  <c:v>Ø = 150 mm</c:v>
                </c:pt>
              </c:strCache>
            </c:strRef>
          </c:tx>
          <c:xVal>
            <c:numRef>
              <c:f>Abaco!$D$59:$D$67</c:f>
              <c:numCache>
                <c:formatCode>General\ "kg"</c:formatCode>
                <c:ptCount val="9"/>
                <c:pt idx="0">
                  <c:v>3.5110000000000001</c:v>
                </c:pt>
                <c:pt idx="1">
                  <c:v>5.5110000000000001</c:v>
                </c:pt>
                <c:pt idx="2">
                  <c:v>7.5110000000000001</c:v>
                </c:pt>
                <c:pt idx="3">
                  <c:v>9.5109999999999992</c:v>
                </c:pt>
                <c:pt idx="4">
                  <c:v>11.510999999999999</c:v>
                </c:pt>
                <c:pt idx="5">
                  <c:v>13.510999999999999</c:v>
                </c:pt>
                <c:pt idx="6">
                  <c:v>15.510999999999999</c:v>
                </c:pt>
                <c:pt idx="7">
                  <c:v>17.510999999999999</c:v>
                </c:pt>
                <c:pt idx="8">
                  <c:v>19.510999999999999</c:v>
                </c:pt>
              </c:numCache>
            </c:numRef>
          </c:xVal>
          <c:yVal>
            <c:numRef>
              <c:f>Abaco!$L$59:$L$67</c:f>
              <c:numCache>
                <c:formatCode>General" m"</c:formatCode>
                <c:ptCount val="9"/>
                <c:pt idx="0">
                  <c:v>2029.1215603003384</c:v>
                </c:pt>
                <c:pt idx="1">
                  <c:v>2194.8257452628814</c:v>
                </c:pt>
                <c:pt idx="2">
                  <c:v>2223.4987093156037</c:v>
                </c:pt>
                <c:pt idx="3">
                  <c:v>2147.4283488300634</c:v>
                </c:pt>
                <c:pt idx="4">
                  <c:v>1996.1464023275007</c:v>
                </c:pt>
                <c:pt idx="5">
                  <c:v>1799.9507351416</c:v>
                </c:pt>
                <c:pt idx="6">
                  <c:v>1585.7240107994619</c:v>
                </c:pt>
                <c:pt idx="7">
                  <c:v>1373.8769608837258</c:v>
                </c:pt>
                <c:pt idx="8">
                  <c:v>1177.3991092676665</c:v>
                </c:pt>
              </c:numCache>
            </c:numRef>
          </c:yVal>
          <c:smooth val="0"/>
          <c:extLst>
            <c:ext xmlns:c16="http://schemas.microsoft.com/office/drawing/2014/chart" uri="{C3380CC4-5D6E-409C-BE32-E72D297353CC}">
              <c16:uniqueId val="{00000002-7A95-4EBD-989B-939CDF0A10EC}"/>
            </c:ext>
          </c:extLst>
        </c:ser>
        <c:dLbls>
          <c:showLegendKey val="0"/>
          <c:showVal val="0"/>
          <c:showCatName val="0"/>
          <c:showSerName val="0"/>
          <c:showPercent val="0"/>
          <c:showBubbleSize val="0"/>
        </c:dLbls>
        <c:axId val="193512576"/>
        <c:axId val="193514496"/>
      </c:scatterChart>
      <c:valAx>
        <c:axId val="193512576"/>
        <c:scaling>
          <c:orientation val="minMax"/>
        </c:scaling>
        <c:delete val="0"/>
        <c:axPos val="b"/>
        <c:majorGridlines/>
        <c:title>
          <c:tx>
            <c:strRef>
              <c:f>Abaco!$B$73</c:f>
              <c:strCache>
                <c:ptCount val="1"/>
                <c:pt idx="0">
                  <c:v>Masse totale</c:v>
                </c:pt>
              </c:strCache>
            </c:strRef>
          </c:tx>
          <c:layout>
            <c:manualLayout>
              <c:xMode val="edge"/>
              <c:yMode val="edge"/>
              <c:x val="0.25133792650918629"/>
              <c:y val="0.8092359976229385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 &quot;kg&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514496"/>
        <c:crosses val="autoZero"/>
        <c:crossBetween val="midCat"/>
      </c:valAx>
      <c:valAx>
        <c:axId val="193514496"/>
        <c:scaling>
          <c:orientation val="minMax"/>
        </c:scaling>
        <c:delete val="0"/>
        <c:axPos val="l"/>
        <c:majorGridlines/>
        <c:title>
          <c:tx>
            <c:strRef>
              <c:f>Abaco!$B$76</c:f>
              <c:strCache>
                <c:ptCount val="1"/>
                <c:pt idx="0">
                  <c:v>Altitude max</c:v>
                </c:pt>
              </c:strCache>
            </c:strRef>
          </c:tx>
          <c:layout>
            <c:manualLayout>
              <c:xMode val="edge"/>
              <c:yMode val="edge"/>
              <c:x val="0.14166666666666666"/>
              <c:y val="5.8034467389689502E-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quot; m&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512576"/>
        <c:crosses val="autoZero"/>
        <c:crossBetween val="midCat"/>
      </c:valAx>
    </c:plotArea>
    <c:legend>
      <c:legendPos val="r"/>
      <c:layout>
        <c:manualLayout>
          <c:xMode val="edge"/>
          <c:yMode val="edge"/>
          <c:x val="0.71944466316710431"/>
          <c:y val="0.18396263556678061"/>
          <c:w val="0.20833333333333343"/>
          <c:h val="0.25235886198187502"/>
        </c:manualLayout>
      </c:layout>
      <c:overlay val="0"/>
      <c:spPr>
        <a:solidFill>
          <a:schemeClr val="bg1"/>
        </a:solidFill>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 l="0.70000000000000062" r="0.70000000000000062" t="0.750000000000002"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Abaco!$B$79</c:f>
          <c:strCache>
            <c:ptCount val="1"/>
            <c:pt idx="0">
              <c:v>Temps de culmination / Masse totale</c:v>
            </c:pt>
          </c:strCache>
        </c:strRef>
      </c:tx>
      <c:layout>
        <c:manualLayout>
          <c:xMode val="edge"/>
          <c:yMode val="edge"/>
          <c:x val="0.18369438576275529"/>
          <c:y val="3.2407517456544362E-2"/>
        </c:manualLayout>
      </c:layout>
      <c:overlay val="1"/>
      <c:txPr>
        <a:bodyPr/>
        <a:lstStyle/>
        <a:p>
          <a:pPr>
            <a:defRPr sz="1800" b="1"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0.13612729658792738"/>
          <c:y val="5.1400554097404488E-2"/>
          <c:w val="0.81367125984251965"/>
          <c:h val="0.8326195683872849"/>
        </c:manualLayout>
      </c:layout>
      <c:scatterChart>
        <c:scatterStyle val="lineMarker"/>
        <c:varyColors val="0"/>
        <c:ser>
          <c:idx val="0"/>
          <c:order val="0"/>
          <c:tx>
            <c:strRef>
              <c:f>Abaco!$B$41</c:f>
              <c:strCache>
                <c:ptCount val="1"/>
                <c:pt idx="0">
                  <c:v>Ø = 75 mm</c:v>
                </c:pt>
              </c:strCache>
            </c:strRef>
          </c:tx>
          <c:xVal>
            <c:numRef>
              <c:f>Abaco!$D$41:$D$49</c:f>
              <c:numCache>
                <c:formatCode>General\ "kg"</c:formatCode>
                <c:ptCount val="9"/>
                <c:pt idx="0">
                  <c:v>3.5110000000000001</c:v>
                </c:pt>
                <c:pt idx="1">
                  <c:v>5.5110000000000001</c:v>
                </c:pt>
                <c:pt idx="2">
                  <c:v>7.5110000000000001</c:v>
                </c:pt>
                <c:pt idx="3">
                  <c:v>9.5109999999999992</c:v>
                </c:pt>
                <c:pt idx="4">
                  <c:v>11.510999999999999</c:v>
                </c:pt>
                <c:pt idx="5">
                  <c:v>13.510999999999999</c:v>
                </c:pt>
                <c:pt idx="6">
                  <c:v>15.510999999999999</c:v>
                </c:pt>
                <c:pt idx="7">
                  <c:v>17.510999999999999</c:v>
                </c:pt>
                <c:pt idx="8">
                  <c:v>19.510999999999999</c:v>
                </c:pt>
              </c:numCache>
            </c:numRef>
          </c:xVal>
          <c:yVal>
            <c:numRef>
              <c:f>Abaco!$M$41:$M$49</c:f>
              <c:numCache>
                <c:formatCode>General" s"</c:formatCode>
                <c:ptCount val="9"/>
                <c:pt idx="0">
                  <c:v>20.462214926687707</c:v>
                </c:pt>
                <c:pt idx="1">
                  <c:v>26.156500249503708</c:v>
                </c:pt>
                <c:pt idx="2">
                  <c:v>28.346894648691023</c:v>
                </c:pt>
                <c:pt idx="3">
                  <c:v>28.366870571040252</c:v>
                </c:pt>
                <c:pt idx="4">
                  <c:v>27.093831280983245</c:v>
                </c:pt>
                <c:pt idx="5">
                  <c:v>25.207952797623101</c:v>
                </c:pt>
                <c:pt idx="6">
                  <c:v>23.158443614875853</c:v>
                </c:pt>
                <c:pt idx="7">
                  <c:v>21.185884733197188</c:v>
                </c:pt>
                <c:pt idx="8">
                  <c:v>19.391537769492611</c:v>
                </c:pt>
              </c:numCache>
            </c:numRef>
          </c:yVal>
          <c:smooth val="0"/>
          <c:extLst>
            <c:ext xmlns:c16="http://schemas.microsoft.com/office/drawing/2014/chart" uri="{C3380CC4-5D6E-409C-BE32-E72D297353CC}">
              <c16:uniqueId val="{00000000-87A6-4A45-A9F0-37CCA993CBDF}"/>
            </c:ext>
          </c:extLst>
        </c:ser>
        <c:ser>
          <c:idx val="1"/>
          <c:order val="1"/>
          <c:tx>
            <c:strRef>
              <c:f>Abaco!$B$50</c:f>
              <c:strCache>
                <c:ptCount val="1"/>
                <c:pt idx="0">
                  <c:v>Ø = 100 mm</c:v>
                </c:pt>
              </c:strCache>
            </c:strRef>
          </c:tx>
          <c:xVal>
            <c:numRef>
              <c:f>Abaco!$D$50:$D$58</c:f>
              <c:numCache>
                <c:formatCode>General\ "kg"</c:formatCode>
                <c:ptCount val="9"/>
                <c:pt idx="0">
                  <c:v>3.5110000000000001</c:v>
                </c:pt>
                <c:pt idx="1">
                  <c:v>5.5110000000000001</c:v>
                </c:pt>
                <c:pt idx="2">
                  <c:v>7.5110000000000001</c:v>
                </c:pt>
                <c:pt idx="3">
                  <c:v>9.5109999999999992</c:v>
                </c:pt>
                <c:pt idx="4">
                  <c:v>11.510999999999999</c:v>
                </c:pt>
                <c:pt idx="5">
                  <c:v>13.510999999999999</c:v>
                </c:pt>
                <c:pt idx="6">
                  <c:v>15.510999999999999</c:v>
                </c:pt>
                <c:pt idx="7">
                  <c:v>17.510999999999999</c:v>
                </c:pt>
                <c:pt idx="8">
                  <c:v>19.510999999999999</c:v>
                </c:pt>
              </c:numCache>
            </c:numRef>
          </c:xVal>
          <c:yVal>
            <c:numRef>
              <c:f>Abaco!$M$50:$M$58</c:f>
              <c:numCache>
                <c:formatCode>General" s"</c:formatCode>
                <c:ptCount val="9"/>
                <c:pt idx="0">
                  <c:v>16.558431169977993</c:v>
                </c:pt>
                <c:pt idx="1">
                  <c:v>21.176616253428037</c:v>
                </c:pt>
                <c:pt idx="2">
                  <c:v>23.458074026083061</c:v>
                </c:pt>
                <c:pt idx="3">
                  <c:v>24.213607809020647</c:v>
                </c:pt>
                <c:pt idx="4">
                  <c:v>23.904832608223664</c:v>
                </c:pt>
                <c:pt idx="5">
                  <c:v>22.921391273968332</c:v>
                </c:pt>
                <c:pt idx="6">
                  <c:v>21.583873250708816</c:v>
                </c:pt>
                <c:pt idx="7">
                  <c:v>20.121642761940628</c:v>
                </c:pt>
                <c:pt idx="8">
                  <c:v>18.674988346042039</c:v>
                </c:pt>
              </c:numCache>
            </c:numRef>
          </c:yVal>
          <c:smooth val="0"/>
          <c:extLst>
            <c:ext xmlns:c16="http://schemas.microsoft.com/office/drawing/2014/chart" uri="{C3380CC4-5D6E-409C-BE32-E72D297353CC}">
              <c16:uniqueId val="{00000001-87A6-4A45-A9F0-37CCA993CBDF}"/>
            </c:ext>
          </c:extLst>
        </c:ser>
        <c:ser>
          <c:idx val="2"/>
          <c:order val="2"/>
          <c:tx>
            <c:strRef>
              <c:f>Abaco!$B$59</c:f>
              <c:strCache>
                <c:ptCount val="1"/>
                <c:pt idx="0">
                  <c:v>Ø = 150 mm</c:v>
                </c:pt>
              </c:strCache>
            </c:strRef>
          </c:tx>
          <c:xVal>
            <c:numRef>
              <c:f>Abaco!$D$59:$D$67</c:f>
              <c:numCache>
                <c:formatCode>General\ "kg"</c:formatCode>
                <c:ptCount val="9"/>
                <c:pt idx="0">
                  <c:v>3.5110000000000001</c:v>
                </c:pt>
                <c:pt idx="1">
                  <c:v>5.5110000000000001</c:v>
                </c:pt>
                <c:pt idx="2">
                  <c:v>7.5110000000000001</c:v>
                </c:pt>
                <c:pt idx="3">
                  <c:v>9.5109999999999992</c:v>
                </c:pt>
                <c:pt idx="4">
                  <c:v>11.510999999999999</c:v>
                </c:pt>
                <c:pt idx="5">
                  <c:v>13.510999999999999</c:v>
                </c:pt>
                <c:pt idx="6">
                  <c:v>15.510999999999999</c:v>
                </c:pt>
                <c:pt idx="7">
                  <c:v>17.510999999999999</c:v>
                </c:pt>
                <c:pt idx="8">
                  <c:v>19.510999999999999</c:v>
                </c:pt>
              </c:numCache>
            </c:numRef>
          </c:xVal>
          <c:yVal>
            <c:numRef>
              <c:f>Abaco!$M$59:$M$67</c:f>
              <c:numCache>
                <c:formatCode>General" s"</c:formatCode>
                <c:ptCount val="9"/>
                <c:pt idx="0">
                  <c:v>12.609110000633915</c:v>
                </c:pt>
                <c:pt idx="1">
                  <c:v>15.853782654751454</c:v>
                </c:pt>
                <c:pt idx="2">
                  <c:v>17.78324361520388</c:v>
                </c:pt>
                <c:pt idx="3">
                  <c:v>18.859825040827445</c:v>
                </c:pt>
                <c:pt idx="4">
                  <c:v>19.274952009454722</c:v>
                </c:pt>
                <c:pt idx="5">
                  <c:v>19.176179833452551</c:v>
                </c:pt>
                <c:pt idx="6">
                  <c:v>18.701635626541922</c:v>
                </c:pt>
                <c:pt idx="7">
                  <c:v>17.978898527111937</c:v>
                </c:pt>
                <c:pt idx="8">
                  <c:v>17.115952285861361</c:v>
                </c:pt>
              </c:numCache>
            </c:numRef>
          </c:yVal>
          <c:smooth val="0"/>
          <c:extLst>
            <c:ext xmlns:c16="http://schemas.microsoft.com/office/drawing/2014/chart" uri="{C3380CC4-5D6E-409C-BE32-E72D297353CC}">
              <c16:uniqueId val="{00000002-87A6-4A45-A9F0-37CCA993CBDF}"/>
            </c:ext>
          </c:extLst>
        </c:ser>
        <c:dLbls>
          <c:showLegendKey val="0"/>
          <c:showVal val="0"/>
          <c:showCatName val="0"/>
          <c:showSerName val="0"/>
          <c:showPercent val="0"/>
          <c:showBubbleSize val="0"/>
        </c:dLbls>
        <c:axId val="195678976"/>
        <c:axId val="195680896"/>
      </c:scatterChart>
      <c:valAx>
        <c:axId val="195678976"/>
        <c:scaling>
          <c:orientation val="minMax"/>
        </c:scaling>
        <c:delete val="0"/>
        <c:axPos val="b"/>
        <c:majorGridlines/>
        <c:title>
          <c:tx>
            <c:strRef>
              <c:f>Abaco!$B$73</c:f>
              <c:strCache>
                <c:ptCount val="1"/>
                <c:pt idx="0">
                  <c:v>Masse totale</c:v>
                </c:pt>
              </c:strCache>
            </c:strRef>
          </c:tx>
          <c:layout>
            <c:manualLayout>
              <c:xMode val="edge"/>
              <c:yMode val="edge"/>
              <c:x val="0.25133794251328334"/>
              <c:y val="0.8092359976229385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 &quot;kg&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5680896"/>
        <c:crosses val="autoZero"/>
        <c:crossBetween val="midCat"/>
      </c:valAx>
      <c:valAx>
        <c:axId val="195680896"/>
        <c:scaling>
          <c:orientation val="minMax"/>
        </c:scaling>
        <c:delete val="0"/>
        <c:axPos val="l"/>
        <c:majorGridlines/>
        <c:title>
          <c:tx>
            <c:strRef>
              <c:f>Abaco!$B$78</c:f>
              <c:strCache>
                <c:ptCount val="1"/>
                <c:pt idx="0">
                  <c:v>Temps de culmination</c:v>
                </c:pt>
              </c:strCache>
            </c:strRef>
          </c:tx>
          <c:layout>
            <c:manualLayout>
              <c:xMode val="edge"/>
              <c:yMode val="edge"/>
              <c:x val="0.14166677336064695"/>
              <c:y val="5.8034467389689502E-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quot; s&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5678976"/>
        <c:crosses val="autoZero"/>
        <c:crossBetween val="midCat"/>
      </c:valAx>
    </c:plotArea>
    <c:legend>
      <c:legendPos val="r"/>
      <c:layout>
        <c:manualLayout>
          <c:xMode val="edge"/>
          <c:yMode val="edge"/>
          <c:x val="0.72357744916031841"/>
          <c:y val="0.18396263556678061"/>
          <c:w val="0.20325203252032525"/>
          <c:h val="0.25235886198187502"/>
        </c:manualLayout>
      </c:layout>
      <c:overlay val="0"/>
      <c:spPr>
        <a:solidFill>
          <a:schemeClr val="bg1"/>
        </a:solidFill>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 l="0.70000000000000062" r="0.70000000000000062" t="0.75000000000000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Stabilito!$B$117</c:f>
          <c:strCache>
            <c:ptCount val="1"/>
            <c:pt idx="0">
              <c:v>Diagramme des critères de stabilité</c:v>
            </c:pt>
          </c:strCache>
        </c:strRef>
      </c:tx>
      <c:layout>
        <c:manualLayout>
          <c:xMode val="edge"/>
          <c:yMode val="edge"/>
          <c:x val="0.19620910443519407"/>
          <c:y val="8.0214173228346466E-2"/>
        </c:manualLayout>
      </c:layout>
      <c:overlay val="0"/>
      <c:spPr>
        <a:solidFill>
          <a:srgbClr val="FFFFFF"/>
        </a:solidFill>
        <a:ln w="25400">
          <a:noFill/>
        </a:ln>
      </c:spPr>
      <c:txPr>
        <a:bodyPr/>
        <a:lstStyle/>
        <a:p>
          <a:pPr>
            <a:defRPr sz="1000" b="0"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4.5092838196286504E-2"/>
          <c:y val="5.8823683008029475E-2"/>
          <c:w val="0.93899204244031864"/>
          <c:h val="0.82887916965859743"/>
        </c:manualLayout>
      </c:layout>
      <c:scatterChart>
        <c:scatterStyle val="smoothMarker"/>
        <c:varyColors val="0"/>
        <c:ser>
          <c:idx val="0"/>
          <c:order val="0"/>
          <c:tx>
            <c:v>Cna min</c:v>
          </c:tx>
          <c:spPr>
            <a:ln w="12700">
              <a:solidFill>
                <a:srgbClr val="FF0000"/>
              </a:solidFill>
              <a:prstDash val="solid"/>
            </a:ln>
          </c:spPr>
          <c:marker>
            <c:symbol val="none"/>
          </c:marker>
          <c:xVal>
            <c:numRef>
              <c:f>Stabilito!$B$182:$B$183</c:f>
              <c:numCache>
                <c:formatCode>General</c:formatCode>
                <c:ptCount val="2"/>
                <c:pt idx="0">
                  <c:v>0</c:v>
                </c:pt>
                <c:pt idx="1">
                  <c:v>7</c:v>
                </c:pt>
              </c:numCache>
            </c:numRef>
          </c:xVal>
          <c:yVal>
            <c:numRef>
              <c:f>Stabilito!$C$182:$C$183</c:f>
              <c:numCache>
                <c:formatCode>General</c:formatCode>
                <c:ptCount val="2"/>
                <c:pt idx="0">
                  <c:v>15</c:v>
                </c:pt>
                <c:pt idx="1">
                  <c:v>15</c:v>
                </c:pt>
              </c:numCache>
            </c:numRef>
          </c:yVal>
          <c:smooth val="1"/>
          <c:extLst>
            <c:ext xmlns:c16="http://schemas.microsoft.com/office/drawing/2014/chart" uri="{C3380CC4-5D6E-409C-BE32-E72D297353CC}">
              <c16:uniqueId val="{00000000-B31D-4594-A6FE-3479B8181EFE}"/>
            </c:ext>
          </c:extLst>
        </c:ser>
        <c:ser>
          <c:idx val="1"/>
          <c:order val="1"/>
          <c:tx>
            <c:v>Cna max</c:v>
          </c:tx>
          <c:spPr>
            <a:ln w="12700">
              <a:solidFill>
                <a:srgbClr val="FF0000"/>
              </a:solidFill>
              <a:prstDash val="solid"/>
            </a:ln>
          </c:spPr>
          <c:marker>
            <c:symbol val="none"/>
          </c:marker>
          <c:xVal>
            <c:numRef>
              <c:f>Stabilito!$B$184:$B$185</c:f>
              <c:numCache>
                <c:formatCode>General</c:formatCode>
                <c:ptCount val="2"/>
                <c:pt idx="0">
                  <c:v>0</c:v>
                </c:pt>
                <c:pt idx="1">
                  <c:v>7</c:v>
                </c:pt>
              </c:numCache>
            </c:numRef>
          </c:xVal>
          <c:yVal>
            <c:numRef>
              <c:f>Stabilito!$C$184:$C$185</c:f>
              <c:numCache>
                <c:formatCode>General</c:formatCode>
                <c:ptCount val="2"/>
                <c:pt idx="0">
                  <c:v>40</c:v>
                </c:pt>
                <c:pt idx="1">
                  <c:v>40</c:v>
                </c:pt>
              </c:numCache>
            </c:numRef>
          </c:yVal>
          <c:smooth val="1"/>
          <c:extLst>
            <c:ext xmlns:c16="http://schemas.microsoft.com/office/drawing/2014/chart" uri="{C3380CC4-5D6E-409C-BE32-E72D297353CC}">
              <c16:uniqueId val="{00000001-B31D-4594-A6FE-3479B8181EFE}"/>
            </c:ext>
          </c:extLst>
        </c:ser>
        <c:ser>
          <c:idx val="2"/>
          <c:order val="2"/>
          <c:tx>
            <c:v>MS min</c:v>
          </c:tx>
          <c:spPr>
            <a:ln w="12700">
              <a:solidFill>
                <a:srgbClr val="FF0000"/>
              </a:solidFill>
              <a:prstDash val="solid"/>
            </a:ln>
          </c:spPr>
          <c:marker>
            <c:symbol val="none"/>
          </c:marker>
          <c:xVal>
            <c:numRef>
              <c:f>Stabilito!$B$186:$B$187</c:f>
              <c:numCache>
                <c:formatCode>General</c:formatCode>
                <c:ptCount val="2"/>
                <c:pt idx="0">
                  <c:v>2</c:v>
                </c:pt>
                <c:pt idx="1">
                  <c:v>2</c:v>
                </c:pt>
              </c:numCache>
            </c:numRef>
          </c:xVal>
          <c:yVal>
            <c:numRef>
              <c:f>Stabilito!$C$186:$C$187</c:f>
              <c:numCache>
                <c:formatCode>General</c:formatCode>
                <c:ptCount val="2"/>
                <c:pt idx="0">
                  <c:v>0</c:v>
                </c:pt>
                <c:pt idx="1">
                  <c:v>55</c:v>
                </c:pt>
              </c:numCache>
            </c:numRef>
          </c:yVal>
          <c:smooth val="1"/>
          <c:extLst>
            <c:ext xmlns:c16="http://schemas.microsoft.com/office/drawing/2014/chart" uri="{C3380CC4-5D6E-409C-BE32-E72D297353CC}">
              <c16:uniqueId val="{00000002-B31D-4594-A6FE-3479B8181EFE}"/>
            </c:ext>
          </c:extLst>
        </c:ser>
        <c:ser>
          <c:idx val="3"/>
          <c:order val="3"/>
          <c:tx>
            <c:v>MS max</c:v>
          </c:tx>
          <c:spPr>
            <a:ln w="12700">
              <a:solidFill>
                <a:srgbClr val="FF0000"/>
              </a:solidFill>
              <a:prstDash val="solid"/>
            </a:ln>
          </c:spPr>
          <c:marker>
            <c:symbol val="none"/>
          </c:marker>
          <c:xVal>
            <c:numRef>
              <c:f>Stabilito!$B$188:$B$189</c:f>
              <c:numCache>
                <c:formatCode>General</c:formatCode>
                <c:ptCount val="2"/>
                <c:pt idx="0">
                  <c:v>6</c:v>
                </c:pt>
                <c:pt idx="1">
                  <c:v>6</c:v>
                </c:pt>
              </c:numCache>
            </c:numRef>
          </c:xVal>
          <c:yVal>
            <c:numRef>
              <c:f>Stabilito!$C$188:$C$189</c:f>
              <c:numCache>
                <c:formatCode>General</c:formatCode>
                <c:ptCount val="2"/>
                <c:pt idx="0">
                  <c:v>0</c:v>
                </c:pt>
                <c:pt idx="1">
                  <c:v>55</c:v>
                </c:pt>
              </c:numCache>
            </c:numRef>
          </c:yVal>
          <c:smooth val="1"/>
          <c:extLst>
            <c:ext xmlns:c16="http://schemas.microsoft.com/office/drawing/2014/chart" uri="{C3380CC4-5D6E-409C-BE32-E72D297353CC}">
              <c16:uniqueId val="{00000003-B31D-4594-A6FE-3479B8181EFE}"/>
            </c:ext>
          </c:extLst>
        </c:ser>
        <c:ser>
          <c:idx val="5"/>
          <c:order val="6"/>
          <c:tx>
            <c:v>MS*Cna min</c:v>
          </c:tx>
          <c:spPr>
            <a:ln w="12700">
              <a:solidFill>
                <a:srgbClr val="FF0000"/>
              </a:solidFill>
              <a:prstDash val="solid"/>
            </a:ln>
          </c:spPr>
          <c:marker>
            <c:symbol val="none"/>
          </c:marker>
          <c:xVal>
            <c:numRef>
              <c:f>Stabilito!$D$182:$D$187</c:f>
              <c:numCache>
                <c:formatCode>General</c:formatCode>
                <c:ptCount val="6"/>
                <c:pt idx="0">
                  <c:v>0.5</c:v>
                </c:pt>
                <c:pt idx="1">
                  <c:v>1</c:v>
                </c:pt>
                <c:pt idx="2">
                  <c:v>2</c:v>
                </c:pt>
                <c:pt idx="3">
                  <c:v>3</c:v>
                </c:pt>
                <c:pt idx="4">
                  <c:v>5</c:v>
                </c:pt>
                <c:pt idx="5">
                  <c:v>7</c:v>
                </c:pt>
              </c:numCache>
            </c:numRef>
          </c:xVal>
          <c:yVal>
            <c:numRef>
              <c:f>Stabilito!$E$182:$E$187</c:f>
              <c:numCache>
                <c:formatCode>General</c:formatCode>
                <c:ptCount val="6"/>
                <c:pt idx="0">
                  <c:v>80</c:v>
                </c:pt>
                <c:pt idx="1">
                  <c:v>40</c:v>
                </c:pt>
                <c:pt idx="2">
                  <c:v>20</c:v>
                </c:pt>
                <c:pt idx="3">
                  <c:v>13.333333333333334</c:v>
                </c:pt>
                <c:pt idx="4">
                  <c:v>8</c:v>
                </c:pt>
                <c:pt idx="5">
                  <c:v>5.7142857142857144</c:v>
                </c:pt>
              </c:numCache>
            </c:numRef>
          </c:yVal>
          <c:smooth val="1"/>
          <c:extLst>
            <c:ext xmlns:c16="http://schemas.microsoft.com/office/drawing/2014/chart" uri="{C3380CC4-5D6E-409C-BE32-E72D297353CC}">
              <c16:uniqueId val="{00000004-B31D-4594-A6FE-3479B8181EFE}"/>
            </c:ext>
          </c:extLst>
        </c:ser>
        <c:ser>
          <c:idx val="6"/>
          <c:order val="7"/>
          <c:tx>
            <c:v>MS*Cna max</c:v>
          </c:tx>
          <c:spPr>
            <a:ln w="12700">
              <a:solidFill>
                <a:srgbClr val="FF0000"/>
              </a:solidFill>
              <a:prstDash val="solid"/>
            </a:ln>
          </c:spPr>
          <c:marker>
            <c:symbol val="none"/>
          </c:marker>
          <c:xVal>
            <c:numRef>
              <c:f>Stabilito!$D$188:$D$193</c:f>
              <c:numCache>
                <c:formatCode>General</c:formatCode>
                <c:ptCount val="6"/>
                <c:pt idx="0">
                  <c:v>1</c:v>
                </c:pt>
                <c:pt idx="1">
                  <c:v>2</c:v>
                </c:pt>
                <c:pt idx="2">
                  <c:v>3</c:v>
                </c:pt>
                <c:pt idx="3">
                  <c:v>4</c:v>
                </c:pt>
                <c:pt idx="4">
                  <c:v>6</c:v>
                </c:pt>
                <c:pt idx="5">
                  <c:v>7</c:v>
                </c:pt>
              </c:numCache>
            </c:numRef>
          </c:xVal>
          <c:yVal>
            <c:numRef>
              <c:f>Stabilito!$E$188:$E$193</c:f>
              <c:numCache>
                <c:formatCode>General</c:formatCode>
                <c:ptCount val="6"/>
                <c:pt idx="0">
                  <c:v>100</c:v>
                </c:pt>
                <c:pt idx="1">
                  <c:v>50</c:v>
                </c:pt>
                <c:pt idx="2">
                  <c:v>33.333333333333336</c:v>
                </c:pt>
                <c:pt idx="3">
                  <c:v>25</c:v>
                </c:pt>
                <c:pt idx="4">
                  <c:v>16.666666666666668</c:v>
                </c:pt>
                <c:pt idx="5">
                  <c:v>14.285714285714286</c:v>
                </c:pt>
              </c:numCache>
            </c:numRef>
          </c:yVal>
          <c:smooth val="1"/>
          <c:extLst>
            <c:ext xmlns:c16="http://schemas.microsoft.com/office/drawing/2014/chart" uri="{C3380CC4-5D6E-409C-BE32-E72D297353CC}">
              <c16:uniqueId val="{00000005-B31D-4594-A6FE-3479B8181EFE}"/>
            </c:ext>
          </c:extLst>
        </c:ser>
        <c:ser>
          <c:idx val="7"/>
          <c:order val="8"/>
          <c:tx>
            <c:v>Cna moy</c:v>
          </c:tx>
          <c:spPr>
            <a:ln w="12700">
              <a:solidFill>
                <a:srgbClr val="FF0000"/>
              </a:solidFill>
              <a:prstDash val="solid"/>
            </a:ln>
          </c:spPr>
          <c:marker>
            <c:symbol val="none"/>
          </c:marker>
          <c:xVal>
            <c:numRef>
              <c:f>Stabilito!$B$195:$B$196</c:f>
              <c:numCache>
                <c:formatCode>General</c:formatCode>
                <c:ptCount val="2"/>
                <c:pt idx="0">
                  <c:v>0</c:v>
                </c:pt>
                <c:pt idx="1">
                  <c:v>2</c:v>
                </c:pt>
              </c:numCache>
            </c:numRef>
          </c:xVal>
          <c:yVal>
            <c:numRef>
              <c:f>Stabilito!$C$195:$C$196</c:f>
              <c:numCache>
                <c:formatCode>General</c:formatCode>
                <c:ptCount val="2"/>
                <c:pt idx="0">
                  <c:v>27.5</c:v>
                </c:pt>
                <c:pt idx="1">
                  <c:v>27.5</c:v>
                </c:pt>
              </c:numCache>
            </c:numRef>
          </c:yVal>
          <c:smooth val="1"/>
          <c:extLst>
            <c:ext xmlns:c16="http://schemas.microsoft.com/office/drawing/2014/chart" uri="{C3380CC4-5D6E-409C-BE32-E72D297353CC}">
              <c16:uniqueId val="{00000006-B31D-4594-A6FE-3479B8181EFE}"/>
            </c:ext>
          </c:extLst>
        </c:ser>
        <c:ser>
          <c:idx val="8"/>
          <c:order val="9"/>
          <c:tx>
            <c:v>Cna moy2</c:v>
          </c:tx>
          <c:spPr>
            <a:ln w="12700">
              <a:solidFill>
                <a:srgbClr val="FF0000"/>
              </a:solidFill>
              <a:prstDash val="solid"/>
            </a:ln>
          </c:spPr>
          <c:marker>
            <c:symbol val="none"/>
          </c:marker>
          <c:xVal>
            <c:numRef>
              <c:f>Stabilito!$B$197:$B$198</c:f>
              <c:numCache>
                <c:formatCode>General</c:formatCode>
                <c:ptCount val="2"/>
                <c:pt idx="0">
                  <c:v>3.6363636363636362</c:v>
                </c:pt>
                <c:pt idx="1">
                  <c:v>7</c:v>
                </c:pt>
              </c:numCache>
            </c:numRef>
          </c:xVal>
          <c:yVal>
            <c:numRef>
              <c:f>Stabilito!$C$197:$C$198</c:f>
              <c:numCache>
                <c:formatCode>General</c:formatCode>
                <c:ptCount val="2"/>
                <c:pt idx="0">
                  <c:v>27.5</c:v>
                </c:pt>
                <c:pt idx="1">
                  <c:v>27.5</c:v>
                </c:pt>
              </c:numCache>
            </c:numRef>
          </c:yVal>
          <c:smooth val="1"/>
          <c:extLst>
            <c:ext xmlns:c16="http://schemas.microsoft.com/office/drawing/2014/chart" uri="{C3380CC4-5D6E-409C-BE32-E72D297353CC}">
              <c16:uniqueId val="{00000007-B31D-4594-A6FE-3479B8181EFE}"/>
            </c:ext>
          </c:extLst>
        </c:ser>
        <c:ser>
          <c:idx val="9"/>
          <c:order val="10"/>
          <c:tx>
            <c:v>MS moy</c:v>
          </c:tx>
          <c:spPr>
            <a:ln w="12700">
              <a:solidFill>
                <a:srgbClr val="FF0000"/>
              </a:solidFill>
              <a:prstDash val="solid"/>
            </a:ln>
          </c:spPr>
          <c:marker>
            <c:symbol val="none"/>
          </c:marker>
          <c:xVal>
            <c:numRef>
              <c:f>Stabilito!$B$199:$B$200</c:f>
              <c:numCache>
                <c:formatCode>General</c:formatCode>
                <c:ptCount val="2"/>
                <c:pt idx="0">
                  <c:v>4</c:v>
                </c:pt>
                <c:pt idx="1">
                  <c:v>4</c:v>
                </c:pt>
              </c:numCache>
            </c:numRef>
          </c:xVal>
          <c:yVal>
            <c:numRef>
              <c:f>Stabilito!$C$199:$C$200</c:f>
              <c:numCache>
                <c:formatCode>General</c:formatCode>
                <c:ptCount val="2"/>
                <c:pt idx="0">
                  <c:v>0</c:v>
                </c:pt>
                <c:pt idx="1">
                  <c:v>15</c:v>
                </c:pt>
              </c:numCache>
            </c:numRef>
          </c:yVal>
          <c:smooth val="1"/>
          <c:extLst>
            <c:ext xmlns:c16="http://schemas.microsoft.com/office/drawing/2014/chart" uri="{C3380CC4-5D6E-409C-BE32-E72D297353CC}">
              <c16:uniqueId val="{00000008-B31D-4594-A6FE-3479B8181EFE}"/>
            </c:ext>
          </c:extLst>
        </c:ser>
        <c:ser>
          <c:idx val="10"/>
          <c:order val="11"/>
          <c:tx>
            <c:v>MS moy2</c:v>
          </c:tx>
          <c:spPr>
            <a:ln w="12700">
              <a:solidFill>
                <a:srgbClr val="FF0000"/>
              </a:solidFill>
              <a:prstDash val="solid"/>
            </a:ln>
          </c:spPr>
          <c:marker>
            <c:symbol val="none"/>
          </c:marker>
          <c:xVal>
            <c:numRef>
              <c:f>Stabilito!$B$201:$B$202</c:f>
              <c:numCache>
                <c:formatCode>General</c:formatCode>
                <c:ptCount val="2"/>
                <c:pt idx="0">
                  <c:v>4</c:v>
                </c:pt>
                <c:pt idx="1">
                  <c:v>4</c:v>
                </c:pt>
              </c:numCache>
            </c:numRef>
          </c:xVal>
          <c:yVal>
            <c:numRef>
              <c:f>Stabilito!$C$201:$C$202</c:f>
              <c:numCache>
                <c:formatCode>General</c:formatCode>
                <c:ptCount val="2"/>
                <c:pt idx="0">
                  <c:v>25</c:v>
                </c:pt>
                <c:pt idx="1">
                  <c:v>55</c:v>
                </c:pt>
              </c:numCache>
            </c:numRef>
          </c:yVal>
          <c:smooth val="1"/>
          <c:extLst>
            <c:ext xmlns:c16="http://schemas.microsoft.com/office/drawing/2014/chart" uri="{C3380CC4-5D6E-409C-BE32-E72D297353CC}">
              <c16:uniqueId val="{00000009-B31D-4594-A6FE-3479B8181EFE}"/>
            </c:ext>
          </c:extLst>
        </c:ser>
        <c:dLbls>
          <c:showLegendKey val="0"/>
          <c:showVal val="0"/>
          <c:showCatName val="0"/>
          <c:showSerName val="0"/>
          <c:showPercent val="0"/>
          <c:showBubbleSize val="0"/>
        </c:dLbls>
        <c:axId val="148471168"/>
        <c:axId val="148481536"/>
      </c:scatterChart>
      <c:scatterChart>
        <c:scatterStyle val="lineMarker"/>
        <c:varyColors val="0"/>
        <c:ser>
          <c:idx val="4"/>
          <c:order val="4"/>
          <c:tx>
            <c:v>Fusée en cours</c:v>
          </c:tx>
          <c:spPr>
            <a:ln w="25400">
              <a:solidFill>
                <a:schemeClr val="tx1"/>
              </a:solidFill>
            </a:ln>
          </c:spPr>
          <c:marker>
            <c:symbol val="diamond"/>
            <c:size val="7"/>
            <c:spPr>
              <a:solidFill>
                <a:schemeClr val="tx1"/>
              </a:solidFill>
              <a:ln>
                <a:noFill/>
              </a:ln>
            </c:spPr>
          </c:marker>
          <c:xVal>
            <c:numRef>
              <c:f>Stabilito!$B$190:$B$193</c:f>
              <c:numCache>
                <c:formatCode>0.00</c:formatCode>
                <c:ptCount val="4"/>
                <c:pt idx="0">
                  <c:v>3.0351367737846751</c:v>
                </c:pt>
                <c:pt idx="1">
                  <c:v>3.0351367737846751</c:v>
                </c:pt>
                <c:pt idx="2">
                  <c:v>3.6523624562516877</c:v>
                </c:pt>
                <c:pt idx="3">
                  <c:v>3.6523624562516877</c:v>
                </c:pt>
              </c:numCache>
            </c:numRef>
          </c:xVal>
          <c:yVal>
            <c:numRef>
              <c:f>Stabilito!$C$190:$C$193</c:f>
              <c:numCache>
                <c:formatCode>0.00</c:formatCode>
                <c:ptCount val="4"/>
                <c:pt idx="0">
                  <c:v>19.135014339693754</c:v>
                </c:pt>
                <c:pt idx="1">
                  <c:v>19.135014339693754</c:v>
                </c:pt>
                <c:pt idx="2">
                  <c:v>19.135014339693754</c:v>
                </c:pt>
                <c:pt idx="3">
                  <c:v>19.135014339693754</c:v>
                </c:pt>
              </c:numCache>
            </c:numRef>
          </c:yVal>
          <c:smooth val="0"/>
          <c:extLst>
            <c:ext xmlns:c16="http://schemas.microsoft.com/office/drawing/2014/chart" uri="{C3380CC4-5D6E-409C-BE32-E72D297353CC}">
              <c16:uniqueId val="{0000000A-B31D-4594-A6FE-3479B8181EFE}"/>
            </c:ext>
          </c:extLst>
        </c:ser>
        <c:ser>
          <c:idx val="11"/>
          <c:order val="5"/>
          <c:tx>
            <c:v>Fusée en cours0</c:v>
          </c:tx>
          <c:spPr>
            <a:ln w="25400">
              <a:solidFill>
                <a:schemeClr val="tx1"/>
              </a:solidFill>
            </a:ln>
          </c:spPr>
          <c:marker>
            <c:symbol val="none"/>
          </c:marker>
          <c:xVal>
            <c:numRef>
              <c:f>Stabilito!$B$193:$B$194</c:f>
              <c:numCache>
                <c:formatCode>0.00</c:formatCode>
                <c:ptCount val="2"/>
                <c:pt idx="0">
                  <c:v>3.6523624562516877</c:v>
                </c:pt>
                <c:pt idx="1">
                  <c:v>3.0351367737846751</c:v>
                </c:pt>
              </c:numCache>
            </c:numRef>
          </c:xVal>
          <c:yVal>
            <c:numRef>
              <c:f>Stabilito!$C$193:$C$194</c:f>
              <c:numCache>
                <c:formatCode>0.00</c:formatCode>
                <c:ptCount val="2"/>
                <c:pt idx="0">
                  <c:v>19.135014339693754</c:v>
                </c:pt>
                <c:pt idx="1">
                  <c:v>19.135014339693754</c:v>
                </c:pt>
              </c:numCache>
            </c:numRef>
          </c:yVal>
          <c:smooth val="0"/>
          <c:extLst>
            <c:ext xmlns:c16="http://schemas.microsoft.com/office/drawing/2014/chart" uri="{C3380CC4-5D6E-409C-BE32-E72D297353CC}">
              <c16:uniqueId val="{0000000B-B31D-4594-A6FE-3479B8181EFE}"/>
            </c:ext>
          </c:extLst>
        </c:ser>
        <c:dLbls>
          <c:showLegendKey val="0"/>
          <c:showVal val="0"/>
          <c:showCatName val="0"/>
          <c:showSerName val="0"/>
          <c:showPercent val="0"/>
          <c:showBubbleSize val="0"/>
        </c:dLbls>
        <c:axId val="148471168"/>
        <c:axId val="148481536"/>
      </c:scatterChart>
      <c:valAx>
        <c:axId val="148471168"/>
        <c:scaling>
          <c:orientation val="minMax"/>
          <c:max val="7"/>
          <c:min val="0"/>
        </c:scaling>
        <c:delete val="0"/>
        <c:axPos val="b"/>
        <c:title>
          <c:tx>
            <c:strRef>
              <c:f>Stabilito!$B$118</c:f>
              <c:strCache>
                <c:ptCount val="1"/>
                <c:pt idx="0">
                  <c:v>Marge Statique (MS)</c:v>
                </c:pt>
              </c:strCache>
            </c:strRef>
          </c:tx>
          <c:layout>
            <c:manualLayout>
              <c:xMode val="edge"/>
              <c:yMode val="edge"/>
              <c:x val="0.51717271009913568"/>
              <c:y val="0.73094047244094495"/>
            </c:manualLayout>
          </c:layout>
          <c:overlay val="0"/>
          <c:spPr>
            <a:solidFill>
              <a:srgbClr val="FFFFFF"/>
            </a:solidFill>
            <a:ln w="25400">
              <a:noFill/>
            </a:ln>
          </c:spPr>
          <c:txPr>
            <a:bodyPr/>
            <a:lstStyle/>
            <a:p>
              <a:pPr>
                <a:defRPr sz="1000" b="0" i="0" u="none" strike="noStrike" baseline="0">
                  <a:solidFill>
                    <a:srgbClr val="000000"/>
                  </a:solidFill>
                  <a:latin typeface="Calibri"/>
                  <a:ea typeface="Calibri"/>
                  <a:cs typeface="Calibri"/>
                </a:defRPr>
              </a:pPr>
              <a:endParaRPr lang="fr-FR"/>
            </a:p>
          </c:tx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8481536"/>
        <c:crosses val="autoZero"/>
        <c:crossBetween val="midCat"/>
      </c:valAx>
      <c:valAx>
        <c:axId val="148481536"/>
        <c:scaling>
          <c:orientation val="minMax"/>
          <c:max val="55"/>
          <c:min val="0"/>
        </c:scaling>
        <c:delete val="0"/>
        <c:axPos val="l"/>
        <c:title>
          <c:tx>
            <c:strRef>
              <c:f>Stabilito!$B$119</c:f>
              <c:strCache>
                <c:ptCount val="1"/>
                <c:pt idx="0">
                  <c:v>Portance Cnα</c:v>
                </c:pt>
              </c:strCache>
            </c:strRef>
          </c:tx>
          <c:layout>
            <c:manualLayout>
              <c:xMode val="edge"/>
              <c:yMode val="edge"/>
              <c:x val="6.9119481083972797E-2"/>
              <c:y val="0.24099905511811029"/>
            </c:manualLayout>
          </c:layout>
          <c:overlay val="0"/>
          <c:spPr>
            <a:solidFill>
              <a:srgbClr val="FFFFFF"/>
            </a:solidFill>
            <a:ln w="25400">
              <a:noFill/>
            </a:ln>
          </c:spPr>
          <c:txPr>
            <a:bodyPr/>
            <a:lstStyle/>
            <a:p>
              <a:pPr>
                <a:defRPr sz="1000" b="0" i="0" u="none" strike="noStrike" baseline="0">
                  <a:solidFill>
                    <a:srgbClr val="000000"/>
                  </a:solidFill>
                  <a:latin typeface="Calibri"/>
                  <a:ea typeface="Calibri"/>
                  <a:cs typeface="Calibri"/>
                </a:defRPr>
              </a:pPr>
              <a:endParaRPr lang="fr-FR"/>
            </a:p>
          </c:tx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84711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475"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49212598450000095" footer="0.4921259845000009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Trajecto!$B$110</c:f>
          <c:strCache>
            <c:ptCount val="1"/>
            <c:pt idx="0">
              <c:v>Trajectoire (x z)</c:v>
            </c:pt>
          </c:strCache>
        </c:strRef>
      </c:tx>
      <c:layout>
        <c:manualLayout>
          <c:xMode val="edge"/>
          <c:yMode val="edge"/>
          <c:x val="0.66868786671936287"/>
          <c:y val="3.8575744069727136E-2"/>
        </c:manualLayout>
      </c:layout>
      <c:overlay val="0"/>
      <c:spPr>
        <a:noFill/>
        <a:ln w="25400">
          <a:noFill/>
        </a:ln>
      </c:spPr>
      <c:txPr>
        <a:bodyPr/>
        <a:lstStyle/>
        <a:p>
          <a:pPr>
            <a:defRPr sz="800" b="1" i="0" u="none" strike="noStrike" baseline="0">
              <a:solidFill>
                <a:srgbClr val="0000FF"/>
              </a:solidFill>
              <a:latin typeface="Arial"/>
              <a:ea typeface="Arial"/>
              <a:cs typeface="Arial"/>
            </a:defRPr>
          </a:pPr>
          <a:endParaRPr lang="fr-FR"/>
        </a:p>
      </c:txPr>
    </c:title>
    <c:autoTitleDeleted val="0"/>
    <c:plotArea>
      <c:layout>
        <c:manualLayout>
          <c:layoutTarget val="inner"/>
          <c:xMode val="edge"/>
          <c:yMode val="edge"/>
          <c:x val="6.9697175950449913E-2"/>
          <c:y val="3.5608360198500402E-2"/>
          <c:w val="0.89697235136230857"/>
          <c:h val="0.89614373166225958"/>
        </c:manualLayout>
      </c:layout>
      <c:scatterChart>
        <c:scatterStyle val="lineMarker"/>
        <c:varyColors val="0"/>
        <c:ser>
          <c:idx val="0"/>
          <c:order val="0"/>
          <c:tx>
            <c:v>Point invisible pour mise à l'echelle</c:v>
          </c:tx>
          <c:spPr>
            <a:ln w="3175">
              <a:solidFill>
                <a:srgbClr val="99CCFF"/>
              </a:solidFill>
              <a:prstDash val="solid"/>
            </a:ln>
          </c:spPr>
          <c:marker>
            <c:symbol val="none"/>
          </c:marker>
          <c:xVal>
            <c:numRef>
              <c:f>Trajecto!$B$120</c:f>
              <c:numCache>
                <c:formatCode>0</c:formatCode>
                <c:ptCount val="1"/>
                <c:pt idx="0">
                  <c:v>2710.5237034610714</c:v>
                </c:pt>
              </c:numCache>
            </c:numRef>
          </c:xVal>
          <c:yVal>
            <c:numRef>
              <c:f>Trajecto!$C$118</c:f>
              <c:numCache>
                <c:formatCode>0</c:formatCode>
                <c:ptCount val="1"/>
                <c:pt idx="0">
                  <c:v>2710.5237034610714</c:v>
                </c:pt>
              </c:numCache>
            </c:numRef>
          </c:yVal>
          <c:smooth val="1"/>
          <c:extLst>
            <c:ext xmlns:c16="http://schemas.microsoft.com/office/drawing/2014/chart" uri="{C3380CC4-5D6E-409C-BE32-E72D297353CC}">
              <c16:uniqueId val="{00000000-3E62-4C97-96C4-8569A9DB8ECB}"/>
            </c:ext>
          </c:extLst>
        </c:ser>
        <c:ser>
          <c:idx val="1"/>
          <c:order val="1"/>
          <c:tx>
            <c:v>1 point par seconde</c:v>
          </c:tx>
          <c:spPr>
            <a:ln w="28575">
              <a:noFill/>
            </a:ln>
          </c:spPr>
          <c:marker>
            <c:symbol val="plus"/>
            <c:size val="7"/>
            <c:spPr>
              <a:noFill/>
              <a:ln>
                <a:solidFill>
                  <a:srgbClr val="000000"/>
                </a:solidFill>
                <a:prstDash val="solid"/>
              </a:ln>
            </c:spPr>
          </c:marker>
          <c:xVal>
            <c:numRef>
              <c:f>Calculs!$AD$4:$AD$1004</c:f>
              <c:numCache>
                <c:formatCode>0</c:formatCode>
                <c:ptCount val="1001"/>
                <c:pt idx="0">
                  <c:v>0</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7.5279043395503074</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32.562663935225821</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74.557862597268084</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130.37666155553248</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194.26610840641175</c:v>
                </c:pt>
                <c:pt idx="501">
                  <c:v>#N/A</c:v>
                </c:pt>
                <c:pt idx="502">
                  <c:v>#N/A</c:v>
                </c:pt>
                <c:pt idx="503">
                  <c:v>#N/A</c:v>
                </c:pt>
                <c:pt idx="504">
                  <c:v>#N/A</c:v>
                </c:pt>
                <c:pt idx="505">
                  <c:v>#N/A</c:v>
                </c:pt>
                <c:pt idx="506">
                  <c:v>#N/A</c:v>
                </c:pt>
                <c:pt idx="507">
                  <c:v>#N/A</c:v>
                </c:pt>
                <c:pt idx="508">
                  <c:v>#N/A</c:v>
                </c:pt>
                <c:pt idx="509">
                  <c:v>#N/A</c:v>
                </c:pt>
                <c:pt idx="510">
                  <c:v>255.19937014530871</c:v>
                </c:pt>
                <c:pt idx="511">
                  <c:v>#N/A</c:v>
                </c:pt>
                <c:pt idx="512">
                  <c:v>#N/A</c:v>
                </c:pt>
                <c:pt idx="513">
                  <c:v>#N/A</c:v>
                </c:pt>
                <c:pt idx="514">
                  <c:v>#N/A</c:v>
                </c:pt>
                <c:pt idx="515">
                  <c:v>#N/A</c:v>
                </c:pt>
                <c:pt idx="516">
                  <c:v>#N/A</c:v>
                </c:pt>
                <c:pt idx="517">
                  <c:v>#N/A</c:v>
                </c:pt>
                <c:pt idx="518">
                  <c:v>#N/A</c:v>
                </c:pt>
                <c:pt idx="519">
                  <c:v>#N/A</c:v>
                </c:pt>
                <c:pt idx="520">
                  <c:v>312.53524955840203</c:v>
                </c:pt>
                <c:pt idx="521">
                  <c:v>#N/A</c:v>
                </c:pt>
                <c:pt idx="522">
                  <c:v>#N/A</c:v>
                </c:pt>
                <c:pt idx="523">
                  <c:v>#N/A</c:v>
                </c:pt>
                <c:pt idx="524">
                  <c:v>#N/A</c:v>
                </c:pt>
                <c:pt idx="525">
                  <c:v>#N/A</c:v>
                </c:pt>
                <c:pt idx="526">
                  <c:v>#N/A</c:v>
                </c:pt>
                <c:pt idx="527">
                  <c:v>#N/A</c:v>
                </c:pt>
                <c:pt idx="528">
                  <c:v>#N/A</c:v>
                </c:pt>
                <c:pt idx="529">
                  <c:v>#N/A</c:v>
                </c:pt>
                <c:pt idx="530">
                  <c:v>366.86590751537091</c:v>
                </c:pt>
                <c:pt idx="531">
                  <c:v>#N/A</c:v>
                </c:pt>
                <c:pt idx="532">
                  <c:v>#N/A</c:v>
                </c:pt>
                <c:pt idx="533">
                  <c:v>#N/A</c:v>
                </c:pt>
                <c:pt idx="534">
                  <c:v>#N/A</c:v>
                </c:pt>
                <c:pt idx="535">
                  <c:v>#N/A</c:v>
                </c:pt>
                <c:pt idx="536">
                  <c:v>#N/A</c:v>
                </c:pt>
                <c:pt idx="537">
                  <c:v>#N/A</c:v>
                </c:pt>
                <c:pt idx="538">
                  <c:v>#N/A</c:v>
                </c:pt>
                <c:pt idx="539">
                  <c:v>#N/A</c:v>
                </c:pt>
                <c:pt idx="540">
                  <c:v>418.65838981597392</c:v>
                </c:pt>
                <c:pt idx="541">
                  <c:v>#N/A</c:v>
                </c:pt>
                <c:pt idx="542">
                  <c:v>#N/A</c:v>
                </c:pt>
                <c:pt idx="543">
                  <c:v>#N/A</c:v>
                </c:pt>
                <c:pt idx="544">
                  <c:v>#N/A</c:v>
                </c:pt>
                <c:pt idx="545">
                  <c:v>#N/A</c:v>
                </c:pt>
                <c:pt idx="546">
                  <c:v>#N/A</c:v>
                </c:pt>
                <c:pt idx="547">
                  <c:v>#N/A</c:v>
                </c:pt>
                <c:pt idx="548">
                  <c:v>#N/A</c:v>
                </c:pt>
                <c:pt idx="549">
                  <c:v>#N/A</c:v>
                </c:pt>
                <c:pt idx="550">
                  <c:v>468.28868960514001</c:v>
                </c:pt>
                <c:pt idx="551">
                  <c:v>#N/A</c:v>
                </c:pt>
                <c:pt idx="552">
                  <c:v>#N/A</c:v>
                </c:pt>
                <c:pt idx="553">
                  <c:v>#N/A</c:v>
                </c:pt>
                <c:pt idx="554">
                  <c:v>#N/A</c:v>
                </c:pt>
                <c:pt idx="555">
                  <c:v>#N/A</c:v>
                </c:pt>
                <c:pt idx="556">
                  <c:v>#N/A</c:v>
                </c:pt>
                <c:pt idx="557">
                  <c:v>#N/A</c:v>
                </c:pt>
                <c:pt idx="558">
                  <c:v>#N/A</c:v>
                </c:pt>
                <c:pt idx="559">
                  <c:v>#N/A</c:v>
                </c:pt>
                <c:pt idx="560">
                  <c:v>516.06491923483304</c:v>
                </c:pt>
                <c:pt idx="561">
                  <c:v>#N/A</c:v>
                </c:pt>
                <c:pt idx="562">
                  <c:v>#N/A</c:v>
                </c:pt>
                <c:pt idx="563">
                  <c:v>#N/A</c:v>
                </c:pt>
                <c:pt idx="564">
                  <c:v>#N/A</c:v>
                </c:pt>
                <c:pt idx="565">
                  <c:v>#N/A</c:v>
                </c:pt>
                <c:pt idx="566">
                  <c:v>#N/A</c:v>
                </c:pt>
                <c:pt idx="567">
                  <c:v>#N/A</c:v>
                </c:pt>
                <c:pt idx="568">
                  <c:v>#N/A</c:v>
                </c:pt>
                <c:pt idx="569">
                  <c:v>#N/A</c:v>
                </c:pt>
                <c:pt idx="570">
                  <c:v>562.24352964933678</c:v>
                </c:pt>
                <c:pt idx="571">
                  <c:v>#N/A</c:v>
                </c:pt>
                <c:pt idx="572">
                  <c:v>#N/A</c:v>
                </c:pt>
                <c:pt idx="573">
                  <c:v>#N/A</c:v>
                </c:pt>
                <c:pt idx="574">
                  <c:v>#N/A</c:v>
                </c:pt>
                <c:pt idx="575">
                  <c:v>#N/A</c:v>
                </c:pt>
                <c:pt idx="576">
                  <c:v>#N/A</c:v>
                </c:pt>
                <c:pt idx="577">
                  <c:v>#N/A</c:v>
                </c:pt>
                <c:pt idx="578">
                  <c:v>#N/A</c:v>
                </c:pt>
                <c:pt idx="579">
                  <c:v>#N/A</c:v>
                </c:pt>
                <c:pt idx="580">
                  <c:v>607.04093619325624</c:v>
                </c:pt>
                <c:pt idx="581">
                  <c:v>#N/A</c:v>
                </c:pt>
                <c:pt idx="582">
                  <c:v>#N/A</c:v>
                </c:pt>
                <c:pt idx="583">
                  <c:v>#N/A</c:v>
                </c:pt>
                <c:pt idx="584">
                  <c:v>#N/A</c:v>
                </c:pt>
                <c:pt idx="585">
                  <c:v>#N/A</c:v>
                </c:pt>
                <c:pt idx="586">
                  <c:v>#N/A</c:v>
                </c:pt>
                <c:pt idx="587">
                  <c:v>#N/A</c:v>
                </c:pt>
                <c:pt idx="588">
                  <c:v>#N/A</c:v>
                </c:pt>
                <c:pt idx="589">
                  <c:v>#N/A</c:v>
                </c:pt>
                <c:pt idx="590">
                  <c:v>650.64201263974053</c:v>
                </c:pt>
                <c:pt idx="591">
                  <c:v>#N/A</c:v>
                </c:pt>
                <c:pt idx="592">
                  <c:v>#N/A</c:v>
                </c:pt>
                <c:pt idx="593">
                  <c:v>#N/A</c:v>
                </c:pt>
                <c:pt idx="594">
                  <c:v>#N/A</c:v>
                </c:pt>
                <c:pt idx="595">
                  <c:v>#N/A</c:v>
                </c:pt>
                <c:pt idx="596">
                  <c:v>#N/A</c:v>
                </c:pt>
                <c:pt idx="597">
                  <c:v>#N/A</c:v>
                </c:pt>
                <c:pt idx="598">
                  <c:v>#N/A</c:v>
                </c:pt>
                <c:pt idx="599">
                  <c:v>#N/A</c:v>
                </c:pt>
                <c:pt idx="600">
                  <c:v>693.20638256223833</c:v>
                </c:pt>
                <c:pt idx="601">
                  <c:v>#N/A</c:v>
                </c:pt>
                <c:pt idx="602">
                  <c:v>#N/A</c:v>
                </c:pt>
                <c:pt idx="603">
                  <c:v>#N/A</c:v>
                </c:pt>
                <c:pt idx="604">
                  <c:v>#N/A</c:v>
                </c:pt>
                <c:pt idx="605">
                  <c:v>#N/A</c:v>
                </c:pt>
                <c:pt idx="606">
                  <c:v>#N/A</c:v>
                </c:pt>
                <c:pt idx="607">
                  <c:v>#N/A</c:v>
                </c:pt>
                <c:pt idx="608">
                  <c:v>#N/A</c:v>
                </c:pt>
                <c:pt idx="609">
                  <c:v>#N/A</c:v>
                </c:pt>
                <c:pt idx="610">
                  <c:v>734.87310600396472</c:v>
                </c:pt>
                <c:pt idx="611">
                  <c:v>#N/A</c:v>
                </c:pt>
                <c:pt idx="612">
                  <c:v>#N/A</c:v>
                </c:pt>
                <c:pt idx="613">
                  <c:v>#N/A</c:v>
                </c:pt>
                <c:pt idx="614">
                  <c:v>#N/A</c:v>
                </c:pt>
                <c:pt idx="615">
                  <c:v>#N/A</c:v>
                </c:pt>
                <c:pt idx="616">
                  <c:v>#N/A</c:v>
                </c:pt>
                <c:pt idx="617">
                  <c:v>#N/A</c:v>
                </c:pt>
                <c:pt idx="618">
                  <c:v>#N/A</c:v>
                </c:pt>
                <c:pt idx="619">
                  <c:v>#N/A</c:v>
                </c:pt>
                <c:pt idx="620">
                  <c:v>775.76414112281441</c:v>
                </c:pt>
                <c:pt idx="621">
                  <c:v>#N/A</c:v>
                </c:pt>
                <c:pt idx="622">
                  <c:v>#N/A</c:v>
                </c:pt>
                <c:pt idx="623">
                  <c:v>#N/A</c:v>
                </c:pt>
                <c:pt idx="624">
                  <c:v>#N/A</c:v>
                </c:pt>
                <c:pt idx="625">
                  <c:v>#N/A</c:v>
                </c:pt>
                <c:pt idx="626">
                  <c:v>#N/A</c:v>
                </c:pt>
                <c:pt idx="627">
                  <c:v>#N/A</c:v>
                </c:pt>
                <c:pt idx="628">
                  <c:v>#N/A</c:v>
                </c:pt>
                <c:pt idx="629">
                  <c:v>#N/A</c:v>
                </c:pt>
                <c:pt idx="630">
                  <c:v>815.98680324741053</c:v>
                </c:pt>
                <c:pt idx="631">
                  <c:v>#N/A</c:v>
                </c:pt>
                <c:pt idx="632">
                  <c:v>#N/A</c:v>
                </c:pt>
                <c:pt idx="633">
                  <c:v>#N/A</c:v>
                </c:pt>
                <c:pt idx="634">
                  <c:v>#N/A</c:v>
                </c:pt>
                <c:pt idx="635">
                  <c:v>#N/A</c:v>
                </c:pt>
                <c:pt idx="636">
                  <c:v>#N/A</c:v>
                </c:pt>
                <c:pt idx="637">
                  <c:v>#N/A</c:v>
                </c:pt>
                <c:pt idx="638">
                  <c:v>#N/A</c:v>
                </c:pt>
                <c:pt idx="639">
                  <c:v>#N/A</c:v>
                </c:pt>
                <c:pt idx="640">
                  <c:v>855.6353144099196</c:v>
                </c:pt>
                <c:pt idx="641">
                  <c:v>#N/A</c:v>
                </c:pt>
                <c:pt idx="642">
                  <c:v>#N/A</c:v>
                </c:pt>
                <c:pt idx="643">
                  <c:v>#N/A</c:v>
                </c:pt>
                <c:pt idx="644">
                  <c:v>#N/A</c:v>
                </c:pt>
                <c:pt idx="645">
                  <c:v>#N/A</c:v>
                </c:pt>
                <c:pt idx="646">
                  <c:v>#N/A</c:v>
                </c:pt>
                <c:pt idx="647">
                  <c:v>#N/A</c:v>
                </c:pt>
                <c:pt idx="648">
                  <c:v>#N/A</c:v>
                </c:pt>
                <c:pt idx="649">
                  <c:v>#N/A</c:v>
                </c:pt>
                <c:pt idx="650">
                  <c:v>894.79141459547611</c:v>
                </c:pt>
                <c:pt idx="651">
                  <c:v>#N/A</c:v>
                </c:pt>
                <c:pt idx="652">
                  <c:v>#N/A</c:v>
                </c:pt>
                <c:pt idx="653">
                  <c:v>#N/A</c:v>
                </c:pt>
                <c:pt idx="654">
                  <c:v>#N/A</c:v>
                </c:pt>
                <c:pt idx="655">
                  <c:v>#N/A</c:v>
                </c:pt>
                <c:pt idx="656">
                  <c:v>#N/A</c:v>
                </c:pt>
                <c:pt idx="657">
                  <c:v>#N/A</c:v>
                </c:pt>
                <c:pt idx="658">
                  <c:v>#N/A</c:v>
                </c:pt>
                <c:pt idx="659">
                  <c:v>#N/A</c:v>
                </c:pt>
                <c:pt idx="660">
                  <c:v>933.52389613116338</c:v>
                </c:pt>
                <c:pt idx="661">
                  <c:v>#N/A</c:v>
                </c:pt>
                <c:pt idx="662">
                  <c:v>#N/A</c:v>
                </c:pt>
                <c:pt idx="663">
                  <c:v>#N/A</c:v>
                </c:pt>
                <c:pt idx="664">
                  <c:v>#N/A</c:v>
                </c:pt>
                <c:pt idx="665">
                  <c:v>#N/A</c:v>
                </c:pt>
                <c:pt idx="666">
                  <c:v>#N/A</c:v>
                </c:pt>
                <c:pt idx="667">
                  <c:v>#N/A</c:v>
                </c:pt>
                <c:pt idx="668">
                  <c:v>#N/A</c:v>
                </c:pt>
                <c:pt idx="669">
                  <c:v>#N/A</c:v>
                </c:pt>
                <c:pt idx="670">
                  <c:v>971.88690540090124</c:v>
                </c:pt>
                <c:pt idx="671">
                  <c:v>#N/A</c:v>
                </c:pt>
                <c:pt idx="672">
                  <c:v>#N/A</c:v>
                </c:pt>
                <c:pt idx="673">
                  <c:v>#N/A</c:v>
                </c:pt>
                <c:pt idx="674">
                  <c:v>#N/A</c:v>
                </c:pt>
                <c:pt idx="675">
                  <c:v>#N/A</c:v>
                </c:pt>
                <c:pt idx="676">
                  <c:v>#N/A</c:v>
                </c:pt>
                <c:pt idx="677">
                  <c:v>#N/A</c:v>
                </c:pt>
                <c:pt idx="678">
                  <c:v>#N/A</c:v>
                </c:pt>
                <c:pt idx="679">
                  <c:v>#N/A</c:v>
                </c:pt>
                <c:pt idx="680">
                  <c:v>1009.9171737066348</c:v>
                </c:pt>
                <c:pt idx="681">
                  <c:v>#N/A</c:v>
                </c:pt>
                <c:pt idx="682">
                  <c:v>#N/A</c:v>
                </c:pt>
                <c:pt idx="683">
                  <c:v>#N/A</c:v>
                </c:pt>
                <c:pt idx="684">
                  <c:v>#N/A</c:v>
                </c:pt>
                <c:pt idx="685">
                  <c:v>#N/A</c:v>
                </c:pt>
                <c:pt idx="686">
                  <c:v>#N/A</c:v>
                </c:pt>
                <c:pt idx="687">
                  <c:v>#N/A</c:v>
                </c:pt>
                <c:pt idx="688">
                  <c:v>#N/A</c:v>
                </c:pt>
                <c:pt idx="689">
                  <c:v>#N/A</c:v>
                </c:pt>
                <c:pt idx="690">
                  <c:v>1047.6312517954011</c:v>
                </c:pt>
                <c:pt idx="691">
                  <c:v>#N/A</c:v>
                </c:pt>
                <c:pt idx="692">
                  <c:v>#N/A</c:v>
                </c:pt>
                <c:pt idx="693">
                  <c:v>#N/A</c:v>
                </c:pt>
                <c:pt idx="694">
                  <c:v>#N/A</c:v>
                </c:pt>
                <c:pt idx="695">
                  <c:v>#N/A</c:v>
                </c:pt>
                <c:pt idx="696">
                  <c:v>#N/A</c:v>
                </c:pt>
                <c:pt idx="697">
                  <c:v>#N/A</c:v>
                </c:pt>
                <c:pt idx="698">
                  <c:v>#N/A</c:v>
                </c:pt>
                <c:pt idx="699">
                  <c:v>#N/A</c:v>
                </c:pt>
                <c:pt idx="700">
                  <c:v>1085.0247385110176</c:v>
                </c:pt>
                <c:pt idx="701">
                  <c:v>#N/A</c:v>
                </c:pt>
                <c:pt idx="702">
                  <c:v>#N/A</c:v>
                </c:pt>
                <c:pt idx="703">
                  <c:v>#N/A</c:v>
                </c:pt>
                <c:pt idx="704">
                  <c:v>#N/A</c:v>
                </c:pt>
                <c:pt idx="705">
                  <c:v>#N/A</c:v>
                </c:pt>
                <c:pt idx="706">
                  <c:v>#N/A</c:v>
                </c:pt>
                <c:pt idx="707">
                  <c:v>#N/A</c:v>
                </c:pt>
                <c:pt idx="708">
                  <c:v>#N/A</c:v>
                </c:pt>
                <c:pt idx="709">
                  <c:v>#N/A</c:v>
                </c:pt>
                <c:pt idx="710">
                  <c:v>1122.0747395054359</c:v>
                </c:pt>
                <c:pt idx="711">
                  <c:v>#N/A</c:v>
                </c:pt>
                <c:pt idx="712">
                  <c:v>#N/A</c:v>
                </c:pt>
                <c:pt idx="713">
                  <c:v>#N/A</c:v>
                </c:pt>
                <c:pt idx="714">
                  <c:v>#N/A</c:v>
                </c:pt>
                <c:pt idx="715">
                  <c:v>#N/A</c:v>
                </c:pt>
                <c:pt idx="716">
                  <c:v>#N/A</c:v>
                </c:pt>
                <c:pt idx="717">
                  <c:v>#N/A</c:v>
                </c:pt>
                <c:pt idx="718">
                  <c:v>#N/A</c:v>
                </c:pt>
                <c:pt idx="719">
                  <c:v>#N/A</c:v>
                </c:pt>
                <c:pt idx="720">
                  <c:v>1158.7445477637036</c:v>
                </c:pt>
                <c:pt idx="721">
                  <c:v>#N/A</c:v>
                </c:pt>
                <c:pt idx="722">
                  <c:v>#N/A</c:v>
                </c:pt>
                <c:pt idx="723">
                  <c:v>#N/A</c:v>
                </c:pt>
                <c:pt idx="724">
                  <c:v>#N/A</c:v>
                </c:pt>
                <c:pt idx="725">
                  <c:v>#N/A</c:v>
                </c:pt>
                <c:pt idx="726">
                  <c:v>#N/A</c:v>
                </c:pt>
                <c:pt idx="727">
                  <c:v>#N/A</c:v>
                </c:pt>
                <c:pt idx="728">
                  <c:v>#N/A</c:v>
                </c:pt>
                <c:pt idx="729">
                  <c:v>#N/A</c:v>
                </c:pt>
                <c:pt idx="730">
                  <c:v>1194.9885365958385</c:v>
                </c:pt>
                <c:pt idx="731">
                  <c:v>#N/A</c:v>
                </c:pt>
                <c:pt idx="732">
                  <c:v>#N/A</c:v>
                </c:pt>
                <c:pt idx="733">
                  <c:v>#N/A</c:v>
                </c:pt>
                <c:pt idx="734">
                  <c:v>#N/A</c:v>
                </c:pt>
                <c:pt idx="735">
                  <c:v>#N/A</c:v>
                </c:pt>
                <c:pt idx="736">
                  <c:v>#N/A</c:v>
                </c:pt>
                <c:pt idx="737">
                  <c:v>#N/A</c:v>
                </c:pt>
                <c:pt idx="738">
                  <c:v>#N/A</c:v>
                </c:pt>
                <c:pt idx="739">
                  <c:v>#N/A</c:v>
                </c:pt>
                <c:pt idx="740">
                  <c:v>1230.7561047406687</c:v>
                </c:pt>
                <c:pt idx="741">
                  <c:v>#N/A</c:v>
                </c:pt>
                <c:pt idx="742">
                  <c:v>#N/A</c:v>
                </c:pt>
                <c:pt idx="743">
                  <c:v>#N/A</c:v>
                </c:pt>
                <c:pt idx="744">
                  <c:v>#N/A</c:v>
                </c:pt>
                <c:pt idx="745">
                  <c:v>#N/A</c:v>
                </c:pt>
                <c:pt idx="746">
                  <c:v>#N/A</c:v>
                </c:pt>
                <c:pt idx="747">
                  <c:v>#N/A</c:v>
                </c:pt>
                <c:pt idx="748">
                  <c:v>#N/A</c:v>
                </c:pt>
                <c:pt idx="749">
                  <c:v>#N/A</c:v>
                </c:pt>
                <c:pt idx="750">
                  <c:v>1265.9945237586564</c:v>
                </c:pt>
                <c:pt idx="751">
                  <c:v>#N/A</c:v>
                </c:pt>
                <c:pt idx="752">
                  <c:v>#N/A</c:v>
                </c:pt>
                <c:pt idx="753">
                  <c:v>#N/A</c:v>
                </c:pt>
                <c:pt idx="754">
                  <c:v>#N/A</c:v>
                </c:pt>
                <c:pt idx="755">
                  <c:v>#N/A</c:v>
                </c:pt>
                <c:pt idx="756">
                  <c:v>#N/A</c:v>
                </c:pt>
                <c:pt idx="757">
                  <c:v>#N/A</c:v>
                </c:pt>
                <c:pt idx="758">
                  <c:v>#N/A</c:v>
                </c:pt>
                <c:pt idx="759">
                  <c:v>#N/A</c:v>
                </c:pt>
                <c:pt idx="760">
                  <c:v>1300.6509350703059</c:v>
                </c:pt>
                <c:pt idx="761">
                  <c:v>#N/A</c:v>
                </c:pt>
                <c:pt idx="762">
                  <c:v>#N/A</c:v>
                </c:pt>
                <c:pt idx="763">
                  <c:v>#N/A</c:v>
                </c:pt>
                <c:pt idx="764">
                  <c:v>#N/A</c:v>
                </c:pt>
                <c:pt idx="765">
                  <c:v>#N/A</c:v>
                </c:pt>
                <c:pt idx="766">
                  <c:v>#N/A</c:v>
                </c:pt>
                <c:pt idx="767">
                  <c:v>#N/A</c:v>
                </c:pt>
                <c:pt idx="768">
                  <c:v>#N/A</c:v>
                </c:pt>
                <c:pt idx="769">
                  <c:v>#N/A</c:v>
                </c:pt>
                <c:pt idx="770">
                  <c:v>1334.6737653202372</c:v>
                </c:pt>
                <c:pt idx="771">
                  <c:v>#N/A</c:v>
                </c:pt>
                <c:pt idx="772">
                  <c:v>#N/A</c:v>
                </c:pt>
                <c:pt idx="773">
                  <c:v>#N/A</c:v>
                </c:pt>
                <c:pt idx="774">
                  <c:v>#N/A</c:v>
                </c:pt>
                <c:pt idx="775">
                  <c:v>#N/A</c:v>
                </c:pt>
                <c:pt idx="776">
                  <c:v>#N/A</c:v>
                </c:pt>
                <c:pt idx="777">
                  <c:v>#N/A</c:v>
                </c:pt>
                <c:pt idx="778">
                  <c:v>#N/A</c:v>
                </c:pt>
                <c:pt idx="779">
                  <c:v>#N/A</c:v>
                </c:pt>
                <c:pt idx="780">
                  <c:v>1368.0137524946458</c:v>
                </c:pt>
                <c:pt idx="781">
                  <c:v>#N/A</c:v>
                </c:pt>
                <c:pt idx="782">
                  <c:v>#N/A</c:v>
                </c:pt>
                <c:pt idx="783">
                  <c:v>#N/A</c:v>
                </c:pt>
                <c:pt idx="784">
                  <c:v>#N/A</c:v>
                </c:pt>
                <c:pt idx="785">
                  <c:v>#N/A</c:v>
                </c:pt>
                <c:pt idx="786">
                  <c:v>#N/A</c:v>
                </c:pt>
                <c:pt idx="787">
                  <c:v>#N/A</c:v>
                </c:pt>
                <c:pt idx="788">
                  <c:v>#N/A</c:v>
                </c:pt>
                <c:pt idx="789">
                  <c:v>#N/A</c:v>
                </c:pt>
                <c:pt idx="790">
                  <c:v>1400.6247045840976</c:v>
                </c:pt>
                <c:pt idx="791">
                  <c:v>#N/A</c:v>
                </c:pt>
                <c:pt idx="792">
                  <c:v>#N/A</c:v>
                </c:pt>
                <c:pt idx="793">
                  <c:v>#N/A</c:v>
                </c:pt>
                <c:pt idx="794">
                  <c:v>#N/A</c:v>
                </c:pt>
                <c:pt idx="795">
                  <c:v>#N/A</c:v>
                </c:pt>
                <c:pt idx="796">
                  <c:v>#N/A</c:v>
                </c:pt>
                <c:pt idx="797">
                  <c:v>#N/A</c:v>
                </c:pt>
                <c:pt idx="798">
                  <c:v>#N/A</c:v>
                </c:pt>
                <c:pt idx="799">
                  <c:v>#N/A</c:v>
                </c:pt>
                <c:pt idx="800">
                  <c:v>1432.4640651749714</c:v>
                </c:pt>
                <c:pt idx="801">
                  <c:v>#N/A</c:v>
                </c:pt>
                <c:pt idx="802">
                  <c:v>#N/A</c:v>
                </c:pt>
                <c:pt idx="803">
                  <c:v>#N/A</c:v>
                </c:pt>
                <c:pt idx="804">
                  <c:v>#N/A</c:v>
                </c:pt>
                <c:pt idx="805">
                  <c:v>#N/A</c:v>
                </c:pt>
                <c:pt idx="806">
                  <c:v>#N/A</c:v>
                </c:pt>
                <c:pt idx="807">
                  <c:v>#N/A</c:v>
                </c:pt>
                <c:pt idx="808">
                  <c:v>#N/A</c:v>
                </c:pt>
                <c:pt idx="809">
                  <c:v>#N/A</c:v>
                </c:pt>
                <c:pt idx="810">
                  <c:v>1463.4933315394887</c:v>
                </c:pt>
                <c:pt idx="811">
                  <c:v>#N/A</c:v>
                </c:pt>
                <c:pt idx="812">
                  <c:v>#N/A</c:v>
                </c:pt>
                <c:pt idx="813">
                  <c:v>#N/A</c:v>
                </c:pt>
                <c:pt idx="814">
                  <c:v>#N/A</c:v>
                </c:pt>
                <c:pt idx="815">
                  <c:v>#N/A</c:v>
                </c:pt>
                <c:pt idx="816">
                  <c:v>#N/A</c:v>
                </c:pt>
                <c:pt idx="817">
                  <c:v>#N/A</c:v>
                </c:pt>
                <c:pt idx="818">
                  <c:v>#N/A</c:v>
                </c:pt>
                <c:pt idx="819">
                  <c:v>#N/A</c:v>
                </c:pt>
                <c:pt idx="820">
                  <c:v>1493.6783539015626</c:v>
                </c:pt>
                <c:pt idx="821">
                  <c:v>#N/A</c:v>
                </c:pt>
                <c:pt idx="822">
                  <c:v>#N/A</c:v>
                </c:pt>
                <c:pt idx="823">
                  <c:v>#N/A</c:v>
                </c:pt>
                <c:pt idx="824">
                  <c:v>#N/A</c:v>
                </c:pt>
                <c:pt idx="825">
                  <c:v>#N/A</c:v>
                </c:pt>
                <c:pt idx="826">
                  <c:v>#N/A</c:v>
                </c:pt>
                <c:pt idx="827">
                  <c:v>#N/A</c:v>
                </c:pt>
                <c:pt idx="828">
                  <c:v>#N/A</c:v>
                </c:pt>
                <c:pt idx="829">
                  <c:v>#N/A</c:v>
                </c:pt>
                <c:pt idx="830">
                  <c:v>1522.9895348089231</c:v>
                </c:pt>
                <c:pt idx="831">
                  <c:v>#N/A</c:v>
                </c:pt>
                <c:pt idx="832">
                  <c:v>#N/A</c:v>
                </c:pt>
                <c:pt idx="833">
                  <c:v>#N/A</c:v>
                </c:pt>
                <c:pt idx="834">
                  <c:v>#N/A</c:v>
                </c:pt>
                <c:pt idx="835">
                  <c:v>#N/A</c:v>
                </c:pt>
                <c:pt idx="836">
                  <c:v>#N/A</c:v>
                </c:pt>
                <c:pt idx="837">
                  <c:v>#N/A</c:v>
                </c:pt>
                <c:pt idx="838">
                  <c:v>#N/A</c:v>
                </c:pt>
                <c:pt idx="839">
                  <c:v>#N/A</c:v>
                </c:pt>
                <c:pt idx="840">
                  <c:v>1551.4019419980043</c:v>
                </c:pt>
                <c:pt idx="841">
                  <c:v>#N/A</c:v>
                </c:pt>
                <c:pt idx="842">
                  <c:v>#N/A</c:v>
                </c:pt>
                <c:pt idx="843">
                  <c:v>#N/A</c:v>
                </c:pt>
                <c:pt idx="844">
                  <c:v>#N/A</c:v>
                </c:pt>
                <c:pt idx="845">
                  <c:v>#N/A</c:v>
                </c:pt>
                <c:pt idx="846">
                  <c:v>#N/A</c:v>
                </c:pt>
                <c:pt idx="847">
                  <c:v>#N/A</c:v>
                </c:pt>
                <c:pt idx="848">
                  <c:v>#N/A</c:v>
                </c:pt>
                <c:pt idx="849">
                  <c:v>#N/A</c:v>
                </c:pt>
                <c:pt idx="850">
                  <c:v>1578.895345056467</c:v>
                </c:pt>
                <c:pt idx="851">
                  <c:v>#N/A</c:v>
                </c:pt>
                <c:pt idx="852">
                  <c:v>#N/A</c:v>
                </c:pt>
                <c:pt idx="853">
                  <c:v>#N/A</c:v>
                </c:pt>
                <c:pt idx="854">
                  <c:v>#N/A</c:v>
                </c:pt>
                <c:pt idx="855">
                  <c:v>#N/A</c:v>
                </c:pt>
                <c:pt idx="856">
                  <c:v>#N/A</c:v>
                </c:pt>
                <c:pt idx="857">
                  <c:v>#N/A</c:v>
                </c:pt>
                <c:pt idx="858">
                  <c:v>#N/A</c:v>
                </c:pt>
                <c:pt idx="859">
                  <c:v>#N/A</c:v>
                </c:pt>
                <c:pt idx="860">
                  <c:v>1605.4541845423998</c:v>
                </c:pt>
                <c:pt idx="861">
                  <c:v>#N/A</c:v>
                </c:pt>
                <c:pt idx="862">
                  <c:v>#N/A</c:v>
                </c:pt>
                <c:pt idx="863">
                  <c:v>#N/A</c:v>
                </c:pt>
                <c:pt idx="864">
                  <c:v>#N/A</c:v>
                </c:pt>
                <c:pt idx="865">
                  <c:v>#N/A</c:v>
                </c:pt>
                <c:pt idx="866">
                  <c:v>#N/A</c:v>
                </c:pt>
                <c:pt idx="867">
                  <c:v>#N/A</c:v>
                </c:pt>
                <c:pt idx="868">
                  <c:v>#N/A</c:v>
                </c:pt>
                <c:pt idx="869">
                  <c:v>#N/A</c:v>
                </c:pt>
                <c:pt idx="870">
                  <c:v>1631.0674813949829</c:v>
                </c:pt>
                <c:pt idx="871">
                  <c:v>#N/A</c:v>
                </c:pt>
                <c:pt idx="872">
                  <c:v>#N/A</c:v>
                </c:pt>
                <c:pt idx="873">
                  <c:v>#N/A</c:v>
                </c:pt>
                <c:pt idx="874">
                  <c:v>#N/A</c:v>
                </c:pt>
                <c:pt idx="875">
                  <c:v>#N/A</c:v>
                </c:pt>
                <c:pt idx="876">
                  <c:v>#N/A</c:v>
                </c:pt>
                <c:pt idx="877">
                  <c:v>#N/A</c:v>
                </c:pt>
                <c:pt idx="878">
                  <c:v>#N/A</c:v>
                </c:pt>
                <c:pt idx="879">
                  <c:v>#N/A</c:v>
                </c:pt>
                <c:pt idx="880">
                  <c:v>1655.7286940942327</c:v>
                </c:pt>
                <c:pt idx="881">
                  <c:v>#N/A</c:v>
                </c:pt>
                <c:pt idx="882">
                  <c:v>#N/A</c:v>
                </c:pt>
                <c:pt idx="883">
                  <c:v>#N/A</c:v>
                </c:pt>
                <c:pt idx="884">
                  <c:v>#N/A</c:v>
                </c:pt>
                <c:pt idx="885">
                  <c:v>#N/A</c:v>
                </c:pt>
                <c:pt idx="886">
                  <c:v>#N/A</c:v>
                </c:pt>
                <c:pt idx="887">
                  <c:v>#N/A</c:v>
                </c:pt>
                <c:pt idx="888">
                  <c:v>#N/A</c:v>
                </c:pt>
                <c:pt idx="889">
                  <c:v>#N/A</c:v>
                </c:pt>
                <c:pt idx="890">
                  <c:v>1679.4355308651914</c:v>
                </c:pt>
                <c:pt idx="891">
                  <c:v>#N/A</c:v>
                </c:pt>
                <c:pt idx="892">
                  <c:v>#N/A</c:v>
                </c:pt>
                <c:pt idx="893">
                  <c:v>#N/A</c:v>
                </c:pt>
                <c:pt idx="894">
                  <c:v>#N/A</c:v>
                </c:pt>
                <c:pt idx="895">
                  <c:v>#N/A</c:v>
                </c:pt>
                <c:pt idx="896">
                  <c:v>#N/A</c:v>
                </c:pt>
                <c:pt idx="897">
                  <c:v>#N/A</c:v>
                </c:pt>
                <c:pt idx="898">
                  <c:v>#N/A</c:v>
                </c:pt>
                <c:pt idx="899">
                  <c:v>#N/A</c:v>
                </c:pt>
                <c:pt idx="900">
                  <c:v>1702.189724130033</c:v>
                </c:pt>
                <c:pt idx="901">
                  <c:v>#N/A</c:v>
                </c:pt>
                <c:pt idx="902">
                  <c:v>#N/A</c:v>
                </c:pt>
                <c:pt idx="903">
                  <c:v>#N/A</c:v>
                </c:pt>
                <c:pt idx="904">
                  <c:v>#N/A</c:v>
                </c:pt>
                <c:pt idx="905">
                  <c:v>#N/A</c:v>
                </c:pt>
                <c:pt idx="906">
                  <c:v>#N/A</c:v>
                </c:pt>
                <c:pt idx="907">
                  <c:v>#N/A</c:v>
                </c:pt>
                <c:pt idx="908">
                  <c:v>#N/A</c:v>
                </c:pt>
                <c:pt idx="909">
                  <c:v>#N/A</c:v>
                </c:pt>
                <c:pt idx="910">
                  <c:v>1723.9967743016541</c:v>
                </c:pt>
                <c:pt idx="911">
                  <c:v>#N/A</c:v>
                </c:pt>
                <c:pt idx="912">
                  <c:v>#N/A</c:v>
                </c:pt>
                <c:pt idx="913">
                  <c:v>#N/A</c:v>
                </c:pt>
                <c:pt idx="914">
                  <c:v>#N/A</c:v>
                </c:pt>
                <c:pt idx="915">
                  <c:v>#N/A</c:v>
                </c:pt>
                <c:pt idx="916">
                  <c:v>#N/A</c:v>
                </c:pt>
                <c:pt idx="917">
                  <c:v>#N/A</c:v>
                </c:pt>
                <c:pt idx="918">
                  <c:v>#N/A</c:v>
                </c:pt>
                <c:pt idx="919">
                  <c:v>#N/A</c:v>
                </c:pt>
                <c:pt idx="920">
                  <c:v>1744.8656698336381</c:v>
                </c:pt>
                <c:pt idx="921">
                  <c:v>#N/A</c:v>
                </c:pt>
                <c:pt idx="922">
                  <c:v>#N/A</c:v>
                </c:pt>
                <c:pt idx="923">
                  <c:v>#N/A</c:v>
                </c:pt>
                <c:pt idx="924">
                  <c:v>#N/A</c:v>
                </c:pt>
                <c:pt idx="925">
                  <c:v>#N/A</c:v>
                </c:pt>
                <c:pt idx="926">
                  <c:v>#N/A</c:v>
                </c:pt>
                <c:pt idx="927">
                  <c:v>#N/A</c:v>
                </c:pt>
                <c:pt idx="928">
                  <c:v>#N/A</c:v>
                </c:pt>
                <c:pt idx="929">
                  <c:v>#N/A</c:v>
                </c:pt>
                <c:pt idx="930">
                  <c:v>1764.8085901692084</c:v>
                </c:pt>
                <c:pt idx="931">
                  <c:v>#N/A</c:v>
                </c:pt>
                <c:pt idx="932">
                  <c:v>#N/A</c:v>
                </c:pt>
                <c:pt idx="933">
                  <c:v>#N/A</c:v>
                </c:pt>
                <c:pt idx="934">
                  <c:v>#N/A</c:v>
                </c:pt>
                <c:pt idx="935">
                  <c:v>#N/A</c:v>
                </c:pt>
                <c:pt idx="936">
                  <c:v>#N/A</c:v>
                </c:pt>
                <c:pt idx="937">
                  <c:v>#N/A</c:v>
                </c:pt>
                <c:pt idx="938">
                  <c:v>#N/A</c:v>
                </c:pt>
                <c:pt idx="939">
                  <c:v>#N/A</c:v>
                </c:pt>
                <c:pt idx="940">
                  <c:v>1783.8405978593189</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xVal>
          <c:yVal>
            <c:numRef>
              <c:f>Calculs!$K$4:$K$1004</c:f>
              <c:numCache>
                <c:formatCode>0.00</c:formatCode>
                <c:ptCount val="1001"/>
                <c:pt idx="0">
                  <c:v>0</c:v>
                </c:pt>
                <c:pt idx="1">
                  <c:v>4.4279572656441422E-4</c:v>
                </c:pt>
                <c:pt idx="2">
                  <c:v>2.7845659552549399E-3</c:v>
                </c:pt>
                <c:pt idx="3">
                  <c:v>8.4593506145101884E-3</c:v>
                </c:pt>
                <c:pt idx="4">
                  <c:v>1.8308779906268193E-2</c:v>
                </c:pt>
                <c:pt idx="5">
                  <c:v>3.3175168883948745E-2</c:v>
                </c:pt>
                <c:pt idx="6">
                  <c:v>5.3901621016958577E-2</c:v>
                </c:pt>
                <c:pt idx="7">
                  <c:v>8.1332131042135242E-2</c:v>
                </c:pt>
                <c:pt idx="8">
                  <c:v>0.11631168714046478</c:v>
                </c:pt>
                <c:pt idx="9">
                  <c:v>0.1596863724764486</c:v>
                </c:pt>
                <c:pt idx="10">
                  <c:v>0.21230346613657358</c:v>
                </c:pt>
                <c:pt idx="11">
                  <c:v>0.27476944495113026</c:v>
                </c:pt>
                <c:pt idx="12">
                  <c:v>0.34720740833581992</c:v>
                </c:pt>
                <c:pt idx="13">
                  <c:v>0.429496537796903</c:v>
                </c:pt>
                <c:pt idx="14">
                  <c:v>0.52151208103113078</c:v>
                </c:pt>
                <c:pt idx="15">
                  <c:v>0.62312719351328583</c:v>
                </c:pt>
                <c:pt idx="16">
                  <c:v>0.73421478414008723</c:v>
                </c:pt>
                <c:pt idx="17">
                  <c:v>0.85464751921865045</c:v>
                </c:pt>
                <c:pt idx="18">
                  <c:v>0.9842978264538047</c:v>
                </c:pt>
                <c:pt idx="19">
                  <c:v>1.1230378989337295</c:v>
                </c:pt>
                <c:pt idx="20">
                  <c:v>1.2707396991133766</c:v>
                </c:pt>
                <c:pt idx="21">
                  <c:v>1.4272749627951438</c:v>
                </c:pt>
                <c:pt idx="22">
                  <c:v>1.592515203106273</c:v>
                </c:pt>
                <c:pt idx="23">
                  <c:v>1.7663317144724466</c:v>
                </c:pt>
                <c:pt idx="24">
                  <c:v>1.9485955765870577</c:v>
                </c:pt>
                <c:pt idx="25">
                  <c:v>2.1391776583756372</c:v>
                </c:pt>
                <c:pt idx="26">
                  <c:v>2.3379486219549204</c:v>
                </c:pt>
                <c:pt idx="27">
                  <c:v>2.5448114640407384</c:v>
                </c:pt>
                <c:pt idx="28">
                  <c:v>2.7597341126961408</c:v>
                </c:pt>
                <c:pt idx="29">
                  <c:v>2.9827169737567556</c:v>
                </c:pt>
                <c:pt idx="30">
                  <c:v>3.213760419916297</c:v>
                </c:pt>
                <c:pt idx="31">
                  <c:v>3.4528647906839045</c:v>
                </c:pt>
                <c:pt idx="32">
                  <c:v>3.7000303923421236</c:v>
                </c:pt>
                <c:pt idx="33">
                  <c:v>3.9552574979055302</c:v>
                </c:pt>
                <c:pt idx="34">
                  <c:v>4.2185315499017708</c:v>
                </c:pt>
                <c:pt idx="35">
                  <c:v>4.4898374653202602</c:v>
                </c:pt>
                <c:pt idx="36">
                  <c:v>4.7691744365682753</c:v>
                </c:pt>
                <c:pt idx="37">
                  <c:v>5.0565416370551262</c:v>
                </c:pt>
                <c:pt idx="38">
                  <c:v>5.3519382274349248</c:v>
                </c:pt>
                <c:pt idx="39">
                  <c:v>5.6553633545803503</c:v>
                </c:pt>
                <c:pt idx="40">
                  <c:v>5.9668161506299482</c:v>
                </c:pt>
                <c:pt idx="41">
                  <c:v>6.2862957321018547</c:v>
                </c:pt>
                <c:pt idx="42">
                  <c:v>6.6138011990677033</c:v>
                </c:pt>
                <c:pt idx="43">
                  <c:v>6.9493316343811893</c:v>
                </c:pt>
                <c:pt idx="44">
                  <c:v>7.2928861029564178</c:v>
                </c:pt>
                <c:pt idx="45">
                  <c:v>7.6444636510916872</c:v>
                </c:pt>
                <c:pt idx="46">
                  <c:v>8.0040633058348529</c:v>
                </c:pt>
                <c:pt idx="47">
                  <c:v>8.3716840743868115</c:v>
                </c:pt>
                <c:pt idx="48">
                  <c:v>8.7473249435400202</c:v>
                </c:pt>
                <c:pt idx="49">
                  <c:v>9.1309848791492794</c:v>
                </c:pt>
                <c:pt idx="50">
                  <c:v>9.5226628256322758</c:v>
                </c:pt>
                <c:pt idx="51">
                  <c:v>9.9223577054976317</c:v>
                </c:pt>
                <c:pt idx="52">
                  <c:v>10.33006841889844</c:v>
                </c:pt>
                <c:pt idx="53">
                  <c:v>10.745793843209418</c:v>
                </c:pt>
                <c:pt idx="54">
                  <c:v>11.169532832626027</c:v>
                </c:pt>
                <c:pt idx="55">
                  <c:v>11.601284217784031</c:v>
                </c:pt>
                <c:pt idx="56">
                  <c:v>12.041046805398096</c:v>
                </c:pt>
                <c:pt idx="57">
                  <c:v>12.488819377918182</c:v>
                </c:pt>
                <c:pt idx="58">
                  <c:v>12.944600693202551</c:v>
                </c:pt>
                <c:pt idx="59">
                  <c:v>13.40838948420636</c:v>
                </c:pt>
                <c:pt idx="60">
                  <c:v>13.880184458684836</c:v>
                </c:pt>
                <c:pt idx="61">
                  <c:v>14.359984298910158</c:v>
                </c:pt>
                <c:pt idx="62">
                  <c:v>14.847787661401227</c:v>
                </c:pt>
                <c:pt idx="63">
                  <c:v>15.343593176665555</c:v>
                </c:pt>
                <c:pt idx="64">
                  <c:v>15.847399448952586</c:v>
                </c:pt>
                <c:pt idx="65">
                  <c:v>16.3592050560178</c:v>
                </c:pt>
                <c:pt idx="66">
                  <c:v>16.879008548897001</c:v>
                </c:pt>
                <c:pt idx="67">
                  <c:v>17.406808451690249</c:v>
                </c:pt>
                <c:pt idx="68">
                  <c:v>17.942603261354897</c:v>
                </c:pt>
                <c:pt idx="69">
                  <c:v>18.486391447507291</c:v>
                </c:pt>
                <c:pt idx="70">
                  <c:v>19.038171452232671</c:v>
                </c:pt>
                <c:pt idx="71">
                  <c:v>19.597941689902861</c:v>
                </c:pt>
                <c:pt idx="72">
                  <c:v>20.165700175768404</c:v>
                </c:pt>
                <c:pt idx="73">
                  <c:v>20.741444154050047</c:v>
                </c:pt>
                <c:pt idx="74">
                  <c:v>21.325170468296179</c:v>
                </c:pt>
                <c:pt idx="75">
                  <c:v>21.91687593226121</c:v>
                </c:pt>
                <c:pt idx="76">
                  <c:v>22.516557329770823</c:v>
                </c:pt>
                <c:pt idx="77">
                  <c:v>23.124211414593258</c:v>
                </c:pt>
                <c:pt idx="78">
                  <c:v>23.739834910316418</c:v>
                </c:pt>
                <c:pt idx="79">
                  <c:v>24.363424510230509</c:v>
                </c:pt>
                <c:pt idx="80">
                  <c:v>24.994976877216001</c:v>
                </c:pt>
                <c:pt idx="81">
                  <c:v>25.63448864363669</c:v>
                </c:pt>
                <c:pt idx="82">
                  <c:v>26.281956411237637</c:v>
                </c:pt>
                <c:pt idx="83">
                  <c:v>26.937376751047807</c:v>
                </c:pt>
                <c:pt idx="84">
                  <c:v>27.600746203287237</c:v>
                </c:pt>
                <c:pt idx="85">
                  <c:v>28.272061277278503</c:v>
                </c:pt>
                <c:pt idx="86">
                  <c:v>28.951318451362411</c:v>
                </c:pt>
                <c:pt idx="87">
                  <c:v>29.638514172817686</c:v>
                </c:pt>
                <c:pt idx="88">
                  <c:v>30.333644857784545</c:v>
                </c:pt>
                <c:pt idx="89">
                  <c:v>31.036706891192008</c:v>
                </c:pt>
                <c:pt idx="90">
                  <c:v>31.747696626688839</c:v>
                </c:pt>
                <c:pt idx="91">
                  <c:v>32.466610386577962</c:v>
                </c:pt>
                <c:pt idx="92">
                  <c:v>33.193444461754254</c:v>
                </c:pt>
                <c:pt idx="93">
                  <c:v>33.928195111645628</c:v>
                </c:pt>
                <c:pt idx="94">
                  <c:v>34.670858564157228</c:v>
                </c:pt>
                <c:pt idx="95">
                  <c:v>35.42143101561873</c:v>
                </c:pt>
                <c:pt idx="96">
                  <c:v>36.179908630734609</c:v>
                </c:pt>
                <c:pt idx="97">
                  <c:v>36.946287542537256</c:v>
                </c:pt>
                <c:pt idx="98">
                  <c:v>37.72056385234292</c:v>
                </c:pt>
                <c:pt idx="99">
                  <c:v>38.502733629710349</c:v>
                </c:pt>
                <c:pt idx="100">
                  <c:v>39.292792912402064</c:v>
                </c:pt>
                <c:pt idx="101">
                  <c:v>40.090737706348229</c:v>
                </c:pt>
                <c:pt idx="102">
                  <c:v>40.896563985612978</c:v>
                </c:pt>
                <c:pt idx="103">
                  <c:v>41.710267692363189</c:v>
                </c:pt>
                <c:pt idx="104">
                  <c:v>42.531844736839631</c:v>
                </c:pt>
                <c:pt idx="105">
                  <c:v>43.361290997330386</c:v>
                </c:pt>
                <c:pt idx="106">
                  <c:v>44.198602320146563</c:v>
                </c:pt>
                <c:pt idx="107">
                  <c:v>45.043774519600177</c:v>
                </c:pt>
                <c:pt idx="108">
                  <c:v>45.896803377984163</c:v>
                </c:pt>
                <c:pt idx="109">
                  <c:v>46.757684645554498</c:v>
                </c:pt>
                <c:pt idx="110">
                  <c:v>47.626414040514348</c:v>
                </c:pt>
                <c:pt idx="111">
                  <c:v>48.502987249000228</c:v>
                </c:pt>
                <c:pt idx="112">
                  <c:v>49.387399925070085</c:v>
                </c:pt>
                <c:pt idx="113">
                  <c:v>50.279647690693338</c:v>
                </c:pt>
                <c:pt idx="114">
                  <c:v>51.179726135742719</c:v>
                </c:pt>
                <c:pt idx="115">
                  <c:v>52.087630817988</c:v>
                </c:pt>
                <c:pt idx="116">
                  <c:v>53.003357263091495</c:v>
                </c:pt>
                <c:pt idx="117">
                  <c:v>53.926900964605295</c:v>
                </c:pt>
                <c:pt idx="118">
                  <c:v>54.858257383970262</c:v>
                </c:pt>
                <c:pt idx="119">
                  <c:v>55.797421950516672</c:v>
                </c:pt>
                <c:pt idx="120">
                  <c:v>56.74439006146654</c:v>
                </c:pt>
                <c:pt idx="121">
                  <c:v>57.699157081937571</c:v>
                </c:pt>
                <c:pt idx="122">
                  <c:v>58.661718344948689</c:v>
                </c:pt>
                <c:pt idx="123">
                  <c:v>59.632069151427139</c:v>
                </c:pt>
                <c:pt idx="124">
                  <c:v>60.610204770217138</c:v>
                </c:pt>
                <c:pt idx="125">
                  <c:v>61.596120438090033</c:v>
                </c:pt>
                <c:pt idx="126">
                  <c:v>62.589811359755934</c:v>
                </c:pt>
                <c:pt idx="127">
                  <c:v>63.591272707876847</c:v>
                </c:pt>
                <c:pt idx="128">
                  <c:v>64.600499623081177</c:v>
                </c:pt>
                <c:pt idx="129">
                  <c:v>65.617485503560786</c:v>
                </c:pt>
                <c:pt idx="130">
                  <c:v>66.642220292654955</c:v>
                </c:pt>
                <c:pt idx="131">
                  <c:v>67.674692186725679</c:v>
                </c:pt>
                <c:pt idx="132">
                  <c:v>68.714889345092374</c:v>
                </c:pt>
                <c:pt idx="133">
                  <c:v>69.762799890141025</c:v>
                </c:pt>
                <c:pt idx="134">
                  <c:v>70.818411907434822</c:v>
                </c:pt>
                <c:pt idx="135">
                  <c:v>71.881713445826264</c:v>
                </c:pt>
                <c:pt idx="136">
                  <c:v>72.952692517570782</c:v>
                </c:pt>
                <c:pt idx="137">
                  <c:v>74.031337098441824</c:v>
                </c:pt>
                <c:pt idx="138">
                  <c:v>75.117635127847279</c:v>
                </c:pt>
                <c:pt idx="139">
                  <c:v>76.211574508947365</c:v>
                </c:pt>
                <c:pt idx="140">
                  <c:v>77.313143108773858</c:v>
                </c:pt>
                <c:pt idx="141">
                  <c:v>78.422328758350659</c:v>
                </c:pt>
                <c:pt idx="142">
                  <c:v>79.539119252815667</c:v>
                </c:pt>
                <c:pt idx="143">
                  <c:v>80.663502351543983</c:v>
                </c:pt>
                <c:pt idx="144">
                  <c:v>81.795465778272359</c:v>
                </c:pt>
                <c:pt idx="145">
                  <c:v>82.934997221224876</c:v>
                </c:pt>
                <c:pt idx="146">
                  <c:v>84.082084333239891</c:v>
                </c:pt>
                <c:pt idx="147">
                  <c:v>85.236714731898161</c:v>
                </c:pt>
                <c:pt idx="148">
                  <c:v>86.398875999652148</c:v>
                </c:pt>
                <c:pt idx="149">
                  <c:v>87.568555683956518</c:v>
                </c:pt>
                <c:pt idx="150">
                  <c:v>88.745741297399718</c:v>
                </c:pt>
                <c:pt idx="151">
                  <c:v>89.930420317836763</c:v>
                </c:pt>
                <c:pt idx="152">
                  <c:v>91.12258018852306</c:v>
                </c:pt>
                <c:pt idx="153">
                  <c:v>92.322208318249324</c:v>
                </c:pt>
                <c:pt idx="154">
                  <c:v>93.529292081477607</c:v>
                </c:pt>
                <c:pt idx="155">
                  <c:v>94.743818818478303</c:v>
                </c:pt>
                <c:pt idx="156">
                  <c:v>95.965775835468264</c:v>
                </c:pt>
                <c:pt idx="157">
                  <c:v>97.195150404749867</c:v>
                </c:pt>
                <c:pt idx="158">
                  <c:v>98.431929764851077</c:v>
                </c:pt>
                <c:pt idx="159">
                  <c:v>99.676101120666544</c:v>
                </c:pt>
                <c:pt idx="160">
                  <c:v>100.92765164359959</c:v>
                </c:pt>
                <c:pt idx="161">
                  <c:v>102.18656847170519</c:v>
                </c:pt>
                <c:pt idx="162">
                  <c:v>103.45283870983388</c:v>
                </c:pt>
                <c:pt idx="163">
                  <c:v>104.72644942977657</c:v>
                </c:pt>
                <c:pt idx="164">
                  <c:v>106.0073876704102</c:v>
                </c:pt>
                <c:pt idx="165">
                  <c:v>107.2956404378444</c:v>
                </c:pt>
                <c:pt idx="166">
                  <c:v>108.5911947055689</c:v>
                </c:pt>
                <c:pt idx="167">
                  <c:v>109.89403741460185</c:v>
                </c:pt>
                <c:pt idx="168">
                  <c:v>111.20415547363901</c:v>
                </c:pt>
                <c:pt idx="169">
                  <c:v>112.5215357592036</c:v>
                </c:pt>
                <c:pt idx="170">
                  <c:v>113.84616511579723</c:v>
                </c:pt>
                <c:pt idx="171">
                  <c:v>115.17803035605138</c:v>
                </c:pt>
                <c:pt idx="172">
                  <c:v>116.51711826087977</c:v>
                </c:pt>
                <c:pt idx="173">
                  <c:v>117.86341557963149</c:v>
                </c:pt>
                <c:pt idx="174">
                  <c:v>119.21690903024488</c:v>
                </c:pt>
                <c:pt idx="175">
                  <c:v>120.57758529940213</c:v>
                </c:pt>
                <c:pt idx="176">
                  <c:v>121.94543104268463</c:v>
                </c:pt>
                <c:pt idx="177">
                  <c:v>123.32043288472903</c:v>
                </c:pt>
                <c:pt idx="178">
                  <c:v>124.70257741938399</c:v>
                </c:pt>
                <c:pt idx="179">
                  <c:v>126.09185120986761</c:v>
                </c:pt>
                <c:pt idx="180">
                  <c:v>127.48824078892561</c:v>
                </c:pt>
                <c:pt idx="181">
                  <c:v>128.89173265899001</c:v>
                </c:pt>
                <c:pt idx="182">
                  <c:v>130.30231329233868</c:v>
                </c:pt>
                <c:pt idx="183">
                  <c:v>131.71996913125531</c:v>
                </c:pt>
                <c:pt idx="184">
                  <c:v>133.14468658819018</c:v>
                </c:pt>
                <c:pt idx="185">
                  <c:v>134.5764520459214</c:v>
                </c:pt>
                <c:pt idx="186">
                  <c:v>136.01525185771692</c:v>
                </c:pt>
                <c:pt idx="187">
                  <c:v>137.46107234749695</c:v>
                </c:pt>
                <c:pt idx="188">
                  <c:v>138.91389980999708</c:v>
                </c:pt>
                <c:pt idx="189">
                  <c:v>140.37372051093192</c:v>
                </c:pt>
                <c:pt idx="190">
                  <c:v>141.84052068715931</c:v>
                </c:pt>
                <c:pt idx="191">
                  <c:v>143.3142865468451</c:v>
                </c:pt>
                <c:pt idx="192">
                  <c:v>144.79500426962835</c:v>
                </c:pt>
                <c:pt idx="193">
                  <c:v>146.28266000678727</c:v>
                </c:pt>
                <c:pt idx="194">
                  <c:v>147.77723988140539</c:v>
                </c:pt>
                <c:pt idx="195">
                  <c:v>149.27872998853849</c:v>
                </c:pt>
                <c:pt idx="196">
                  <c:v>150.78711639538182</c:v>
                </c:pt>
                <c:pt idx="197">
                  <c:v>152.30238514143795</c:v>
                </c:pt>
                <c:pt idx="198">
                  <c:v>153.82452223868503</c:v>
                </c:pt>
                <c:pt idx="199">
                  <c:v>155.35351367174545</c:v>
                </c:pt>
                <c:pt idx="200">
                  <c:v>156.88934539805496</c:v>
                </c:pt>
                <c:pt idx="201">
                  <c:v>158.43200334803237</c:v>
                </c:pt>
                <c:pt idx="202">
                  <c:v>159.9814734252495</c:v>
                </c:pt>
                <c:pt idx="203">
                  <c:v>161.53774150660163</c:v>
                </c:pt>
                <c:pt idx="204">
                  <c:v>163.10079344247833</c:v>
                </c:pt>
                <c:pt idx="205">
                  <c:v>164.67061505693471</c:v>
                </c:pt>
                <c:pt idx="206">
                  <c:v>166.24719173060396</c:v>
                </c:pt>
                <c:pt idx="207">
                  <c:v>167.83050798329563</c:v>
                </c:pt>
                <c:pt idx="208">
                  <c:v>169.42054789113925</c:v>
                </c:pt>
                <c:pt idx="209">
                  <c:v>171.01729550405503</c:v>
                </c:pt>
                <c:pt idx="210">
                  <c:v>172.62073484595024</c:v>
                </c:pt>
                <c:pt idx="211">
                  <c:v>174.23084991491604</c:v>
                </c:pt>
                <c:pt idx="212">
                  <c:v>175.84762468342444</c:v>
                </c:pt>
                <c:pt idx="213">
                  <c:v>177.47104309852568</c:v>
                </c:pt>
                <c:pt idx="214">
                  <c:v>179.10108908204572</c:v>
                </c:pt>
                <c:pt idx="215">
                  <c:v>180.73774653078399</c:v>
                </c:pt>
                <c:pt idx="216">
                  <c:v>182.38099931671158</c:v>
                </c:pt>
                <c:pt idx="217">
                  <c:v>184.03083128716938</c:v>
                </c:pt>
                <c:pt idx="218">
                  <c:v>185.68722626506656</c:v>
                </c:pt>
                <c:pt idx="219">
                  <c:v>187.35016804907931</c:v>
                </c:pt>
                <c:pt idx="220">
                  <c:v>189.01964041384969</c:v>
                </c:pt>
                <c:pt idx="221">
                  <c:v>190.69562711018463</c:v>
                </c:pt>
                <c:pt idx="222">
                  <c:v>192.37811186525525</c:v>
                </c:pt>
                <c:pt idx="223">
                  <c:v>194.06707838279615</c:v>
                </c:pt>
                <c:pt idx="224">
                  <c:v>195.76251034330505</c:v>
                </c:pt>
                <c:pt idx="225">
                  <c:v>197.46439140424241</c:v>
                </c:pt>
                <c:pt idx="226">
                  <c:v>199.17270520023123</c:v>
                </c:pt>
                <c:pt idx="227">
                  <c:v>200.8874353432571</c:v>
                </c:pt>
                <c:pt idx="228">
                  <c:v>202.60856542286811</c:v>
                </c:pt>
                <c:pt idx="229">
                  <c:v>204.33607900637509</c:v>
                </c:pt>
                <c:pt idx="230">
                  <c:v>206.0699596390518</c:v>
                </c:pt>
                <c:pt idx="231">
                  <c:v>207.81019084433535</c:v>
                </c:pt>
                <c:pt idx="232">
                  <c:v>209.55675612402646</c:v>
                </c:pt>
                <c:pt idx="233">
                  <c:v>211.30963895849001</c:v>
                </c:pt>
                <c:pt idx="234">
                  <c:v>213.06882280685559</c:v>
                </c:pt>
                <c:pt idx="235">
                  <c:v>214.83429110721798</c:v>
                </c:pt>
                <c:pt idx="236">
                  <c:v>216.60602727683781</c:v>
                </c:pt>
                <c:pt idx="237">
                  <c:v>218.38401471234209</c:v>
                </c:pt>
                <c:pt idx="238">
                  <c:v>220.168236789925</c:v>
                </c:pt>
                <c:pt idx="239">
                  <c:v>221.9586768655484</c:v>
                </c:pt>
                <c:pt idx="240">
                  <c:v>223.75531827514251</c:v>
                </c:pt>
                <c:pt idx="241">
                  <c:v>225.55814433480657</c:v>
                </c:pt>
                <c:pt idx="242">
                  <c:v>227.36713689740657</c:v>
                </c:pt>
                <c:pt idx="243">
                  <c:v>229.18227490839107</c:v>
                </c:pt>
                <c:pt idx="244">
                  <c:v>231.00353584916806</c:v>
                </c:pt>
                <c:pt idx="245">
                  <c:v>232.83089718130574</c:v>
                </c:pt>
                <c:pt idx="246">
                  <c:v>234.66433634681687</c:v>
                </c:pt>
                <c:pt idx="247">
                  <c:v>236.50383076844264</c:v>
                </c:pt>
                <c:pt idx="248">
                  <c:v>238.34935784993638</c:v>
                </c:pt>
                <c:pt idx="249">
                  <c:v>240.2008949763466</c:v>
                </c:pt>
                <c:pt idx="250">
                  <c:v>242.0584195142998</c:v>
                </c:pt>
                <c:pt idx="251">
                  <c:v>243.92190881228277</c:v>
                </c:pt>
                <c:pt idx="252">
                  <c:v>245.79134020092451</c:v>
                </c:pt>
                <c:pt idx="253">
                  <c:v>247.66669099327771</c:v>
                </c:pt>
                <c:pt idx="254">
                  <c:v>249.54793848509965</c:v>
                </c:pt>
                <c:pt idx="255">
                  <c:v>251.4350599551328</c:v>
                </c:pt>
                <c:pt idx="256">
                  <c:v>253.32803266538477</c:v>
                </c:pt>
                <c:pt idx="257">
                  <c:v>255.2268338614079</c:v>
                </c:pt>
                <c:pt idx="258">
                  <c:v>257.13144077257829</c:v>
                </c:pt>
                <c:pt idx="259">
                  <c:v>259.04183061237421</c:v>
                </c:pt>
                <c:pt idx="260">
                  <c:v>260.9579805786542</c:v>
                </c:pt>
                <c:pt idx="261">
                  <c:v>262.8798678539344</c:v>
                </c:pt>
                <c:pt idx="262">
                  <c:v>264.80746960566546</c:v>
                </c:pt>
                <c:pt idx="263">
                  <c:v>266.74076298650891</c:v>
                </c:pt>
                <c:pt idx="264">
                  <c:v>268.67972513461274</c:v>
                </c:pt>
                <c:pt idx="265">
                  <c:v>270.62433317388667</c:v>
                </c:pt>
                <c:pt idx="266">
                  <c:v>272.57456421427668</c:v>
                </c:pt>
                <c:pt idx="267">
                  <c:v>274.53039535203885</c:v>
                </c:pt>
                <c:pt idx="268">
                  <c:v>276.49180367001287</c:v>
                </c:pt>
                <c:pt idx="269">
                  <c:v>278.45876623789445</c:v>
                </c:pt>
                <c:pt idx="270">
                  <c:v>280.43126011250763</c:v>
                </c:pt>
                <c:pt idx="271">
                  <c:v>282.40926233807602</c:v>
                </c:pt>
                <c:pt idx="272">
                  <c:v>284.3927499464935</c:v>
                </c:pt>
                <c:pt idx="273">
                  <c:v>286.38169995759444</c:v>
                </c:pt>
                <c:pt idx="274">
                  <c:v>288.37608937942298</c:v>
                </c:pt>
                <c:pt idx="275">
                  <c:v>290.37589520850162</c:v>
                </c:pt>
                <c:pt idx="276">
                  <c:v>292.38109443009938</c:v>
                </c:pt>
                <c:pt idx="277">
                  <c:v>294.39166401849894</c:v>
                </c:pt>
                <c:pt idx="278">
                  <c:v>296.40758093726328</c:v>
                </c:pt>
                <c:pt idx="279">
                  <c:v>298.42882213950139</c:v>
                </c:pt>
                <c:pt idx="280">
                  <c:v>300.45536456813352</c:v>
                </c:pt>
                <c:pt idx="281">
                  <c:v>302.48718515615536</c:v>
                </c:pt>
                <c:pt idx="282">
                  <c:v>304.52426082690164</c:v>
                </c:pt>
                <c:pt idx="283">
                  <c:v>306.56656849430897</c:v>
                </c:pt>
                <c:pt idx="284">
                  <c:v>308.61408675959296</c:v>
                </c:pt>
                <c:pt idx="285">
                  <c:v>310.6667976083549</c:v>
                </c:pt>
                <c:pt idx="286">
                  <c:v>312.72468471406745</c:v>
                </c:pt>
                <c:pt idx="287">
                  <c:v>314.78773174108568</c:v>
                </c:pt>
                <c:pt idx="288">
                  <c:v>316.85592234481788</c:v>
                </c:pt>
                <c:pt idx="289">
                  <c:v>318.92924017189574</c:v>
                </c:pt>
                <c:pt idx="290">
                  <c:v>321.00766886034449</c:v>
                </c:pt>
                <c:pt idx="291">
                  <c:v>323.09119203975251</c:v>
                </c:pt>
                <c:pt idx="292">
                  <c:v>325.17979333144058</c:v>
                </c:pt>
                <c:pt idx="293">
                  <c:v>327.2734563486307</c:v>
                </c:pt>
                <c:pt idx="294">
                  <c:v>329.37216469661479</c:v>
                </c:pt>
                <c:pt idx="295">
                  <c:v>331.47590197292254</c:v>
                </c:pt>
                <c:pt idx="296">
                  <c:v>333.58465176748928</c:v>
                </c:pt>
                <c:pt idx="297">
                  <c:v>335.69839766282314</c:v>
                </c:pt>
                <c:pt idx="298">
                  <c:v>337.81712323417213</c:v>
                </c:pt>
                <c:pt idx="299">
                  <c:v>339.94081204969046</c:v>
                </c:pt>
                <c:pt idx="300">
                  <c:v>342.06944767060475</c:v>
                </c:pt>
                <c:pt idx="301">
                  <c:v>344.20301365137954</c:v>
                </c:pt>
                <c:pt idx="302">
                  <c:v>346.34149353988255</c:v>
                </c:pt>
                <c:pt idx="303">
                  <c:v>348.48487087754961</c:v>
                </c:pt>
                <c:pt idx="304">
                  <c:v>350.63312919954882</c:v>
                </c:pt>
                <c:pt idx="305">
                  <c:v>352.7862520349446</c:v>
                </c:pt>
                <c:pt idx="306">
                  <c:v>354.94422290686106</c:v>
                </c:pt>
                <c:pt idx="307">
                  <c:v>357.10702533264521</c:v>
                </c:pt>
                <c:pt idx="308">
                  <c:v>359.27464282402934</c:v>
                </c:pt>
                <c:pt idx="309">
                  <c:v>361.44705888729322</c:v>
                </c:pt>
                <c:pt idx="310">
                  <c:v>363.62425702342574</c:v>
                </c:pt>
                <c:pt idx="311">
                  <c:v>365.80622072828618</c:v>
                </c:pt>
                <c:pt idx="312">
                  <c:v>367.99293349276485</c:v>
                </c:pt>
                <c:pt idx="313">
                  <c:v>370.18437880294334</c:v>
                </c:pt>
                <c:pt idx="314">
                  <c:v>372.38054014025431</c:v>
                </c:pt>
                <c:pt idx="315">
                  <c:v>374.5814009816408</c:v>
                </c:pt>
                <c:pt idx="316">
                  <c:v>376.78694479971506</c:v>
                </c:pt>
                <c:pt idx="317">
                  <c:v>378.99715506291682</c:v>
                </c:pt>
                <c:pt idx="318">
                  <c:v>381.212015235671</c:v>
                </c:pt>
                <c:pt idx="319">
                  <c:v>383.43150877854532</c:v>
                </c:pt>
                <c:pt idx="320">
                  <c:v>385.65561914840691</c:v>
                </c:pt>
                <c:pt idx="321">
                  <c:v>387.88432979857862</c:v>
                </c:pt>
                <c:pt idx="322">
                  <c:v>390.1176241789949</c:v>
                </c:pt>
                <c:pt idx="323">
                  <c:v>392.35548573635714</c:v>
                </c:pt>
                <c:pt idx="324">
                  <c:v>394.59789791428835</c:v>
                </c:pt>
                <c:pt idx="325">
                  <c:v>396.84484415348749</c:v>
                </c:pt>
                <c:pt idx="326">
                  <c:v>399.09630799617696</c:v>
                </c:pt>
                <c:pt idx="327">
                  <c:v>401.35227319055349</c:v>
                </c:pt>
                <c:pt idx="328">
                  <c:v>403.61272358658442</c:v>
                </c:pt>
                <c:pt idx="329">
                  <c:v>405.87764303179728</c:v>
                </c:pt>
                <c:pt idx="330">
                  <c:v>408.14701537142707</c:v>
                </c:pt>
                <c:pt idx="331">
                  <c:v>410.42082444856277</c:v>
                </c:pt>
                <c:pt idx="332">
                  <c:v>412.69905410429345</c:v>
                </c:pt>
                <c:pt idx="333">
                  <c:v>414.98168817785404</c:v>
                </c:pt>
                <c:pt idx="334">
                  <c:v>417.26871050677016</c:v>
                </c:pt>
                <c:pt idx="335">
                  <c:v>419.56010492700295</c:v>
                </c:pt>
                <c:pt idx="336">
                  <c:v>421.8558552730928</c:v>
                </c:pt>
                <c:pt idx="337">
                  <c:v>424.15594537830304</c:v>
                </c:pt>
                <c:pt idx="338">
                  <c:v>426.46035907476289</c:v>
                </c:pt>
                <c:pt idx="339">
                  <c:v>428.76908019360974</c:v>
                </c:pt>
                <c:pt idx="340">
                  <c:v>431.08209256513118</c:v>
                </c:pt>
                <c:pt idx="341">
                  <c:v>433.39938001890624</c:v>
                </c:pt>
                <c:pt idx="342">
                  <c:v>435.72092638394628</c:v>
                </c:pt>
                <c:pt idx="343">
                  <c:v>438.04671548883516</c:v>
                </c:pt>
                <c:pt idx="344">
                  <c:v>440.37673116186897</c:v>
                </c:pt>
                <c:pt idx="345">
                  <c:v>442.71095723119515</c:v>
                </c:pt>
                <c:pt idx="346">
                  <c:v>445.04937752495101</c:v>
                </c:pt>
                <c:pt idx="347">
                  <c:v>447.39197587140194</c:v>
                </c:pt>
                <c:pt idx="348">
                  <c:v>449.73873609907872</c:v>
                </c:pt>
                <c:pt idx="349">
                  <c:v>452.08964203691443</c:v>
                </c:pt>
                <c:pt idx="350">
                  <c:v>454.44467751438094</c:v>
                </c:pt>
                <c:pt idx="351">
                  <c:v>456.80382636162449</c:v>
                </c:pt>
                <c:pt idx="352">
                  <c:v>459.16707240960096</c:v>
                </c:pt>
                <c:pt idx="353">
                  <c:v>461.53439949021055</c:v>
                </c:pt>
                <c:pt idx="354">
                  <c:v>463.9057914364318</c:v>
                </c:pt>
                <c:pt idx="355">
                  <c:v>466.28123208245512</c:v>
                </c:pt>
                <c:pt idx="356">
                  <c:v>468.66070526381549</c:v>
                </c:pt>
                <c:pt idx="357">
                  <c:v>471.04419481752507</c:v>
                </c:pt>
                <c:pt idx="358">
                  <c:v>473.4316845822047</c:v>
                </c:pt>
                <c:pt idx="359">
                  <c:v>475.82315839821513</c:v>
                </c:pt>
                <c:pt idx="360">
                  <c:v>478.21860010778767</c:v>
                </c:pt>
                <c:pt idx="361">
                  <c:v>480.61799355515399</c:v>
                </c:pt>
                <c:pt idx="362">
                  <c:v>483.02132258667564</c:v>
                </c:pt>
                <c:pt idx="363">
                  <c:v>485.42857105097283</c:v>
                </c:pt>
                <c:pt idx="364">
                  <c:v>487.83972279905254</c:v>
                </c:pt>
                <c:pt idx="365">
                  <c:v>490.25476168443623</c:v>
                </c:pt>
                <c:pt idx="366">
                  <c:v>492.67367420887518</c:v>
                </c:pt>
                <c:pt idx="367">
                  <c:v>495.09645216765875</c:v>
                </c:pt>
                <c:pt idx="368">
                  <c:v>497.52309000166952</c:v>
                </c:pt>
                <c:pt idx="369">
                  <c:v>499.95358214980331</c:v>
                </c:pt>
                <c:pt idx="370">
                  <c:v>502.38792304901108</c:v>
                </c:pt>
                <c:pt idx="371">
                  <c:v>504.82610713434059</c:v>
                </c:pt>
                <c:pt idx="372">
                  <c:v>507.26812883897844</c:v>
                </c:pt>
                <c:pt idx="373">
                  <c:v>509.71398259429139</c:v>
                </c:pt>
                <c:pt idx="374">
                  <c:v>512.16366282986826</c:v>
                </c:pt>
                <c:pt idx="375">
                  <c:v>514.61716397356111</c:v>
                </c:pt>
                <c:pt idx="376">
                  <c:v>517.07448045152682</c:v>
                </c:pt>
                <c:pt idx="377">
                  <c:v>519.53560668826844</c:v>
                </c:pt>
                <c:pt idx="378">
                  <c:v>522.00053710667646</c:v>
                </c:pt>
                <c:pt idx="379">
                  <c:v>524.46926612806988</c:v>
                </c:pt>
                <c:pt idx="380">
                  <c:v>526.94178817223735</c:v>
                </c:pt>
                <c:pt idx="381">
                  <c:v>529.41809480143672</c:v>
                </c:pt>
                <c:pt idx="382">
                  <c:v>531.89817186494156</c:v>
                </c:pt>
                <c:pt idx="383">
                  <c:v>534.38200235801844</c:v>
                </c:pt>
                <c:pt idx="384">
                  <c:v>536.86956928040161</c:v>
                </c:pt>
                <c:pt idx="385">
                  <c:v>539.36085563642223</c:v>
                </c:pt>
                <c:pt idx="386">
                  <c:v>541.85584443513699</c:v>
                </c:pt>
                <c:pt idx="387">
                  <c:v>544.35451869045528</c:v>
                </c:pt>
                <c:pt idx="388">
                  <c:v>546.85686142126667</c:v>
                </c:pt>
                <c:pt idx="389">
                  <c:v>549.36285565156709</c:v>
                </c:pt>
                <c:pt idx="390">
                  <c:v>551.87248441058443</c:v>
                </c:pt>
                <c:pt idx="391">
                  <c:v>554.38573073290354</c:v>
                </c:pt>
                <c:pt idx="392">
                  <c:v>556.9025776585903</c:v>
                </c:pt>
                <c:pt idx="393">
                  <c:v>559.42300823331561</c:v>
                </c:pt>
                <c:pt idx="394">
                  <c:v>561.94700550847767</c:v>
                </c:pt>
                <c:pt idx="395">
                  <c:v>564.47455254132467</c:v>
                </c:pt>
                <c:pt idx="396">
                  <c:v>567.00563239507608</c:v>
                </c:pt>
                <c:pt idx="397">
                  <c:v>569.54022813904328</c:v>
                </c:pt>
                <c:pt idx="398">
                  <c:v>572.07832284874985</c:v>
                </c:pt>
                <c:pt idx="399">
                  <c:v>574.61989960605081</c:v>
                </c:pt>
                <c:pt idx="400">
                  <c:v>577.16494149925143</c:v>
                </c:pt>
                <c:pt idx="401">
                  <c:v>579.7134293809554</c:v>
                </c:pt>
                <c:pt idx="402">
                  <c:v>582.26533962656458</c:v>
                </c:pt>
                <c:pt idx="403">
                  <c:v>584.82064637933536</c:v>
                </c:pt>
                <c:pt idx="404">
                  <c:v>587.37932379482743</c:v>
                </c:pt>
                <c:pt idx="405">
                  <c:v>589.94134604110957</c:v>
                </c:pt>
                <c:pt idx="406">
                  <c:v>592.50668729896449</c:v>
                </c:pt>
                <c:pt idx="407">
                  <c:v>595.07532176209168</c:v>
                </c:pt>
                <c:pt idx="408">
                  <c:v>597.64722363730891</c:v>
                </c:pt>
                <c:pt idx="409">
                  <c:v>600.2223671447523</c:v>
                </c:pt>
                <c:pt idx="410">
                  <c:v>602.80072651807461</c:v>
                </c:pt>
                <c:pt idx="411">
                  <c:v>605.38226362786168</c:v>
                </c:pt>
                <c:pt idx="412">
                  <c:v>607.96691560961267</c:v>
                </c:pt>
                <c:pt idx="413">
                  <c:v>610.55460725718456</c:v>
                </c:pt>
                <c:pt idx="414">
                  <c:v>613.14526341212638</c:v>
                </c:pt>
                <c:pt idx="415">
                  <c:v>615.73880896478317</c:v>
                </c:pt>
                <c:pt idx="416">
                  <c:v>618.33516885538825</c:v>
                </c:pt>
                <c:pt idx="417">
                  <c:v>620.93426807514436</c:v>
                </c:pt>
                <c:pt idx="418">
                  <c:v>623.53603166729283</c:v>
                </c:pt>
                <c:pt idx="419">
                  <c:v>626.14038472817185</c:v>
                </c:pt>
                <c:pt idx="420">
                  <c:v>628.74724537442728</c:v>
                </c:pt>
                <c:pt idx="421">
                  <c:v>631.35651771397045</c:v>
                </c:pt>
                <c:pt idx="422">
                  <c:v>633.96809889210795</c:v>
                </c:pt>
                <c:pt idx="423">
                  <c:v>636.58188613430775</c:v>
                </c:pt>
                <c:pt idx="424">
                  <c:v>639.19777674801162</c:v>
                </c:pt>
                <c:pt idx="425">
                  <c:v>641.8156681244252</c:v>
                </c:pt>
                <c:pt idx="426">
                  <c:v>644.43545774028735</c:v>
                </c:pt>
                <c:pt idx="427">
                  <c:v>647.05704315961793</c:v>
                </c:pt>
                <c:pt idx="428">
                  <c:v>649.68032203544362</c:v>
                </c:pt>
                <c:pt idx="429">
                  <c:v>652.30519211150329</c:v>
                </c:pt>
                <c:pt idx="430">
                  <c:v>654.93155122393091</c:v>
                </c:pt>
                <c:pt idx="431">
                  <c:v>657.5592973029178</c:v>
                </c:pt>
                <c:pt idx="432">
                  <c:v>660.18831705355319</c:v>
                </c:pt>
                <c:pt idx="433">
                  <c:v>662.81847464582984</c:v>
                </c:pt>
                <c:pt idx="434">
                  <c:v>665.44962306010348</c:v>
                </c:pt>
                <c:pt idx="435">
                  <c:v>668.08161542419873</c:v>
                </c:pt>
                <c:pt idx="436">
                  <c:v>670.71430501665748</c:v>
                </c:pt>
                <c:pt idx="437">
                  <c:v>673.34754526994288</c:v>
                </c:pt>
                <c:pt idx="438">
                  <c:v>675.98118977359934</c:v>
                </c:pt>
                <c:pt idx="439">
                  <c:v>678.6150922773669</c:v>
                </c:pt>
                <c:pt idx="440">
                  <c:v>681.24910669425208</c:v>
                </c:pt>
                <c:pt idx="441">
                  <c:v>683.88308710355341</c:v>
                </c:pt>
                <c:pt idx="442">
                  <c:v>686.51689462337754</c:v>
                </c:pt>
                <c:pt idx="443">
                  <c:v>689.15040427543317</c:v>
                </c:pt>
                <c:pt idx="444">
                  <c:v>691.78349810123439</c:v>
                </c:pt>
                <c:pt idx="445">
                  <c:v>694.41605828542538</c:v>
                </c:pt>
                <c:pt idx="446">
                  <c:v>697.04796715756731</c:v>
                </c:pt>
                <c:pt idx="447">
                  <c:v>699.67910719389579</c:v>
                </c:pt>
                <c:pt idx="448">
                  <c:v>702.30936101904945</c:v>
                </c:pt>
                <c:pt idx="449">
                  <c:v>704.93861140777028</c:v>
                </c:pt>
                <c:pt idx="450">
                  <c:v>707.56674128657414</c:v>
                </c:pt>
                <c:pt idx="451">
                  <c:v>710.19363373539363</c:v>
                </c:pt>
                <c:pt idx="452">
                  <c:v>712.81917198919189</c:v>
                </c:pt>
                <c:pt idx="453">
                  <c:v>715.44324926883144</c:v>
                </c:pt>
                <c:pt idx="454">
                  <c:v>718.06577859851507</c:v>
                </c:pt>
                <c:pt idx="455">
                  <c:v>720.68668295008877</c:v>
                </c:pt>
                <c:pt idx="456">
                  <c:v>723.30588540023746</c:v>
                </c:pt>
                <c:pt idx="457">
                  <c:v>725.92330913100648</c:v>
                </c:pt>
                <c:pt idx="458">
                  <c:v>728.53887743031214</c:v>
                </c:pt>
                <c:pt idx="459">
                  <c:v>731.15251369243992</c:v>
                </c:pt>
                <c:pt idx="460">
                  <c:v>733.76414141853127</c:v>
                </c:pt>
                <c:pt idx="461">
                  <c:v>736.37369305874404</c:v>
                </c:pt>
                <c:pt idx="462">
                  <c:v>738.98111884143589</c:v>
                </c:pt>
                <c:pt idx="463">
                  <c:v>741.58637790564012</c:v>
                </c:pt>
                <c:pt idx="464">
                  <c:v>744.18942944628725</c:v>
                </c:pt>
                <c:pt idx="465">
                  <c:v>746.79023271422307</c:v>
                </c:pt>
                <c:pt idx="466">
                  <c:v>749.38873959016667</c:v>
                </c:pt>
                <c:pt idx="467">
                  <c:v>751.98488716982456</c:v>
                </c:pt>
                <c:pt idx="468">
                  <c:v>754.57852252038674</c:v>
                </c:pt>
                <c:pt idx="469">
                  <c:v>757.16942874812855</c:v>
                </c:pt>
                <c:pt idx="470">
                  <c:v>759.75750897956016</c:v>
                </c:pt>
                <c:pt idx="471">
                  <c:v>762.34276767407391</c:v>
                </c:pt>
                <c:pt idx="472">
                  <c:v>764.92520927774012</c:v>
                </c:pt>
                <c:pt idx="473">
                  <c:v>767.50483822336014</c:v>
                </c:pt>
                <c:pt idx="474">
                  <c:v>770.08165893051876</c:v>
                </c:pt>
                <c:pt idx="475">
                  <c:v>772.65567580563686</c:v>
                </c:pt>
                <c:pt idx="476">
                  <c:v>775.22689324202315</c:v>
                </c:pt>
                <c:pt idx="477">
                  <c:v>777.79531561992633</c:v>
                </c:pt>
                <c:pt idx="478">
                  <c:v>780.36094730658658</c:v>
                </c:pt>
                <c:pt idx="479">
                  <c:v>782.92379265628688</c:v>
                </c:pt>
                <c:pt idx="480">
                  <c:v>785.48385601040411</c:v>
                </c:pt>
                <c:pt idx="481">
                  <c:v>788.04114169745981</c:v>
                </c:pt>
                <c:pt idx="482">
                  <c:v>790.59565403317083</c:v>
                </c:pt>
                <c:pt idx="483">
                  <c:v>793.14739732049964</c:v>
                </c:pt>
                <c:pt idx="484">
                  <c:v>795.69637584970417</c:v>
                </c:pt>
                <c:pt idx="485">
                  <c:v>798.24259389838801</c:v>
                </c:pt>
                <c:pt idx="486">
                  <c:v>800.78605573154982</c:v>
                </c:pt>
                <c:pt idx="487">
                  <c:v>803.32676560163247</c:v>
                </c:pt>
                <c:pt idx="488">
                  <c:v>805.86472774857225</c:v>
                </c:pt>
                <c:pt idx="489">
                  <c:v>808.39994639984786</c:v>
                </c:pt>
                <c:pt idx="490">
                  <c:v>810.93242577052888</c:v>
                </c:pt>
                <c:pt idx="491">
                  <c:v>813.46217006332404</c:v>
                </c:pt>
                <c:pt idx="492">
                  <c:v>815.98918346862934</c:v>
                </c:pt>
                <c:pt idx="493">
                  <c:v>818.51347016457623</c:v>
                </c:pt>
                <c:pt idx="494">
                  <c:v>821.03503431707884</c:v>
                </c:pt>
                <c:pt idx="495">
                  <c:v>823.55388007988165</c:v>
                </c:pt>
                <c:pt idx="496">
                  <c:v>826.07001159460663</c:v>
                </c:pt>
                <c:pt idx="497">
                  <c:v>828.58343299080002</c:v>
                </c:pt>
                <c:pt idx="498">
                  <c:v>831.09414838597945</c:v>
                </c:pt>
                <c:pt idx="499">
                  <c:v>833.60216188567995</c:v>
                </c:pt>
                <c:pt idx="500">
                  <c:v>836.10747758350044</c:v>
                </c:pt>
                <c:pt idx="501">
                  <c:v>861.01257165723757</c:v>
                </c:pt>
                <c:pt idx="502">
                  <c:v>885.65051542412959</c:v>
                </c:pt>
                <c:pt idx="503">
                  <c:v>910.02528700209302</c:v>
                </c:pt>
                <c:pt idx="504">
                  <c:v>934.14075123234056</c:v>
                </c:pt>
                <c:pt idx="505">
                  <c:v>958.0006639235088</c:v>
                </c:pt>
                <c:pt idx="506">
                  <c:v>981.60867589596035</c:v>
                </c:pt>
                <c:pt idx="507">
                  <c:v>1004.9683368375148</c:v>
                </c:pt>
                <c:pt idx="508">
                  <c:v>1028.0830989811241</c:v>
                </c:pt>
                <c:pt idx="509">
                  <c:v>1050.9563206143273</c:v>
                </c:pt>
                <c:pt idx="510">
                  <c:v>1073.5912694296894</c:v>
                </c:pt>
                <c:pt idx="511">
                  <c:v>1095.9911257248414</c:v>
                </c:pt>
                <c:pt idx="512">
                  <c:v>1118.1589854601978</c:v>
                </c:pt>
                <c:pt idx="513">
                  <c:v>1140.0978631819232</c:v>
                </c:pt>
                <c:pt idx="514">
                  <c:v>1161.8106948172513</c:v>
                </c:pt>
                <c:pt idx="515">
                  <c:v>1183.3003403488226</c:v>
                </c:pt>
                <c:pt idx="516">
                  <c:v>1204.5695863743065</c:v>
                </c:pt>
                <c:pt idx="517">
                  <c:v>1225.6211485571914</c:v>
                </c:pt>
                <c:pt idx="518">
                  <c:v>1246.4576739742779</c:v>
                </c:pt>
                <c:pt idx="519">
                  <c:v>1267.0817433650823</c:v>
                </c:pt>
                <c:pt idx="520">
                  <c:v>1287.4958732880539</c:v>
                </c:pt>
                <c:pt idx="521">
                  <c:v>1307.7025181882202</c:v>
                </c:pt>
                <c:pt idx="522">
                  <c:v>1327.7040723806124</c:v>
                </c:pt>
                <c:pt idx="523">
                  <c:v>1347.5028719535737</c:v>
                </c:pt>
                <c:pt idx="524">
                  <c:v>1367.1011965958194</c:v>
                </c:pt>
                <c:pt idx="525">
                  <c:v>1386.5012713508995</c:v>
                </c:pt>
                <c:pt idx="526">
                  <c:v>1405.7052683025154</c:v>
                </c:pt>
                <c:pt idx="527">
                  <c:v>1424.7153081939452</c:v>
                </c:pt>
                <c:pt idx="528">
                  <c:v>1443.5334619846592</c:v>
                </c:pt>
                <c:pt idx="529">
                  <c:v>1462.161752347035</c:v>
                </c:pt>
                <c:pt idx="530">
                  <c:v>1480.602155105928</c:v>
                </c:pt>
                <c:pt idx="531">
                  <c:v>1498.8566006237045</c:v>
                </c:pt>
                <c:pt idx="532">
                  <c:v>1516.9269751332042</c:v>
                </c:pt>
                <c:pt idx="533">
                  <c:v>1534.815122020972</c:v>
                </c:pt>
                <c:pt idx="534">
                  <c:v>1552.5228430629732</c:v>
                </c:pt>
                <c:pt idx="535">
                  <c:v>1570.0518996148946</c:v>
                </c:pt>
                <c:pt idx="536">
                  <c:v>1587.4040137590243</c:v>
                </c:pt>
                <c:pt idx="537">
                  <c:v>1604.5808694095983</c:v>
                </c:pt>
                <c:pt idx="538">
                  <c:v>1621.5841133784127</c:v>
                </c:pt>
                <c:pt idx="539">
                  <c:v>1638.4153564024016</c:v>
                </c:pt>
                <c:pt idx="540">
                  <c:v>1655.076174134804</c:v>
                </c:pt>
                <c:pt idx="541">
                  <c:v>1671.5681081014545</c:v>
                </c:pt>
                <c:pt idx="542">
                  <c:v>1687.8926666236644</c:v>
                </c:pt>
                <c:pt idx="543">
                  <c:v>1704.0513257090809</c:v>
                </c:pt>
                <c:pt idx="544">
                  <c:v>1720.0455299118523</c:v>
                </c:pt>
                <c:pt idx="545">
                  <c:v>1735.8766931633552</c:v>
                </c:pt>
                <c:pt idx="546">
                  <c:v>1751.5461995746853</c:v>
                </c:pt>
                <c:pt idx="547">
                  <c:v>1767.0554042120552</c:v>
                </c:pt>
                <c:pt idx="548">
                  <c:v>1782.4056338461851</c:v>
                </c:pt>
                <c:pt idx="549">
                  <c:v>1797.5981876767262</c:v>
                </c:pt>
                <c:pt idx="550">
                  <c:v>1812.634338032706</c:v>
                </c:pt>
                <c:pt idx="551">
                  <c:v>1827.5153310499368</c:v>
                </c:pt>
                <c:pt idx="552">
                  <c:v>1842.2423873262906</c:v>
                </c:pt>
                <c:pt idx="553">
                  <c:v>1856.8167025556961</c:v>
                </c:pt>
                <c:pt idx="554">
                  <c:v>1871.2394481416814</c:v>
                </c:pt>
                <c:pt idx="555">
                  <c:v>1885.5117717912422</c:v>
                </c:pt>
                <c:pt idx="556">
                  <c:v>1899.6347980897863</c:v>
                </c:pt>
                <c:pt idx="557">
                  <c:v>1913.6096290578682</c:v>
                </c:pt>
                <c:pt idx="558">
                  <c:v>1927.4373446903965</c:v>
                </c:pt>
                <c:pt idx="559">
                  <c:v>1941.1190034789684</c:v>
                </c:pt>
                <c:pt idx="560">
                  <c:v>1954.6556429179564</c:v>
                </c:pt>
                <c:pt idx="561">
                  <c:v>1968.0482799949443</c:v>
                </c:pt>
                <c:pt idx="562">
                  <c:v>1981.2979116660854</c:v>
                </c:pt>
                <c:pt idx="563">
                  <c:v>1994.4055153169286</c:v>
                </c:pt>
                <c:pt idx="564">
                  <c:v>2007.3720492092409</c:v>
                </c:pt>
                <c:pt idx="565">
                  <c:v>2020.198452914324</c:v>
                </c:pt>
                <c:pt idx="566">
                  <c:v>2032.8856477333097</c:v>
                </c:pt>
                <c:pt idx="567">
                  <c:v>2045.4345371048933</c:v>
                </c:pt>
                <c:pt idx="568">
                  <c:v>2057.8460070009473</c:v>
                </c:pt>
                <c:pt idx="569">
                  <c:v>2070.1209263104424</c:v>
                </c:pt>
                <c:pt idx="570">
                  <c:v>2082.2601472120764</c:v>
                </c:pt>
                <c:pt idx="571">
                  <c:v>2094.2645055360067</c:v>
                </c:pt>
                <c:pt idx="572">
                  <c:v>2106.1348211150585</c:v>
                </c:pt>
                <c:pt idx="573">
                  <c:v>2117.8718981257671</c:v>
                </c:pt>
                <c:pt idx="574">
                  <c:v>2129.4765254196027</c:v>
                </c:pt>
                <c:pt idx="575">
                  <c:v>2140.9494768447034</c:v>
                </c:pt>
                <c:pt idx="576">
                  <c:v>2152.2915115584415</c:v>
                </c:pt>
                <c:pt idx="577">
                  <c:v>2163.5033743311242</c:v>
                </c:pt>
                <c:pt idx="578">
                  <c:v>2174.5857958411243</c:v>
                </c:pt>
                <c:pt idx="579">
                  <c:v>2185.5394929617232</c:v>
                </c:pt>
                <c:pt idx="580">
                  <c:v>2196.3651690399392</c:v>
                </c:pt>
                <c:pt idx="581">
                  <c:v>2207.0635141676021</c:v>
                </c:pt>
                <c:pt idx="582">
                  <c:v>2217.6352054449248</c:v>
                </c:pt>
                <c:pt idx="583">
                  <c:v>2228.0809072368152</c:v>
                </c:pt>
                <c:pt idx="584">
                  <c:v>2238.4012714221617</c:v>
                </c:pt>
                <c:pt idx="585">
                  <c:v>2248.5969376363159</c:v>
                </c:pt>
                <c:pt idx="586">
                  <c:v>2258.6685335069915</c:v>
                </c:pt>
                <c:pt idx="587">
                  <c:v>2268.6166748837823</c:v>
                </c:pt>
                <c:pt idx="588">
                  <c:v>2278.4419660615085</c:v>
                </c:pt>
                <c:pt idx="589">
                  <c:v>2288.1449999975775</c:v>
                </c:pt>
                <c:pt idx="590">
                  <c:v>2297.7263585235505</c:v>
                </c:pt>
                <c:pt idx="591">
                  <c:v>2307.1866125510933</c:v>
                </c:pt>
                <c:pt idx="592">
                  <c:v>2316.5263222724875</c:v>
                </c:pt>
                <c:pt idx="593">
                  <c:v>2325.7460373558683</c:v>
                </c:pt>
                <c:pt idx="594">
                  <c:v>2334.8462971353511</c:v>
                </c:pt>
                <c:pt idx="595">
                  <c:v>2343.8276307962055</c:v>
                </c:pt>
                <c:pt idx="596">
                  <c:v>2352.6905575552287</c:v>
                </c:pt>
                <c:pt idx="597">
                  <c:v>2361.4355868364614</c:v>
                </c:pt>
                <c:pt idx="598">
                  <c:v>2370.0632184423944</c:v>
                </c:pt>
                <c:pt idx="599">
                  <c:v>2378.5739427207955</c:v>
                </c:pt>
                <c:pt idx="600">
                  <c:v>2386.9682407272971</c:v>
                </c:pt>
                <c:pt idx="601">
                  <c:v>2395.2465843838718</c:v>
                </c:pt>
                <c:pt idx="602">
                  <c:v>2403.4094366333156</c:v>
                </c:pt>
                <c:pt idx="603">
                  <c:v>2411.4572515898699</c:v>
                </c:pt>
                <c:pt idx="604">
                  <c:v>2419.3904746860908</c:v>
                </c:pt>
                <c:pt idx="605">
                  <c:v>2427.2095428160878</c:v>
                </c:pt>
                <c:pt idx="606">
                  <c:v>2434.9148844752381</c:v>
                </c:pt>
                <c:pt idx="607">
                  <c:v>2442.5069198964884</c:v>
                </c:pt>
                <c:pt idx="608">
                  <c:v>2449.9860611833487</c:v>
                </c:pt>
                <c:pt idx="609">
                  <c:v>2457.3527124396824</c:v>
                </c:pt>
                <c:pt idx="610">
                  <c:v>2464.6072698963894</c:v>
                </c:pt>
                <c:pt idx="611">
                  <c:v>2471.7501220350878</c:v>
                </c:pt>
                <c:pt idx="612">
                  <c:v>2478.7816497088838</c:v>
                </c:pt>
                <c:pt idx="613">
                  <c:v>2485.7022262603282</c:v>
                </c:pt>
                <c:pt idx="614">
                  <c:v>2492.5122176366513</c:v>
                </c:pt>
                <c:pt idx="615">
                  <c:v>2499.2119825023656</c:v>
                </c:pt>
                <c:pt idx="616">
                  <c:v>2505.8018723493301</c:v>
                </c:pt>
                <c:pt idx="617">
                  <c:v>2512.2822316043594</c:v>
                </c:pt>
                <c:pt idx="618">
                  <c:v>2518.6533977344707</c:v>
                </c:pt>
                <c:pt idx="619">
                  <c:v>2524.9157013498484</c:v>
                </c:pt>
                <c:pt idx="620">
                  <c:v>2531.0694663046202</c:v>
                </c:pt>
                <c:pt idx="621">
                  <c:v>2537.1150097955228</c:v>
                </c:pt>
                <c:pt idx="622">
                  <c:v>2543.0526424585464</c:v>
                </c:pt>
                <c:pt idx="623">
                  <c:v>2548.8826684636415</c:v>
                </c:pt>
                <c:pt idx="624">
                  <c:v>2554.6053856075737</c:v>
                </c:pt>
                <c:pt idx="625">
                  <c:v>2560.221085405009</c:v>
                </c:pt>
                <c:pt idx="626">
                  <c:v>2565.730053177921</c:v>
                </c:pt>
                <c:pt idx="627">
                  <c:v>2571.1325681433991</c:v>
                </c:pt>
                <c:pt idx="628">
                  <c:v>2576.428903499951</c:v>
                </c:pt>
                <c:pt idx="629">
                  <c:v>2581.6193265123866</c:v>
                </c:pt>
                <c:pt idx="630">
                  <c:v>2586.7040985953699</c:v>
                </c:pt>
                <c:pt idx="631">
                  <c:v>2591.683475395736</c:v>
                </c:pt>
                <c:pt idx="632">
                  <c:v>2596.5577068736634</c:v>
                </c:pt>
                <c:pt idx="633">
                  <c:v>2601.3270373827982</c:v>
                </c:pt>
                <c:pt idx="634">
                  <c:v>2605.9917057494276</c:v>
                </c:pt>
                <c:pt idx="635">
                  <c:v>2610.5519453508077</c:v>
                </c:pt>
                <c:pt idx="636">
                  <c:v>2615.0079841927441</c:v>
                </c:pt>
                <c:pt idx="637">
                  <c:v>2619.3600449865385</c:v>
                </c:pt>
                <c:pt idx="638">
                  <c:v>2623.6083452254079</c:v>
                </c:pt>
                <c:pt idx="639">
                  <c:v>2627.7530972604955</c:v>
                </c:pt>
                <c:pt idx="640">
                  <c:v>2631.7945083765894</c:v>
                </c:pt>
                <c:pt idx="641">
                  <c:v>2635.7327808676755</c:v>
                </c:pt>
                <c:pt idx="642">
                  <c:v>2639.5681121124526</c:v>
                </c:pt>
                <c:pt idx="643">
                  <c:v>2643.3006946499436</c:v>
                </c:pt>
                <c:pt idx="644">
                  <c:v>2646.9307162553405</c:v>
                </c:pt>
                <c:pt idx="645">
                  <c:v>2650.45836001623</c:v>
                </c:pt>
                <c:pt idx="646">
                  <c:v>2653.8838044093472</c:v>
                </c:pt>
                <c:pt idx="647">
                  <c:v>2657.2072233780164</c:v>
                </c:pt>
                <c:pt idx="648">
                  <c:v>2660.4287864104344</c:v>
                </c:pt>
                <c:pt idx="649">
                  <c:v>2663.5486586189718</c:v>
                </c:pt>
                <c:pt idx="650">
                  <c:v>2666.5670008206562</c:v>
                </c:pt>
                <c:pt idx="651">
                  <c:v>2669.4839696190184</c:v>
                </c:pt>
                <c:pt idx="652">
                  <c:v>2672.2997174874849</c:v>
                </c:pt>
                <c:pt idx="653">
                  <c:v>2675.0143928545012</c:v>
                </c:pt>
                <c:pt idx="654">
                  <c:v>2677.628140190574</c:v>
                </c:pt>
                <c:pt idx="655">
                  <c:v>2680.1411000974281</c:v>
                </c:pt>
                <c:pt idx="656">
                  <c:v>2682.553409399467</c:v>
                </c:pt>
                <c:pt idx="657">
                  <c:v>2684.8652012377352</c:v>
                </c:pt>
                <c:pt idx="658">
                  <c:v>2687.0766051665664</c:v>
                </c:pt>
                <c:pt idx="659">
                  <c:v>2689.1877472531137</c:v>
                </c:pt>
                <c:pt idx="660">
                  <c:v>2691.1987501799363</c:v>
                </c:pt>
                <c:pt idx="661">
                  <c:v>2693.1097333508205</c:v>
                </c:pt>
                <c:pt idx="662">
                  <c:v>2694.9208129999952</c:v>
                </c:pt>
                <c:pt idx="663">
                  <c:v>2696.6321023048909</c:v>
                </c:pt>
                <c:pt idx="664">
                  <c:v>2698.2437115025709</c:v>
                </c:pt>
                <c:pt idx="665">
                  <c:v>2699.7557480099513</c:v>
                </c:pt>
                <c:pt idx="666">
                  <c:v>2701.1683165478853</c:v>
                </c:pt>
                <c:pt idx="667">
                  <c:v>2702.4815192691813</c:v>
                </c:pt>
                <c:pt idx="668">
                  <c:v>2703.6954558905741</c:v>
                </c:pt>
                <c:pt idx="669">
                  <c:v>2704.8102238286442</c:v>
                </c:pt>
                <c:pt idx="670">
                  <c:v>2705.8259183396381</c:v>
                </c:pt>
                <c:pt idx="671">
                  <c:v>2706.7426326631048</c:v>
                </c:pt>
                <c:pt idx="672">
                  <c:v>2707.5604581692182</c:v>
                </c:pt>
                <c:pt idx="673">
                  <c:v>2708.2794845096073</c:v>
                </c:pt>
                <c:pt idx="674">
                  <c:v>2708.899799771481</c:v>
                </c:pt>
                <c:pt idx="675">
                  <c:v>2709.4214906347725</c:v>
                </c:pt>
                <c:pt idx="676">
                  <c:v>2709.8446425319994</c:v>
                </c:pt>
                <c:pt idx="677">
                  <c:v>2710.1693398104794</c:v>
                </c:pt>
                <c:pt idx="678">
                  <c:v>2710.3956658965089</c:v>
                </c:pt>
                <c:pt idx="679">
                  <c:v>2710.5237034610714</c:v>
                </c:pt>
                <c:pt idx="680">
                  <c:v>2710.5535345866106</c:v>
                </c:pt>
                <c:pt idx="681">
                  <c:v>2710.4852409343848</c:v>
                </c:pt>
                <c:pt idx="682">
                  <c:v>2710.3189039118829</c:v>
                </c:pt>
                <c:pt idx="683">
                  <c:v>2710.0546048397896</c:v>
                </c:pt>
                <c:pt idx="684">
                  <c:v>2709.6924251179685</c:v>
                </c:pt>
                <c:pt idx="685">
                  <c:v>2709.2324463899363</c:v>
                </c:pt>
                <c:pt idx="686">
                  <c:v>2708.6747507053196</c:v>
                </c:pt>
                <c:pt idx="687">
                  <c:v>2708.0194206797905</c:v>
                </c:pt>
                <c:pt idx="688">
                  <c:v>2707.2665396520129</c:v>
                </c:pt>
                <c:pt idx="689">
                  <c:v>2706.4161918371483</c:v>
                </c:pt>
                <c:pt idx="690">
                  <c:v>2705.4684624765223</c:v>
                </c:pt>
                <c:pt idx="691">
                  <c:v>2704.4234379830723</c:v>
                </c:pt>
                <c:pt idx="692">
                  <c:v>2703.2812060822566</c:v>
                </c:pt>
                <c:pt idx="693">
                  <c:v>2702.0418559481391</c:v>
                </c:pt>
                <c:pt idx="694">
                  <c:v>2700.7054783344133</c:v>
                </c:pt>
                <c:pt idx="695">
                  <c:v>2699.272165700178</c:v>
                </c:pt>
                <c:pt idx="696">
                  <c:v>2697.7420123303154</c:v>
                </c:pt>
                <c:pt idx="697">
                  <c:v>2696.1151144503724</c:v>
                </c:pt>
                <c:pt idx="698">
                  <c:v>2694.3915703358866</c:v>
                </c:pt>
                <c:pt idx="699">
                  <c:v>2692.5714804161335</c:v>
                </c:pt>
                <c:pt idx="700">
                  <c:v>2690.6549473723094</c:v>
                </c:pt>
                <c:pt idx="701">
                  <c:v>2688.6420762302005</c:v>
                </c:pt>
                <c:pt idx="702">
                  <c:v>2686.5329744474075</c:v>
                </c:pt>
                <c:pt idx="703">
                  <c:v>2684.3277519952321</c:v>
                </c:pt>
                <c:pt idx="704">
                  <c:v>2682.0265214353426</c:v>
                </c:pt>
                <c:pt idx="705">
                  <c:v>2679.6293979913589</c:v>
                </c:pt>
                <c:pt idx="706">
                  <c:v>2677.1364996155116</c:v>
                </c:pt>
                <c:pt idx="707">
                  <c:v>2674.5479470505393</c:v>
                </c:pt>
                <c:pt idx="708">
                  <c:v>2671.8638638869952</c:v>
                </c:pt>
                <c:pt idx="709">
                  <c:v>2669.0843766161456</c:v>
                </c:pt>
                <c:pt idx="710">
                  <c:v>2666.2096146786384</c:v>
                </c:pt>
                <c:pt idx="711">
                  <c:v>2663.2397105091281</c:v>
                </c:pt>
                <c:pt idx="712">
                  <c:v>2660.1747995770397</c:v>
                </c:pt>
                <c:pt idx="713">
                  <c:v>2657.0150204236515</c:v>
                </c:pt>
                <c:pt idx="714">
                  <c:v>2653.7605146956757</c:v>
                </c:pt>
                <c:pt idx="715">
                  <c:v>2650.4114271755102</c:v>
                </c:pt>
                <c:pt idx="716">
                  <c:v>2646.9679058083302</c:v>
                </c:pt>
                <c:pt idx="717">
                  <c:v>2643.4301017261851</c:v>
                </c:pt>
                <c:pt idx="718">
                  <c:v>2639.7981692692524</c:v>
                </c:pt>
                <c:pt idx="719">
                  <c:v>2636.072266004403</c:v>
                </c:pt>
                <c:pt idx="720">
                  <c:v>2632.2525527412213</c:v>
                </c:pt>
                <c:pt idx="721">
                  <c:v>2628.3391935456161</c:v>
                </c:pt>
                <c:pt idx="722">
                  <c:v>2624.3323557511517</c:v>
                </c:pt>
                <c:pt idx="723">
                  <c:v>2620.2322099682237</c:v>
                </c:pt>
                <c:pt idx="724">
                  <c:v>2616.0389300911975</c:v>
                </c:pt>
                <c:pt idx="725">
                  <c:v>2611.7526933036147</c:v>
                </c:pt>
                <c:pt idx="726">
                  <c:v>2607.3736800815786</c:v>
                </c:pt>
                <c:pt idx="727">
                  <c:v>2602.9020741954109</c:v>
                </c:pt>
                <c:pt idx="728">
                  <c:v>2598.3380627096731</c:v>
                </c:pt>
                <c:pt idx="729">
                  <c:v>2593.6818359816421</c:v>
                </c:pt>
                <c:pt idx="730">
                  <c:v>2588.9335876583164</c:v>
                </c:pt>
                <c:pt idx="731">
                  <c:v>2584.0935146720335</c:v>
                </c:pt>
                <c:pt idx="732">
                  <c:v>2579.1618172347685</c:v>
                </c:pt>
                <c:pt idx="733">
                  <c:v>2574.1386988311788</c:v>
                </c:pt>
                <c:pt idx="734">
                  <c:v>2569.0243662104622</c:v>
                </c:pt>
                <c:pt idx="735">
                  <c:v>2563.8190293770845</c:v>
                </c:pt>
                <c:pt idx="736">
                  <c:v>2558.5229015804316</c:v>
                </c:pt>
                <c:pt idx="737">
                  <c:v>2553.1361993034388</c:v>
                </c:pt>
                <c:pt idx="738">
                  <c:v>2547.659142250247</c:v>
                </c:pt>
                <c:pt idx="739">
                  <c:v>2542.0919533329279</c:v>
                </c:pt>
                <c:pt idx="740">
                  <c:v>2536.4348586573269</c:v>
                </c:pt>
                <c:pt idx="741">
                  <c:v>2530.6880875080556</c:v>
                </c:pt>
                <c:pt idx="742">
                  <c:v>2524.8518723326783</c:v>
                </c:pt>
                <c:pt idx="743">
                  <c:v>2518.9264487251271</c:v>
                </c:pt>
                <c:pt idx="744">
                  <c:v>2512.9120554083734</c:v>
                </c:pt>
                <c:pt idx="745">
                  <c:v>2506.8089342163953</c:v>
                </c:pt>
                <c:pt idx="746">
                  <c:v>2500.6173300754622</c:v>
                </c:pt>
                <c:pt idx="747">
                  <c:v>2494.3374909847721</c:v>
                </c:pt>
                <c:pt idx="748">
                  <c:v>2487.9696679964609</c:v>
                </c:pt>
                <c:pt idx="749">
                  <c:v>2481.5141151950124</c:v>
                </c:pt>
                <c:pt idx="750">
                  <c:v>2474.971089676093</c:v>
                </c:pt>
                <c:pt idx="751">
                  <c:v>2468.3408515248302</c:v>
                </c:pt>
                <c:pt idx="752">
                  <c:v>2461.6236637935576</c:v>
                </c:pt>
                <c:pt idx="753">
                  <c:v>2454.819792479047</c:v>
                </c:pt>
                <c:pt idx="754">
                  <c:v>2447.9295064992443</c:v>
                </c:pt>
                <c:pt idx="755">
                  <c:v>2440.9530776695306</c:v>
                </c:pt>
                <c:pt idx="756">
                  <c:v>2433.8907806785214</c:v>
                </c:pt>
                <c:pt idx="757">
                  <c:v>2426.7428930634237</c:v>
                </c:pt>
                <c:pt idx="758">
                  <c:v>2419.509695184965</c:v>
                </c:pt>
                <c:pt idx="759">
                  <c:v>2412.1914702019089</c:v>
                </c:pt>
                <c:pt idx="760">
                  <c:v>2404.7885040451738</c:v>
                </c:pt>
                <c:pt idx="761">
                  <c:v>2397.3010853915634</c:v>
                </c:pt>
                <c:pt idx="762">
                  <c:v>2389.729505637129</c:v>
                </c:pt>
                <c:pt idx="763">
                  <c:v>2382.074058870171</c:v>
                </c:pt>
                <c:pt idx="764">
                  <c:v>2374.3350418438927</c:v>
                </c:pt>
                <c:pt idx="765">
                  <c:v>2366.5127539487203</c:v>
                </c:pt>
                <c:pt idx="766">
                  <c:v>2358.6074971842986</c:v>
                </c:pt>
                <c:pt idx="767">
                  <c:v>2350.6195761311737</c:v>
                </c:pt>
                <c:pt idx="768">
                  <c:v>2342.5492979221731</c:v>
                </c:pt>
                <c:pt idx="769">
                  <c:v>2334.3969722134948</c:v>
                </c:pt>
                <c:pt idx="770">
                  <c:v>2326.1629111555139</c:v>
                </c:pt>
                <c:pt idx="771">
                  <c:v>2317.8474293633162</c:v>
                </c:pt>
                <c:pt idx="772">
                  <c:v>2309.4508438869711</c:v>
                </c:pt>
                <c:pt idx="773">
                  <c:v>2300.9734741815496</c:v>
                </c:pt>
                <c:pt idx="774">
                  <c:v>2292.4156420768968</c:v>
                </c:pt>
                <c:pt idx="775">
                  <c:v>2283.7776717471725</c:v>
                </c:pt>
                <c:pt idx="776">
                  <c:v>2275.0598896801598</c:v>
                </c:pt>
                <c:pt idx="777">
                  <c:v>2266.2626246463592</c:v>
                </c:pt>
                <c:pt idx="778">
                  <c:v>2257.3862076678702</c:v>
                </c:pt>
                <c:pt idx="779">
                  <c:v>2248.4309719870716</c:v>
                </c:pt>
                <c:pt idx="780">
                  <c:v>2239.397253035107</c:v>
                </c:pt>
                <c:pt idx="781">
                  <c:v>2230.2853884001843</c:v>
                </c:pt>
                <c:pt idx="782">
                  <c:v>2221.0957177956957</c:v>
                </c:pt>
                <c:pt idx="783">
                  <c:v>2211.8285830281675</c:v>
                </c:pt>
                <c:pt idx="784">
                  <c:v>2202.4843279650463</c:v>
                </c:pt>
                <c:pt idx="785">
                  <c:v>2193.0632985023276</c:v>
                </c:pt>
                <c:pt idx="786">
                  <c:v>2183.5658425320371</c:v>
                </c:pt>
                <c:pt idx="787">
                  <c:v>2173.9923099095677</c:v>
                </c:pt>
                <c:pt idx="788">
                  <c:v>2164.3430524208852</c:v>
                </c:pt>
                <c:pt idx="789">
                  <c:v>2154.6184237496027</c:v>
                </c:pt>
                <c:pt idx="790">
                  <c:v>2144.8187794439355</c:v>
                </c:pt>
                <c:pt idx="791">
                  <c:v>2134.9444768835428</c:v>
                </c:pt>
                <c:pt idx="792">
                  <c:v>2124.9958752462617</c:v>
                </c:pt>
                <c:pt idx="793">
                  <c:v>2114.9733354747386</c:v>
                </c:pt>
                <c:pt idx="794">
                  <c:v>2104.8772202429695</c:v>
                </c:pt>
                <c:pt idx="795">
                  <c:v>2094.7078939227517</c:v>
                </c:pt>
                <c:pt idx="796">
                  <c:v>2084.4657225500537</c:v>
                </c:pt>
                <c:pt idx="797">
                  <c:v>2074.1510737913122</c:v>
                </c:pt>
                <c:pt idx="798">
                  <c:v>2063.7643169096609</c:v>
                </c:pt>
                <c:pt idx="799">
                  <c:v>2053.3058227310962</c:v>
                </c:pt>
                <c:pt idx="800">
                  <c:v>2042.7759636105889</c:v>
                </c:pt>
                <c:pt idx="801">
                  <c:v>2032.1751133981463</c:v>
                </c:pt>
                <c:pt idx="802">
                  <c:v>2021.5036474048309</c:v>
                </c:pt>
                <c:pt idx="803">
                  <c:v>2010.7619423687429</c:v>
                </c:pt>
                <c:pt idx="804">
                  <c:v>1999.9503764209717</c:v>
                </c:pt>
                <c:pt idx="805">
                  <c:v>1989.0693290515226</c:v>
                </c:pt>
                <c:pt idx="806">
                  <c:v>1978.1191810752241</c:v>
                </c:pt>
                <c:pt idx="807">
                  <c:v>1967.100314597624</c:v>
                </c:pt>
                <c:pt idx="808">
                  <c:v>1956.0131129808772</c:v>
                </c:pt>
                <c:pt idx="809">
                  <c:v>1944.8579608096329</c:v>
                </c:pt>
                <c:pt idx="810">
                  <c:v>1933.6352438569265</c:v>
                </c:pt>
                <c:pt idx="811">
                  <c:v>1922.3453490500824</c:v>
                </c:pt>
                <c:pt idx="812">
                  <c:v>1910.9886644366322</c:v>
                </c:pt>
                <c:pt idx="813">
                  <c:v>1899.5655791502559</c:v>
                </c:pt>
                <c:pt idx="814">
                  <c:v>1888.0764833767496</c:v>
                </c:pt>
                <c:pt idx="815">
                  <c:v>1876.5217683200269</c:v>
                </c:pt>
                <c:pt idx="816">
                  <c:v>1864.901826168159</c:v>
                </c:pt>
                <c:pt idx="817">
                  <c:v>1853.2170500594582</c:v>
                </c:pt>
                <c:pt idx="818">
                  <c:v>1841.4678340486116</c:v>
                </c:pt>
                <c:pt idx="819">
                  <c:v>1829.6545730728697</c:v>
                </c:pt>
                <c:pt idx="820">
                  <c:v>1817.7776629182949</c:v>
                </c:pt>
                <c:pt idx="821">
                  <c:v>1805.8375001860766</c:v>
                </c:pt>
                <c:pt idx="822">
                  <c:v>1793.8344822589152</c:v>
                </c:pt>
                <c:pt idx="823">
                  <c:v>1781.7690072674841</c:v>
                </c:pt>
                <c:pt idx="824">
                  <c:v>1769.6414740569717</c:v>
                </c:pt>
                <c:pt idx="825">
                  <c:v>1757.4522821537103</c:v>
                </c:pt>
                <c:pt idx="826">
                  <c:v>1745.2018317318957</c:v>
                </c:pt>
                <c:pt idx="827">
                  <c:v>1732.8905235804039</c:v>
                </c:pt>
                <c:pt idx="828">
                  <c:v>1720.5187590697078</c:v>
                </c:pt>
                <c:pt idx="829">
                  <c:v>1708.0869401189022</c:v>
                </c:pt>
                <c:pt idx="830">
                  <c:v>1695.5954691628369</c:v>
                </c:pt>
                <c:pt idx="831">
                  <c:v>1683.0447491193681</c:v>
                </c:pt>
                <c:pt idx="832">
                  <c:v>1670.4351833567291</c:v>
                </c:pt>
                <c:pt idx="833">
                  <c:v>1657.7671756610262</c:v>
                </c:pt>
                <c:pt idx="834">
                  <c:v>1645.0411302038647</c:v>
                </c:pt>
                <c:pt idx="835">
                  <c:v>1632.2574515101091</c:v>
                </c:pt>
                <c:pt idx="836">
                  <c:v>1619.4165444257826</c:v>
                </c:pt>
                <c:pt idx="837">
                  <c:v>1606.5188140861087</c:v>
                </c:pt>
                <c:pt idx="838">
                  <c:v>1593.564665883702</c:v>
                </c:pt>
                <c:pt idx="839">
                  <c:v>1580.5545054369099</c:v>
                </c:pt>
                <c:pt idx="840">
                  <c:v>1567.4887385583115</c:v>
                </c:pt>
                <c:pt idx="841">
                  <c:v>1554.3677712233764</c:v>
                </c:pt>
                <c:pt idx="842">
                  <c:v>1541.1920095392884</c:v>
                </c:pt>
                <c:pt idx="843">
                  <c:v>1527.9618597139374</c:v>
                </c:pt>
                <c:pt idx="844">
                  <c:v>1514.6777280250856</c:v>
                </c:pt>
                <c:pt idx="845">
                  <c:v>1501.3400207897084</c:v>
                </c:pt>
                <c:pt idx="846">
                  <c:v>1487.9491443335178</c:v>
                </c:pt>
                <c:pt idx="847">
                  <c:v>1474.5055049606692</c:v>
                </c:pt>
                <c:pt idx="848">
                  <c:v>1461.0095089236565</c:v>
                </c:pt>
                <c:pt idx="849">
                  <c:v>1447.4615623933996</c:v>
                </c:pt>
                <c:pt idx="850">
                  <c:v>1433.8620714295278</c:v>
                </c:pt>
                <c:pt idx="851">
                  <c:v>1420.2114419508609</c:v>
                </c:pt>
                <c:pt idx="852">
                  <c:v>1406.5100797060954</c:v>
                </c:pt>
                <c:pt idx="853">
                  <c:v>1392.7583902446941</c:v>
                </c:pt>
                <c:pt idx="854">
                  <c:v>1378.9567788879872</c:v>
                </c:pt>
                <c:pt idx="855">
                  <c:v>1365.1056507004857</c:v>
                </c:pt>
                <c:pt idx="856">
                  <c:v>1351.205410461411</c:v>
                </c:pt>
                <c:pt idx="857">
                  <c:v>1337.2564626364428</c:v>
                </c:pt>
                <c:pt idx="858">
                  <c:v>1323.2592113496908</c:v>
                </c:pt>
                <c:pt idx="859">
                  <c:v>1309.2140603558903</c:v>
                </c:pt>
                <c:pt idx="860">
                  <c:v>1295.1214130128276</c:v>
                </c:pt>
                <c:pt idx="861">
                  <c:v>1280.9816722539956</c:v>
                </c:pt>
                <c:pt idx="862">
                  <c:v>1266.795240561484</c:v>
                </c:pt>
                <c:pt idx="863">
                  <c:v>1252.5625199391054</c:v>
                </c:pt>
                <c:pt idx="864">
                  <c:v>1238.2839118857623</c:v>
                </c:pt>
                <c:pt idx="865">
                  <c:v>1223.9598173690551</c:v>
                </c:pt>
                <c:pt idx="866">
                  <c:v>1209.5906367991354</c:v>
                </c:pt>
                <c:pt idx="867">
                  <c:v>1195.1767700028058</c:v>
                </c:pt>
                <c:pt idx="868">
                  <c:v>1180.7186161978696</c:v>
                </c:pt>
                <c:pt idx="869">
                  <c:v>1166.2165739677323</c:v>
                </c:pt>
                <c:pt idx="870">
                  <c:v>1151.6710412362575</c:v>
                </c:pt>
                <c:pt idx="871">
                  <c:v>1137.0824152428777</c:v>
                </c:pt>
                <c:pt idx="872">
                  <c:v>1122.4510925179659</c:v>
                </c:pt>
                <c:pt idx="873">
                  <c:v>1107.7774688584652</c:v>
                </c:pt>
                <c:pt idx="874">
                  <c:v>1093.0619393037819</c:v>
                </c:pt>
                <c:pt idx="875">
                  <c:v>1078.304898111943</c:v>
                </c:pt>
                <c:pt idx="876">
                  <c:v>1063.5067387360195</c:v>
                </c:pt>
                <c:pt idx="877">
                  <c:v>1048.667853800818</c:v>
                </c:pt>
                <c:pt idx="878">
                  <c:v>1033.7886350798401</c:v>
                </c:pt>
                <c:pt idx="879">
                  <c:v>1018.869473472516</c:v>
                </c:pt>
                <c:pt idx="880">
                  <c:v>1003.9107589817079</c:v>
                </c:pt>
                <c:pt idx="881">
                  <c:v>988.91288069148891</c:v>
                </c:pt>
                <c:pt idx="882">
                  <c:v>973.87622674519753</c:v>
                </c:pt>
                <c:pt idx="883">
                  <c:v>958.80118432376821</c:v>
                </c:pt>
                <c:pt idx="884">
                  <c:v>943.68813962434103</c:v>
                </c:pt>
                <c:pt idx="885">
                  <c:v>928.53747783914969</c:v>
                </c:pt>
                <c:pt idx="886">
                  <c:v>913.34958313469053</c:v>
                </c:pt>
                <c:pt idx="887">
                  <c:v>898.12483863117268</c:v>
                </c:pt>
                <c:pt idx="888">
                  <c:v>882.86362638225057</c:v>
                </c:pt>
                <c:pt idx="889">
                  <c:v>867.56632735504036</c:v>
                </c:pt>
                <c:pt idx="890">
                  <c:v>852.23332141041942</c:v>
                </c:pt>
                <c:pt idx="891">
                  <c:v>836.86498728361153</c:v>
                </c:pt>
                <c:pt idx="892">
                  <c:v>821.46170256505764</c:v>
                </c:pt>
                <c:pt idx="893">
                  <c:v>806.02384368157243</c:v>
                </c:pt>
                <c:pt idx="894">
                  <c:v>790.55178587778801</c:v>
                </c:pt>
                <c:pt idx="895">
                  <c:v>775.04590319788451</c:v>
                </c:pt>
                <c:pt idx="896">
                  <c:v>759.50656846760887</c:v>
                </c:pt>
                <c:pt idx="897">
                  <c:v>743.93415327658158</c:v>
                </c:pt>
                <c:pt idx="898">
                  <c:v>728.32902796089138</c:v>
                </c:pt>
                <c:pt idx="899">
                  <c:v>712.69156158597877</c:v>
                </c:pt>
                <c:pt idx="900">
                  <c:v>697.02212192980869</c:v>
                </c:pt>
                <c:pt idx="901">
                  <c:v>681.32107546633131</c:v>
                </c:pt>
                <c:pt idx="902">
                  <c:v>665.58878734923235</c:v>
                </c:pt>
                <c:pt idx="903">
                  <c:v>649.82562139597212</c:v>
                </c:pt>
                <c:pt idx="904">
                  <c:v>634.03194007211289</c:v>
                </c:pt>
                <c:pt idx="905">
                  <c:v>618.20810447593567</c:v>
                </c:pt>
                <c:pt idx="906">
                  <c:v>602.35447432334479</c:v>
                </c:pt>
                <c:pt idx="907">
                  <c:v>586.47140793306107</c:v>
                </c:pt>
                <c:pt idx="908">
                  <c:v>570.55926221210245</c:v>
                </c:pt>
                <c:pt idx="909">
                  <c:v>554.61839264155276</c:v>
                </c:pt>
                <c:pt idx="910">
                  <c:v>538.64915326261632</c:v>
                </c:pt>
                <c:pt idx="911">
                  <c:v>522.65189666296044</c:v>
                </c:pt>
                <c:pt idx="912">
                  <c:v>506.62697396334289</c:v>
                </c:pt>
                <c:pt idx="913">
                  <c:v>490.57473480452506</c:v>
                </c:pt>
                <c:pt idx="914">
                  <c:v>474.49552733446984</c:v>
                </c:pt>
                <c:pt idx="915">
                  <c:v>458.38969819582331</c:v>
                </c:pt>
                <c:pt idx="916">
                  <c:v>442.25759251367981</c:v>
                </c:pt>
                <c:pt idx="917">
                  <c:v>426.09955388362908</c:v>
                </c:pt>
                <c:pt idx="918">
                  <c:v>409.91592436008523</c:v>
                </c:pt>
                <c:pt idx="919">
                  <c:v>393.70704444489593</c:v>
                </c:pt>
                <c:pt idx="920">
                  <c:v>377.47325307623129</c:v>
                </c:pt>
                <c:pt idx="921">
                  <c:v>361.21488761775129</c:v>
                </c:pt>
                <c:pt idx="922">
                  <c:v>344.93228384805059</c:v>
                </c:pt>
                <c:pt idx="923">
                  <c:v>328.6257759503797</c:v>
                </c:pt>
                <c:pt idx="924">
                  <c:v>312.29569650264142</c:v>
                </c:pt>
                <c:pt idx="925">
                  <c:v>295.94237646766089</c:v>
                </c:pt>
                <c:pt idx="926">
                  <c:v>279.56614518372862</c:v>
                </c:pt>
                <c:pt idx="927">
                  <c:v>263.16733035541472</c:v>
                </c:pt>
                <c:pt idx="928">
                  <c:v>246.74625804465305</c:v>
                </c:pt>
                <c:pt idx="929">
                  <c:v>230.30325266209417</c:v>
                </c:pt>
                <c:pt idx="930">
                  <c:v>213.83863695872537</c:v>
                </c:pt>
                <c:pt idx="931">
                  <c:v>197.35273201775627</c:v>
                </c:pt>
                <c:pt idx="932">
                  <c:v>180.84585724676873</c:v>
                </c:pt>
                <c:pt idx="933">
                  <c:v>164.31833037012933</c:v>
                </c:pt>
                <c:pt idx="934">
                  <c:v>147.7704674216628</c:v>
                </c:pt>
                <c:pt idx="935">
                  <c:v>131.20258273758495</c:v>
                </c:pt>
                <c:pt idx="936">
                  <c:v>114.61498894969317</c:v>
                </c:pt>
                <c:pt idx="937">
                  <c:v>98.007996978813054</c:v>
                </c:pt>
                <c:pt idx="938">
                  <c:v>81.381916028499205</c:v>
                </c:pt>
                <c:pt idx="939">
                  <c:v>64.737053578988593</c:v>
                </c:pt>
                <c:pt idx="940">
                  <c:v>48.073715381404583</c:v>
                </c:pt>
                <c:pt idx="941">
                  <c:v>31.392205452209758</c:v>
                </c:pt>
                <c:pt idx="942">
                  <c:v>14.69282606790582</c:v>
                </c:pt>
                <c:pt idx="943">
                  <c:v>-2.0241222400214909</c:v>
                </c:pt>
                <c:pt idx="944">
                  <c:v>-2.0408479064373886</c:v>
                </c:pt>
                <c:pt idx="945">
                  <c:v>-2.0575735899743273</c:v>
                </c:pt>
                <c:pt idx="946">
                  <c:v>-2.0742992906320117</c:v>
                </c:pt>
                <c:pt idx="947">
                  <c:v>-2.0910250084101465</c:v>
                </c:pt>
                <c:pt idx="948">
                  <c:v>-2.1077507433084359</c:v>
                </c:pt>
                <c:pt idx="949">
                  <c:v>-2.1244764953265842</c:v>
                </c:pt>
                <c:pt idx="950">
                  <c:v>-2.1412022644642961</c:v>
                </c:pt>
                <c:pt idx="951">
                  <c:v>-2.1579280507212757</c:v>
                </c:pt>
                <c:pt idx="952">
                  <c:v>-2.1746538540972273</c:v>
                </c:pt>
                <c:pt idx="953">
                  <c:v>-2.1913796745918557</c:v>
                </c:pt>
                <c:pt idx="954">
                  <c:v>-2.208105512204865</c:v>
                </c:pt>
                <c:pt idx="955">
                  <c:v>-2.2248313669359598</c:v>
                </c:pt>
                <c:pt idx="956">
                  <c:v>-2.2415572387848446</c:v>
                </c:pt>
                <c:pt idx="957">
                  <c:v>-2.2582831277512234</c:v>
                </c:pt>
                <c:pt idx="958">
                  <c:v>-2.275009033834801</c:v>
                </c:pt>
                <c:pt idx="959">
                  <c:v>-2.2917349570352816</c:v>
                </c:pt>
                <c:pt idx="960">
                  <c:v>-2.3084608973523699</c:v>
                </c:pt>
                <c:pt idx="961">
                  <c:v>-2.3251868547857701</c:v>
                </c:pt>
                <c:pt idx="962">
                  <c:v>-2.3419128293351865</c:v>
                </c:pt>
                <c:pt idx="963">
                  <c:v>-2.3586388210003237</c:v>
                </c:pt>
                <c:pt idx="964">
                  <c:v>-2.3753648297808865</c:v>
                </c:pt>
                <c:pt idx="965">
                  <c:v>-2.392090855676579</c:v>
                </c:pt>
                <c:pt idx="966">
                  <c:v>-2.4088168986871055</c:v>
                </c:pt>
                <c:pt idx="967">
                  <c:v>-2.4255429588121706</c:v>
                </c:pt>
                <c:pt idx="968">
                  <c:v>-2.4422690360514787</c:v>
                </c:pt>
                <c:pt idx="969">
                  <c:v>-2.4589951304047339</c:v>
                </c:pt>
                <c:pt idx="970">
                  <c:v>-2.475721241871641</c:v>
                </c:pt>
                <c:pt idx="971">
                  <c:v>-2.4924473704519046</c:v>
                </c:pt>
                <c:pt idx="972">
                  <c:v>-2.5091735161452289</c:v>
                </c:pt>
                <c:pt idx="973">
                  <c:v>-2.5258996789513182</c:v>
                </c:pt>
                <c:pt idx="974">
                  <c:v>-2.5426258588698771</c:v>
                </c:pt>
                <c:pt idx="975">
                  <c:v>-2.5593520559006104</c:v>
                </c:pt>
                <c:pt idx="976">
                  <c:v>-2.5760782700432219</c:v>
                </c:pt>
                <c:pt idx="977">
                  <c:v>-2.5928045012974166</c:v>
                </c:pt>
                <c:pt idx="978">
                  <c:v>-2.6095307496628988</c:v>
                </c:pt>
                <c:pt idx="979">
                  <c:v>-2.6262570151393727</c:v>
                </c:pt>
                <c:pt idx="980">
                  <c:v>-2.6429832977265431</c:v>
                </c:pt>
                <c:pt idx="981">
                  <c:v>-2.6597095974241141</c:v>
                </c:pt>
                <c:pt idx="982">
                  <c:v>-2.6764359142317904</c:v>
                </c:pt>
                <c:pt idx="983">
                  <c:v>-2.6931622481492763</c:v>
                </c:pt>
                <c:pt idx="984">
                  <c:v>-2.7098885991762764</c:v>
                </c:pt>
                <c:pt idx="985">
                  <c:v>-2.7266149673124955</c:v>
                </c:pt>
                <c:pt idx="986">
                  <c:v>-2.7433413525576378</c:v>
                </c:pt>
                <c:pt idx="987">
                  <c:v>-2.7600677549114074</c:v>
                </c:pt>
                <c:pt idx="988">
                  <c:v>-2.7767941743735092</c:v>
                </c:pt>
                <c:pt idx="989">
                  <c:v>-2.7935206109436472</c:v>
                </c:pt>
                <c:pt idx="990">
                  <c:v>-2.8102470646215263</c:v>
                </c:pt>
                <c:pt idx="991">
                  <c:v>-2.826973535406851</c:v>
                </c:pt>
                <c:pt idx="992">
                  <c:v>-2.8437000232993257</c:v>
                </c:pt>
                <c:pt idx="993">
                  <c:v>-2.860426528298655</c:v>
                </c:pt>
                <c:pt idx="994">
                  <c:v>-2.8771530504045431</c:v>
                </c:pt>
                <c:pt idx="995">
                  <c:v>-2.8938795896166947</c:v>
                </c:pt>
                <c:pt idx="996">
                  <c:v>-2.910606145934814</c:v>
                </c:pt>
                <c:pt idx="997">
                  <c:v>-2.9273327193586058</c:v>
                </c:pt>
                <c:pt idx="998">
                  <c:v>-2.9440593098877743</c:v>
                </c:pt>
                <c:pt idx="999">
                  <c:v>-2.9607859175220241</c:v>
                </c:pt>
                <c:pt idx="1000">
                  <c:v>-2.97751254226106</c:v>
                </c:pt>
              </c:numCache>
            </c:numRef>
          </c:yVal>
          <c:smooth val="1"/>
          <c:extLst>
            <c:ext xmlns:c16="http://schemas.microsoft.com/office/drawing/2014/chart" uri="{C3380CC4-5D6E-409C-BE32-E72D297353CC}">
              <c16:uniqueId val="{00000001-3E62-4C97-96C4-8569A9DB8ECB}"/>
            </c:ext>
          </c:extLst>
        </c:ser>
        <c:ser>
          <c:idx val="2"/>
          <c:order val="2"/>
          <c:tx>
            <c:strRef>
              <c:f>Trajecto!$B$107</c:f>
              <c:strCache>
                <c:ptCount val="1"/>
                <c:pt idx="0">
                  <c:v>Descente balistique</c:v>
                </c:pt>
              </c:strCache>
            </c:strRef>
          </c:tx>
          <c:spPr>
            <a:ln w="12700">
              <a:solidFill>
                <a:srgbClr val="808080"/>
              </a:solidFill>
              <a:prstDash val="sysDash"/>
            </a:ln>
          </c:spPr>
          <c:marker>
            <c:symbol val="none"/>
          </c:marker>
          <c:xVal>
            <c:numRef>
              <c:f>Calculs!$J$4:$J$1004</c:f>
              <c:numCache>
                <c:formatCode>0.00</c:formatCode>
                <c:ptCount val="1001"/>
                <c:pt idx="0">
                  <c:v>0</c:v>
                </c:pt>
                <c:pt idx="1">
                  <c:v>7.8068751954264885E-5</c:v>
                </c:pt>
                <c:pt idx="2">
                  <c:v>4.9095286477249906E-4</c:v>
                </c:pt>
                <c:pt idx="3">
                  <c:v>1.491499651660652E-3</c:v>
                </c:pt>
                <c:pt idx="4">
                  <c:v>3.2281038197528025E-3</c:v>
                </c:pt>
                <c:pt idx="5">
                  <c:v>5.8492808278684336E-3</c:v>
                </c:pt>
                <c:pt idx="6">
                  <c:v>9.5036851467721461E-3</c:v>
                </c:pt>
                <c:pt idx="7">
                  <c:v>1.4340128393698361E-2</c:v>
                </c:pt>
                <c:pt idx="8">
                  <c:v>2.0507597347900114E-2</c:v>
                </c:pt>
                <c:pt idx="9">
                  <c:v>2.8155271853811829E-2</c:v>
                </c:pt>
                <c:pt idx="10">
                  <c:v>3.7432542618253434E-2</c:v>
                </c:pt>
                <c:pt idx="11">
                  <c:v>4.8446342531492076E-2</c:v>
                </c:pt>
                <c:pt idx="12">
                  <c:v>6.1218376256263245E-2</c:v>
                </c:pt>
                <c:pt idx="13">
                  <c:v>7.5727341292476033E-2</c:v>
                </c:pt>
                <c:pt idx="14">
                  <c:v>9.1951241537507958E-2</c:v>
                </c:pt>
                <c:pt idx="15">
                  <c:v>0.10986771199158872</c:v>
                </c:pt>
                <c:pt idx="16">
                  <c:v>0.12945434417839446</c:v>
                </c:pt>
                <c:pt idx="17">
                  <c:v>0.15068868684830125</c:v>
                </c:pt>
                <c:pt idx="18">
                  <c:v>0.17354824668143701</c:v>
                </c:pt>
                <c:pt idx="19">
                  <c:v>0.19801048899043697</c:v>
                </c:pt>
                <c:pt idx="20">
                  <c:v>0.22405283842280838</c:v>
                </c:pt>
                <c:pt idx="21">
                  <c:v>0.25165267966281074</c:v>
                </c:pt>
                <c:pt idx="22">
                  <c:v>0.28078735813275829</c:v>
                </c:pt>
                <c:pt idx="23">
                  <c:v>0.3114341806936517</c:v>
                </c:pt>
                <c:pt idx="24">
                  <c:v>0.34357041634504742</c:v>
                </c:pt>
                <c:pt idx="25">
                  <c:v>0.37717329692407253</c:v>
                </c:pt>
                <c:pt idx="26">
                  <c:v>0.41222001780349443</c:v>
                </c:pt>
                <c:pt idx="27">
                  <c:v>0.4486934755336166</c:v>
                </c:pt>
                <c:pt idx="28">
                  <c:v>0.48658801524163342</c:v>
                </c:pt>
                <c:pt idx="29">
                  <c:v>0.52590370847629642</c:v>
                </c:pt>
                <c:pt idx="30">
                  <c:v>0.56664062094254497</c:v>
                </c:pt>
                <c:pt idx="31">
                  <c:v>0.60879881249398415</c:v>
                </c:pt>
                <c:pt idx="32">
                  <c:v>0.65237833712547566</c:v>
                </c:pt>
                <c:pt idx="33">
                  <c:v>0.69737924296584208</c:v>
                </c:pt>
                <c:pt idx="34">
                  <c:v>0.74388549123856906</c:v>
                </c:pt>
                <c:pt idx="35">
                  <c:v>0.79198382357487807</c:v>
                </c:pt>
                <c:pt idx="36">
                  <c:v>0.84167981149815985</c:v>
                </c:pt>
                <c:pt idx="37">
                  <c:v>0.89297891976032984</c:v>
                </c:pt>
                <c:pt idx="38">
                  <c:v>0.94588647212092636</c:v>
                </c:pt>
                <c:pt idx="39">
                  <c:v>1.0004076582255235</c:v>
                </c:pt>
                <c:pt idx="40">
                  <c:v>1.0565475399556052</c:v>
                </c:pt>
                <c:pt idx="41">
                  <c:v>1.1143110573030335</c:v>
                </c:pt>
                <c:pt idx="42">
                  <c:v>1.1737030338156953</c:v>
                </c:pt>
                <c:pt idx="43">
                  <c:v>1.2347281816553242</c:v>
                </c:pt>
                <c:pt idx="44">
                  <c:v>1.2973911063036803</c:v>
                </c:pt>
                <c:pt idx="45">
                  <c:v>1.3616963109491329</c:v>
                </c:pt>
                <c:pt idx="46">
                  <c:v>1.4276482005821052</c:v>
                </c:pt>
                <c:pt idx="47">
                  <c:v>1.4952510858247257</c:v>
                </c:pt>
                <c:pt idx="48">
                  <c:v>1.5645091865173242</c:v>
                </c:pt>
                <c:pt idx="49">
                  <c:v>1.6354266350820348</c:v>
                </c:pt>
                <c:pt idx="50">
                  <c:v>1.708007479681698</c:v>
                </c:pt>
                <c:pt idx="51">
                  <c:v>1.7822556871904225</c:v>
                </c:pt>
                <c:pt idx="52">
                  <c:v>1.8581751459905624</c:v>
                </c:pt>
                <c:pt idx="53">
                  <c:v>1.935769668609439</c:v>
                </c:pt>
                <c:pt idx="54">
                  <c:v>2.0150429942078798</c:v>
                </c:pt>
                <c:pt idx="55">
                  <c:v>2.0959987909315236</c:v>
                </c:pt>
                <c:pt idx="56">
                  <c:v>2.178640658134849</c:v>
                </c:pt>
                <c:pt idx="57">
                  <c:v>2.2629721284869864</c:v>
                </c:pt>
                <c:pt idx="58">
                  <c:v>2.3489966699675864</c:v>
                </c:pt>
                <c:pt idx="59">
                  <c:v>2.4367176877602996</c:v>
                </c:pt>
                <c:pt idx="60">
                  <c:v>2.526138526050782</c:v>
                </c:pt>
                <c:pt idx="61">
                  <c:v>2.6172624697355684</c:v>
                </c:pt>
                <c:pt idx="62">
                  <c:v>2.710092746047633</c:v>
                </c:pt>
                <c:pt idx="63">
                  <c:v>2.8046325261039899</c:v>
                </c:pt>
                <c:pt idx="64">
                  <c:v>2.9008849263802619</c:v>
                </c:pt>
                <c:pt idx="65">
                  <c:v>2.9988530101167599</c:v>
                </c:pt>
                <c:pt idx="66">
                  <c:v>3.0985397886602688</c:v>
                </c:pt>
                <c:pt idx="67">
                  <c:v>3.1999482227454195</c:v>
                </c:pt>
                <c:pt idx="68">
                  <c:v>3.3030812237192322</c:v>
                </c:pt>
                <c:pt idx="69">
                  <c:v>3.4079416547121633</c:v>
                </c:pt>
                <c:pt idx="70">
                  <c:v>3.514532331758736</c:v>
                </c:pt>
                <c:pt idx="71">
                  <c:v>3.6228560248706261</c:v>
                </c:pt>
                <c:pt idx="72">
                  <c:v>3.7329153871638754</c:v>
                </c:pt>
                <c:pt idx="73">
                  <c:v>3.8447128834770434</c:v>
                </c:pt>
                <c:pt idx="74">
                  <c:v>3.9582508625983306</c:v>
                </c:pt>
                <c:pt idx="75">
                  <c:v>4.073531629934152</c:v>
                </c:pt>
                <c:pt idx="76">
                  <c:v>4.1905574484059347</c:v>
                </c:pt>
                <c:pt idx="77">
                  <c:v>4.3093305393119046</c:v>
                </c:pt>
                <c:pt idx="78">
                  <c:v>4.4298530831556828</c:v>
                </c:pt>
                <c:pt idx="79">
                  <c:v>4.5521272204433982</c:v>
                </c:pt>
                <c:pt idx="80">
                  <c:v>4.6761550524509081</c:v>
                </c:pt>
                <c:pt idx="81">
                  <c:v>4.8019386419626269</c:v>
                </c:pt>
                <c:pt idx="82">
                  <c:v>4.9294800139833637</c:v>
                </c:pt>
                <c:pt idx="83">
                  <c:v>5.05878115642449</c:v>
                </c:pt>
                <c:pt idx="84">
                  <c:v>5.1898440207656753</c:v>
                </c:pt>
                <c:pt idx="85">
                  <c:v>5.3226705226933548</c:v>
                </c:pt>
                <c:pt idx="86">
                  <c:v>5.4572625427170278</c:v>
                </c:pt>
                <c:pt idx="87">
                  <c:v>5.5936219267644214</c:v>
                </c:pt>
                <c:pt idx="88">
                  <c:v>5.7317504867564901</c:v>
                </c:pt>
                <c:pt idx="89">
                  <c:v>5.8716500011631743</c:v>
                </c:pt>
                <c:pt idx="90">
                  <c:v>6.0133222155407804</c:v>
                </c:pt>
                <c:pt idx="91">
                  <c:v>6.1567688430518057</c:v>
                </c:pt>
                <c:pt idx="92">
                  <c:v>6.3019915649679819</c:v>
                </c:pt>
                <c:pt idx="93">
                  <c:v>6.4489920311572675</c:v>
                </c:pt>
                <c:pt idx="94">
                  <c:v>6.5977718605554845</c:v>
                </c:pt>
                <c:pt idx="95">
                  <c:v>6.7483326416232554</c:v>
                </c:pt>
                <c:pt idx="96">
                  <c:v>6.9006759327888618</c:v>
                </c:pt>
                <c:pt idx="97">
                  <c:v>7.0548032628776145</c:v>
                </c:pt>
                <c:pt idx="98">
                  <c:v>7.2107161315282955</c:v>
                </c:pt>
                <c:pt idx="99">
                  <c:v>7.3684160095972047</c:v>
                </c:pt>
                <c:pt idx="100">
                  <c:v>7.5279043395503074</c:v>
                </c:pt>
                <c:pt idx="101">
                  <c:v>7.6891825358439734</c:v>
                </c:pt>
                <c:pt idx="102">
                  <c:v>7.8522519852947568</c:v>
                </c:pt>
                <c:pt idx="103">
                  <c:v>8.017114047438648</c:v>
                </c:pt>
                <c:pt idx="104">
                  <c:v>8.1837700548802133</c:v>
                </c:pt>
                <c:pt idx="105">
                  <c:v>8.3522213136320183</c:v>
                </c:pt>
                <c:pt idx="106">
                  <c:v>8.5224691034447044</c:v>
                </c:pt>
                <c:pt idx="107">
                  <c:v>8.6945146781280709</c:v>
                </c:pt>
                <c:pt idx="108">
                  <c:v>8.8683592658635124</c:v>
                </c:pt>
                <c:pt idx="109">
                  <c:v>9.0440040695081336</c:v>
                </c:pt>
                <c:pt idx="110">
                  <c:v>9.2214502668908409</c:v>
                </c:pt>
                <c:pt idx="111">
                  <c:v>9.4006990111007216</c:v>
                </c:pt>
                <c:pt idx="112">
                  <c:v>9.5817514307679783</c:v>
                </c:pt>
                <c:pt idx="113">
                  <c:v>9.7646086303376993</c:v>
                </c:pt>
                <c:pt idx="114">
                  <c:v>9.9492716903367224</c:v>
                </c:pt>
                <c:pt idx="115">
                  <c:v>10.135741667633825</c:v>
                </c:pt>
                <c:pt idx="116">
                  <c:v>10.324019595693493</c:v>
                </c:pt>
                <c:pt idx="117">
                  <c:v>10.514106484823488</c:v>
                </c:pt>
                <c:pt idx="118">
                  <c:v>10.706003322416429</c:v>
                </c:pt>
                <c:pt idx="119">
                  <c:v>10.899711073185587</c:v>
                </c:pt>
                <c:pt idx="120">
                  <c:v>11.095230679395115</c:v>
                </c:pt>
                <c:pt idx="121">
                  <c:v>11.292563061084872</c:v>
                </c:pt>
                <c:pt idx="122">
                  <c:v>11.49170911629005</c:v>
                </c:pt>
                <c:pt idx="123">
                  <c:v>11.692669721255763</c:v>
                </c:pt>
                <c:pt idx="124">
                  <c:v>11.895445730646776</c:v>
                </c:pt>
                <c:pt idx="125">
                  <c:v>12.100037977752521</c:v>
                </c:pt>
                <c:pt idx="126">
                  <c:v>12.306447274687578</c:v>
                </c:pt>
                <c:pt idx="127">
                  <c:v>12.514674412587741</c:v>
                </c:pt>
                <c:pt idx="128">
                  <c:v>12.724720161801841</c:v>
                </c:pt>
                <c:pt idx="129">
                  <c:v>12.936584915926213</c:v>
                </c:pt>
                <c:pt idx="130">
                  <c:v>13.150268334391523</c:v>
                </c:pt>
                <c:pt idx="131">
                  <c:v>13.365769696911332</c:v>
                </c:pt>
                <c:pt idx="132">
                  <c:v>13.583088259396911</c:v>
                </c:pt>
                <c:pt idx="133">
                  <c:v>13.802223254181962</c:v>
                </c:pt>
                <c:pt idx="134">
                  <c:v>14.02317389024299</c:v>
                </c:pt>
                <c:pt idx="135">
                  <c:v>14.245939353415459</c:v>
                </c:pt>
                <c:pt idx="136">
                  <c:v>14.470518806605869</c:v>
                </c:pt>
                <c:pt idx="137">
                  <c:v>14.696911389999887</c:v>
                </c:pt>
                <c:pt idx="138">
                  <c:v>14.92511622126665</c:v>
                </c:pt>
                <c:pt idx="139">
                  <c:v>15.15513239575936</c:v>
                </c:pt>
                <c:pt idx="140">
                  <c:v>15.386958986712287</c:v>
                </c:pt>
                <c:pt idx="141">
                  <c:v>15.620595045434301</c:v>
                </c:pt>
                <c:pt idx="142">
                  <c:v>15.856039601499019</c:v>
                </c:pt>
                <c:pt idx="143">
                  <c:v>16.09329166293168</c:v>
                </c:pt>
                <c:pt idx="144">
                  <c:v>16.332350216392864</c:v>
                </c:pt>
                <c:pt idx="145">
                  <c:v>16.573214227359109</c:v>
                </c:pt>
                <c:pt idx="146">
                  <c:v>16.815882640300561</c:v>
                </c:pt>
                <c:pt idx="147">
                  <c:v>17.060354378855717</c:v>
                </c:pt>
                <c:pt idx="148">
                  <c:v>17.306628346003361</c:v>
                </c:pt>
                <c:pt idx="149">
                  <c:v>17.554703424231771</c:v>
                </c:pt>
                <c:pt idx="150">
                  <c:v>17.804578475705274</c:v>
                </c:pt>
                <c:pt idx="151">
                  <c:v>18.056252342428216</c:v>
                </c:pt>
                <c:pt idx="152">
                  <c:v>18.309723846406456</c:v>
                </c:pt>
                <c:pt idx="153">
                  <c:v>18.564991789806406</c:v>
                </c:pt>
                <c:pt idx="154">
                  <c:v>18.822054955111732</c:v>
                </c:pt>
                <c:pt idx="155">
                  <c:v>19.080912105277747</c:v>
                </c:pt>
                <c:pt idx="156">
                  <c:v>19.341561983883583</c:v>
                </c:pt>
                <c:pt idx="157">
                  <c:v>19.604003315282192</c:v>
                </c:pt>
                <c:pt idx="158">
                  <c:v>19.868234804748241</c:v>
                </c:pt>
                <c:pt idx="159">
                  <c:v>20.134255138623963</c:v>
                </c:pt>
                <c:pt idx="160">
                  <c:v>20.402062984463008</c:v>
                </c:pt>
                <c:pt idx="161">
                  <c:v>20.671656991172348</c:v>
                </c:pt>
                <c:pt idx="162">
                  <c:v>20.943035789152326</c:v>
                </c:pt>
                <c:pt idx="163">
                  <c:v>21.216197990434825</c:v>
                </c:pt>
                <c:pt idx="164">
                  <c:v>21.491142188819694</c:v>
                </c:pt>
                <c:pt idx="165">
                  <c:v>21.767866960009396</c:v>
                </c:pt>
                <c:pt idx="166">
                  <c:v>22.046370861741995</c:v>
                </c:pt>
                <c:pt idx="167">
                  <c:v>22.326652433922472</c:v>
                </c:pt>
                <c:pt idx="168">
                  <c:v>22.608710198752444</c:v>
                </c:pt>
                <c:pt idx="169">
                  <c:v>22.892542660858318</c:v>
                </c:pt>
                <c:pt idx="170">
                  <c:v>23.178148307417917</c:v>
                </c:pt>
                <c:pt idx="171">
                  <c:v>23.465525608285631</c:v>
                </c:pt>
                <c:pt idx="172">
                  <c:v>23.754673016116104</c:v>
                </c:pt>
                <c:pt idx="173">
                  <c:v>24.045588966486527</c:v>
                </c:pt>
                <c:pt idx="174">
                  <c:v>24.338271878017547</c:v>
                </c:pt>
                <c:pt idx="175">
                  <c:v>24.632720152492837</c:v>
                </c:pt>
                <c:pt idx="176">
                  <c:v>24.928932174977362</c:v>
                </c:pt>
                <c:pt idx="177">
                  <c:v>25.226906313934361</c:v>
                </c:pt>
                <c:pt idx="178">
                  <c:v>25.526640921341095</c:v>
                </c:pt>
                <c:pt idx="179">
                  <c:v>25.828134332803376</c:v>
                </c:pt>
                <c:pt idx="180">
                  <c:v>26.131384867668917</c:v>
                </c:pt>
                <c:pt idx="181">
                  <c:v>26.436390829139519</c:v>
                </c:pt>
                <c:pt idx="182">
                  <c:v>26.743150504382143</c:v>
                </c:pt>
                <c:pt idx="183">
                  <c:v>27.051662164638863</c:v>
                </c:pt>
                <c:pt idx="184">
                  <c:v>27.36192406533576</c:v>
                </c:pt>
                <c:pt idx="185">
                  <c:v>27.673934446190763</c:v>
                </c:pt>
                <c:pt idx="186">
                  <c:v>27.987691531320461</c:v>
                </c:pt>
                <c:pt idx="187">
                  <c:v>28.303193529345918</c:v>
                </c:pt>
                <c:pt idx="188">
                  <c:v>28.620438633497503</c:v>
                </c:pt>
                <c:pt idx="189">
                  <c:v>28.939425021718783</c:v>
                </c:pt>
                <c:pt idx="190">
                  <c:v>29.260150856769457</c:v>
                </c:pt>
                <c:pt idx="191">
                  <c:v>29.582614286327395</c:v>
                </c:pt>
                <c:pt idx="192">
                  <c:v>29.906813443089781</c:v>
                </c:pt>
                <c:pt idx="193">
                  <c:v>30.232746444873388</c:v>
                </c:pt>
                <c:pt idx="194">
                  <c:v>30.560411394713984</c:v>
                </c:pt>
                <c:pt idx="195">
                  <c:v>30.889806380964927</c:v>
                </c:pt>
                <c:pt idx="196">
                  <c:v>31.220929477394929</c:v>
                </c:pt>
                <c:pt idx="197">
                  <c:v>31.553778743285026</c:v>
                </c:pt>
                <c:pt idx="198">
                  <c:v>31.888352223524773</c:v>
                </c:pt>
                <c:pt idx="199">
                  <c:v>32.224647948707663</c:v>
                </c:pt>
                <c:pt idx="200">
                  <c:v>32.562663935225821</c:v>
                </c:pt>
                <c:pt idx="201">
                  <c:v>32.902398185363936</c:v>
                </c:pt>
                <c:pt idx="202">
                  <c:v>33.243848687392486</c:v>
                </c:pt>
                <c:pt idx="203">
                  <c:v>33.587013415660302</c:v>
                </c:pt>
                <c:pt idx="204">
                  <c:v>33.931890330686372</c:v>
                </c:pt>
                <c:pt idx="205">
                  <c:v>34.278477379251036</c:v>
                </c:pt>
                <c:pt idx="206">
                  <c:v>34.626772402334907</c:v>
                </c:pt>
                <c:pt idx="207">
                  <c:v>34.976773042816212</c:v>
                </c:pt>
                <c:pt idx="208">
                  <c:v>35.328476837420901</c:v>
                </c:pt>
                <c:pt idx="209">
                  <c:v>35.68188130891734</c:v>
                </c:pt>
                <c:pt idx="210">
                  <c:v>36.036983966212759</c:v>
                </c:pt>
                <c:pt idx="211">
                  <c:v>36.393782304449019</c:v>
                </c:pt>
                <c:pt idx="212">
                  <c:v>36.752273805097779</c:v>
                </c:pt>
                <c:pt idx="213">
                  <c:v>37.112455936054978</c:v>
                </c:pt>
                <c:pt idx="214">
                  <c:v>37.474326151734743</c:v>
                </c:pt>
                <c:pt idx="215">
                  <c:v>37.837881893162667</c:v>
                </c:pt>
                <c:pt idx="216">
                  <c:v>38.203120588068472</c:v>
                </c:pt>
                <c:pt idx="217">
                  <c:v>38.570039650978124</c:v>
                </c:pt>
                <c:pt idx="218">
                  <c:v>38.938636483305331</c:v>
                </c:pt>
                <c:pt idx="219">
                  <c:v>39.308908473442507</c:v>
                </c:pt>
                <c:pt idx="220">
                  <c:v>39.680852996851158</c:v>
                </c:pt>
                <c:pt idx="221">
                  <c:v>40.054467416151738</c:v>
                </c:pt>
                <c:pt idx="222">
                  <c:v>40.42974908121294</c:v>
                </c:pt>
                <c:pt idx="223">
                  <c:v>40.806695329240505</c:v>
                </c:pt>
                <c:pt idx="224">
                  <c:v>41.185303484865464</c:v>
                </c:pt>
                <c:pt idx="225">
                  <c:v>41.565570860231894</c:v>
                </c:pt>
                <c:pt idx="226">
                  <c:v>41.947494755084165</c:v>
                </c:pt>
                <c:pt idx="227">
                  <c:v>42.331072456853711</c:v>
                </c:pt>
                <c:pt idx="228">
                  <c:v>42.716301240745288</c:v>
                </c:pt>
                <c:pt idx="229">
                  <c:v>43.103178369822757</c:v>
                </c:pt>
                <c:pt idx="230">
                  <c:v>43.491701095094427</c:v>
                </c:pt>
                <c:pt idx="231">
                  <c:v>43.881866655597889</c:v>
                </c:pt>
                <c:pt idx="232">
                  <c:v>44.273672278484433</c:v>
                </c:pt>
                <c:pt idx="233">
                  <c:v>44.667115179102993</c:v>
                </c:pt>
                <c:pt idx="234">
                  <c:v>45.062192561083663</c:v>
                </c:pt>
                <c:pt idx="235">
                  <c:v>45.458901616420761</c:v>
                </c:pt>
                <c:pt idx="236">
                  <c:v>45.857239525555471</c:v>
                </c:pt>
                <c:pt idx="237">
                  <c:v>46.257203457458075</c:v>
                </c:pt>
                <c:pt idx="238">
                  <c:v>46.658790569709744</c:v>
                </c:pt>
                <c:pt idx="239">
                  <c:v>47.061998008583927</c:v>
                </c:pt>
                <c:pt idx="240">
                  <c:v>47.466822909127337</c:v>
                </c:pt>
                <c:pt idx="241">
                  <c:v>47.873262395240538</c:v>
                </c:pt>
                <c:pt idx="242">
                  <c:v>48.281313254215775</c:v>
                </c:pt>
                <c:pt idx="243">
                  <c:v>48.690971610569946</c:v>
                </c:pt>
                <c:pt idx="244">
                  <c:v>49.102233250869517</c:v>
                </c:pt>
                <c:pt idx="245">
                  <c:v>49.51509394927308</c:v>
                </c:pt>
                <c:pt idx="246">
                  <c:v>49.92954946763718</c:v>
                </c:pt>
                <c:pt idx="247">
                  <c:v>50.345595555621557</c:v>
                </c:pt>
                <c:pt idx="248">
                  <c:v>50.763227950793855</c:v>
                </c:pt>
                <c:pt idx="249">
                  <c:v>51.182442378733789</c:v>
                </c:pt>
                <c:pt idx="250">
                  <c:v>51.603234553136787</c:v>
                </c:pt>
                <c:pt idx="251">
                  <c:v>52.025600175917084</c:v>
                </c:pt>
                <c:pt idx="252">
                  <c:v>52.449534937310304</c:v>
                </c:pt>
                <c:pt idx="253">
                  <c:v>52.875034515975514</c:v>
                </c:pt>
                <c:pt idx="254">
                  <c:v>53.302094579096789</c:v>
                </c:pt>
                <c:pt idx="255">
                  <c:v>53.73071078248423</c:v>
                </c:pt>
                <c:pt idx="256">
                  <c:v>54.160878770674515</c:v>
                </c:pt>
                <c:pt idx="257">
                  <c:v>54.592594177030911</c:v>
                </c:pt>
                <c:pt idx="258">
                  <c:v>55.02585262384283</c:v>
                </c:pt>
                <c:pt idx="259">
                  <c:v>55.460649722424868</c:v>
                </c:pt>
                <c:pt idx="260">
                  <c:v>55.896981073215365</c:v>
                </c:pt>
                <c:pt idx="261">
                  <c:v>56.334842265874478</c:v>
                </c:pt>
                <c:pt idx="262">
                  <c:v>56.774228879381788</c:v>
                </c:pt>
                <c:pt idx="263">
                  <c:v>57.21513648213341</c:v>
                </c:pt>
                <c:pt idx="264">
                  <c:v>57.657560632038653</c:v>
                </c:pt>
                <c:pt idx="265">
                  <c:v>58.101496876616196</c:v>
                </c:pt>
                <c:pt idx="266">
                  <c:v>58.5469407530898</c:v>
                </c:pt>
                <c:pt idx="267">
                  <c:v>58.993887788483583</c:v>
                </c:pt>
                <c:pt idx="268">
                  <c:v>59.442333499716788</c:v>
                </c:pt>
                <c:pt idx="269">
                  <c:v>59.892273393698147</c:v>
                </c:pt>
                <c:pt idx="270">
                  <c:v>60.343702967419766</c:v>
                </c:pt>
                <c:pt idx="271">
                  <c:v>60.796617708050562</c:v>
                </c:pt>
                <c:pt idx="272">
                  <c:v>61.25101309302925</c:v>
                </c:pt>
                <c:pt idx="273">
                  <c:v>61.706884590156911</c:v>
                </c:pt>
                <c:pt idx="274">
                  <c:v>62.164227657689082</c:v>
                </c:pt>
                <c:pt idx="275">
                  <c:v>62.62303774442745</c:v>
                </c:pt>
                <c:pt idx="276">
                  <c:v>63.083310289811067</c:v>
                </c:pt>
                <c:pt idx="277">
                  <c:v>63.545040724007151</c:v>
                </c:pt>
                <c:pt idx="278">
                  <c:v>64.008224468001472</c:v>
                </c:pt>
                <c:pt idx="279">
                  <c:v>64.472856933688263</c:v>
                </c:pt>
                <c:pt idx="280">
                  <c:v>64.93893352395979</c:v>
                </c:pt>
                <c:pt idx="281">
                  <c:v>65.406449632795386</c:v>
                </c:pt>
                <c:pt idx="282">
                  <c:v>65.87540064535014</c:v>
                </c:pt>
                <c:pt idx="283">
                  <c:v>66.345781938043146</c:v>
                </c:pt>
                <c:pt idx="284">
                  <c:v>66.817589269454729</c:v>
                </c:pt>
                <c:pt idx="285">
                  <c:v>67.290819171882902</c:v>
                </c:pt>
                <c:pt idx="286">
                  <c:v>67.76546856128256</c:v>
                </c:pt>
                <c:pt idx="287">
                  <c:v>68.241534346531154</c:v>
                </c:pt>
                <c:pt idx="288">
                  <c:v>68.719013429487617</c:v>
                </c:pt>
                <c:pt idx="289">
                  <c:v>69.197902705051092</c:v>
                </c:pt>
                <c:pt idx="290">
                  <c:v>69.678199061219445</c:v>
                </c:pt>
                <c:pt idx="291">
                  <c:v>70.159899379147532</c:v>
                </c:pt>
                <c:pt idx="292">
                  <c:v>70.643000533205239</c:v>
                </c:pt>
                <c:pt idx="293">
                  <c:v>71.127499391035315</c:v>
                </c:pt>
                <c:pt idx="294">
                  <c:v>71.613392813610972</c:v>
                </c:pt>
                <c:pt idx="295">
                  <c:v>72.100677655293211</c:v>
                </c:pt>
                <c:pt idx="296">
                  <c:v>72.589350763888021</c:v>
                </c:pt>
                <c:pt idx="297">
                  <c:v>73.079408980703292</c:v>
                </c:pt>
                <c:pt idx="298">
                  <c:v>73.570849140605475</c:v>
                </c:pt>
                <c:pt idx="299">
                  <c:v>74.063668072076112</c:v>
                </c:pt>
                <c:pt idx="300">
                  <c:v>74.557862597268084</c:v>
                </c:pt>
                <c:pt idx="301">
                  <c:v>75.053429532061628</c:v>
                </c:pt>
                <c:pt idx="302">
                  <c:v>75.550365686120202</c:v>
                </c:pt>
                <c:pt idx="303">
                  <c:v>76.048667862946047</c:v>
                </c:pt>
                <c:pt idx="304">
                  <c:v>76.548332859935599</c:v>
                </c:pt>
                <c:pt idx="305">
                  <c:v>77.049357468434636</c:v>
                </c:pt>
                <c:pt idx="306">
                  <c:v>77.551738473793264</c:v>
                </c:pt>
                <c:pt idx="307">
                  <c:v>78.055472655420616</c:v>
                </c:pt>
                <c:pt idx="308">
                  <c:v>78.560556786839399</c:v>
                </c:pt>
                <c:pt idx="309">
                  <c:v>79.06698763574019</c:v>
                </c:pt>
                <c:pt idx="310">
                  <c:v>79.574761964035531</c:v>
                </c:pt>
                <c:pt idx="311">
                  <c:v>80.083876527913816</c:v>
                </c:pt>
                <c:pt idx="312">
                  <c:v>80.594328077892939</c:v>
                </c:pt>
                <c:pt idx="313">
                  <c:v>81.10611335887377</c:v>
                </c:pt>
                <c:pt idx="314">
                  <c:v>81.619229110193373</c:v>
                </c:pt>
                <c:pt idx="315">
                  <c:v>82.133672065678056</c:v>
                </c:pt>
                <c:pt idx="316">
                  <c:v>82.649438953696176</c:v>
                </c:pt>
                <c:pt idx="317">
                  <c:v>83.166526497210754</c:v>
                </c:pt>
                <c:pt idx="318">
                  <c:v>83.684931413831862</c:v>
                </c:pt>
                <c:pt idx="319">
                  <c:v>84.204650415868812</c:v>
                </c:pt>
                <c:pt idx="320">
                  <c:v>84.725680210382151</c:v>
                </c:pt>
                <c:pt idx="321">
                  <c:v>85.248017499235388</c:v>
                </c:pt>
                <c:pt idx="322">
                  <c:v>85.771658979146608</c:v>
                </c:pt>
                <c:pt idx="323">
                  <c:v>86.296601341739773</c:v>
                </c:pt>
                <c:pt idx="324">
                  <c:v>86.822841273595898</c:v>
                </c:pt>
                <c:pt idx="325">
                  <c:v>87.350375456303951</c:v>
                </c:pt>
                <c:pt idx="326">
                  <c:v>87.879200591002871</c:v>
                </c:pt>
                <c:pt idx="327">
                  <c:v>88.409313422956146</c:v>
                </c:pt>
                <c:pt idx="328">
                  <c:v>88.940710717138685</c:v>
                </c:pt>
                <c:pt idx="329">
                  <c:v>89.47338923378986</c:v>
                </c:pt>
                <c:pt idx="330">
                  <c:v>90.007345728462028</c:v>
                </c:pt>
                <c:pt idx="331">
                  <c:v>90.542576952068856</c:v>
                </c:pt>
                <c:pt idx="332">
                  <c:v>91.079079650933437</c:v>
                </c:pt>
                <c:pt idx="333">
                  <c:v>91.616850566836177</c:v>
                </c:pt>
                <c:pt idx="334">
                  <c:v>92.155886437062577</c:v>
                </c:pt>
                <c:pt idx="335">
                  <c:v>92.696183994450735</c:v>
                </c:pt>
                <c:pt idx="336">
                  <c:v>93.237739967438657</c:v>
                </c:pt>
                <c:pt idx="337">
                  <c:v>93.780551080111451</c:v>
                </c:pt>
                <c:pt idx="338">
                  <c:v>94.324614052248236</c:v>
                </c:pt>
                <c:pt idx="339">
                  <c:v>94.869925599368855</c:v>
                </c:pt>
                <c:pt idx="340">
                  <c:v>95.416482432780498</c:v>
                </c:pt>
                <c:pt idx="341">
                  <c:v>95.964281259624002</c:v>
                </c:pt>
                <c:pt idx="342">
                  <c:v>96.513318782920038</c:v>
                </c:pt>
                <c:pt idx="343">
                  <c:v>97.063591701615053</c:v>
                </c:pt>
                <c:pt idx="344">
                  <c:v>97.615096710627071</c:v>
                </c:pt>
                <c:pt idx="345">
                  <c:v>98.167830500891256</c:v>
                </c:pt>
                <c:pt idx="346">
                  <c:v>98.721789759405283</c:v>
                </c:pt>
                <c:pt idx="347">
                  <c:v>99.276971169274532</c:v>
                </c:pt>
                <c:pt idx="348">
                  <c:v>99.833371409757092</c:v>
                </c:pt>
                <c:pt idx="349">
                  <c:v>100.39098715630855</c:v>
                </c:pt>
                <c:pt idx="350">
                  <c:v>100.94981508062662</c:v>
                </c:pt>
                <c:pt idx="351">
                  <c:v>101.5098518506955</c:v>
                </c:pt>
                <c:pt idx="352">
                  <c:v>102.07109413083015</c:v>
                </c:pt>
                <c:pt idx="353">
                  <c:v>102.63353858172027</c:v>
                </c:pt>
                <c:pt idx="354">
                  <c:v>103.19718186047419</c:v>
                </c:pt>
                <c:pt idx="355">
                  <c:v>103.76202062066244</c:v>
                </c:pt>
                <c:pt idx="356">
                  <c:v>104.32805151236123</c:v>
                </c:pt>
                <c:pt idx="357">
                  <c:v>104.8952711821957</c:v>
                </c:pt>
                <c:pt idx="358">
                  <c:v>105.463676273383</c:v>
                </c:pt>
                <c:pt idx="359">
                  <c:v>106.03326342577512</c:v>
                </c:pt>
                <c:pt idx="360">
                  <c:v>106.60402927590155</c:v>
                </c:pt>
                <c:pt idx="361">
                  <c:v>107.17597045701184</c:v>
                </c:pt>
                <c:pt idx="362">
                  <c:v>107.74908359911781</c:v>
                </c:pt>
                <c:pt idx="363">
                  <c:v>108.32336532903568</c:v>
                </c:pt>
                <c:pt idx="364">
                  <c:v>108.89881227042797</c:v>
                </c:pt>
                <c:pt idx="365">
                  <c:v>109.4754210438452</c:v>
                </c:pt>
                <c:pt idx="366">
                  <c:v>110.05318889854975</c:v>
                </c:pt>
                <c:pt idx="367">
                  <c:v>110.63211434500974</c:v>
                </c:pt>
                <c:pt idx="368">
                  <c:v>111.21219652358572</c:v>
                </c:pt>
                <c:pt idx="369">
                  <c:v>111.79343457253319</c:v>
                </c:pt>
                <c:pt idx="370">
                  <c:v>112.37582762801661</c:v>
                </c:pt>
                <c:pt idx="371">
                  <c:v>112.95937482412332</c:v>
                </c:pt>
                <c:pt idx="372">
                  <c:v>113.54407529287742</c:v>
                </c:pt>
                <c:pt idx="373">
                  <c:v>114.12992816425367</c:v>
                </c:pt>
                <c:pt idx="374">
                  <c:v>114.71693256619133</c:v>
                </c:pt>
                <c:pt idx="375">
                  <c:v>115.30508762460799</c:v>
                </c:pt>
                <c:pt idx="376">
                  <c:v>115.89439246341334</c:v>
                </c:pt>
                <c:pt idx="377">
                  <c:v>116.48484620452295</c:v>
                </c:pt>
                <c:pt idx="378">
                  <c:v>117.076447967872</c:v>
                </c:pt>
                <c:pt idx="379">
                  <c:v>117.66919687142898</c:v>
                </c:pt>
                <c:pt idx="380">
                  <c:v>118.26309203120938</c:v>
                </c:pt>
                <c:pt idx="381">
                  <c:v>118.8581318751377</c:v>
                </c:pt>
                <c:pt idx="382">
                  <c:v>119.45431345622654</c:v>
                </c:pt>
                <c:pt idx="383">
                  <c:v>120.05163313835463</c:v>
                </c:pt>
                <c:pt idx="384">
                  <c:v>120.65008728274208</c:v>
                </c:pt>
                <c:pt idx="385">
                  <c:v>121.24967224799249</c:v>
                </c:pt>
                <c:pt idx="386">
                  <c:v>121.85038439013486</c:v>
                </c:pt>
                <c:pt idx="387">
                  <c:v>122.45222006266523</c:v>
                </c:pt>
                <c:pt idx="388">
                  <c:v>123.05517561658813</c:v>
                </c:pt>
                <c:pt idx="389">
                  <c:v>123.65924740045783</c:v>
                </c:pt>
                <c:pt idx="390">
                  <c:v>124.26443176041943</c:v>
                </c:pt>
                <c:pt idx="391">
                  <c:v>124.87072504024961</c:v>
                </c:pt>
                <c:pt idx="392">
                  <c:v>125.47812358139731</c:v>
                </c:pt>
                <c:pt idx="393">
                  <c:v>126.08662372302412</c:v>
                </c:pt>
                <c:pt idx="394">
                  <c:v>126.69622180204446</c:v>
                </c:pt>
                <c:pt idx="395">
                  <c:v>127.30691415316564</c:v>
                </c:pt>
                <c:pt idx="396">
                  <c:v>127.91869710892753</c:v>
                </c:pt>
                <c:pt idx="397">
                  <c:v>128.53156699974224</c:v>
                </c:pt>
                <c:pt idx="398">
                  <c:v>129.14552015393343</c:v>
                </c:pt>
                <c:pt idx="399">
                  <c:v>129.76055289777551</c:v>
                </c:pt>
                <c:pt idx="400">
                  <c:v>130.37666155553248</c:v>
                </c:pt>
                <c:pt idx="401">
                  <c:v>130.99384190657932</c:v>
                </c:pt>
                <c:pt idx="402">
                  <c:v>131.61208864205489</c:v>
                </c:pt>
                <c:pt idx="403">
                  <c:v>132.23139590763139</c:v>
                </c:pt>
                <c:pt idx="404">
                  <c:v>132.85175784676557</c:v>
                </c:pt>
                <c:pt idx="405">
                  <c:v>133.47316860076381</c:v>
                </c:pt>
                <c:pt idx="406">
                  <c:v>134.09562230884686</c:v>
                </c:pt>
                <c:pt idx="407">
                  <c:v>134.71911310821403</c:v>
                </c:pt>
                <c:pt idx="408">
                  <c:v>135.34363513410702</c:v>
                </c:pt>
                <c:pt idx="409">
                  <c:v>135.96918251987333</c:v>
                </c:pt>
                <c:pt idx="410">
                  <c:v>136.59574939702907</c:v>
                </c:pt>
                <c:pt idx="411">
                  <c:v>137.22332688706973</c:v>
                </c:pt>
                <c:pt idx="412">
                  <c:v>137.85190009096527</c:v>
                </c:pt>
                <c:pt idx="413">
                  <c:v>138.48145109692032</c:v>
                </c:pt>
                <c:pt idx="414">
                  <c:v>139.11196199057437</c:v>
                </c:pt>
                <c:pt idx="415">
                  <c:v>139.74341485531102</c:v>
                </c:pt>
                <c:pt idx="416">
                  <c:v>140.37579177256396</c:v>
                </c:pt>
                <c:pt idx="417">
                  <c:v>141.00907482211963</c:v>
                </c:pt>
                <c:pt idx="418">
                  <c:v>141.6432460824166</c:v>
                </c:pt>
                <c:pt idx="419">
                  <c:v>142.2782876308417</c:v>
                </c:pt>
                <c:pt idx="420">
                  <c:v>142.91417982858007</c:v>
                </c:pt>
                <c:pt idx="421">
                  <c:v>143.55089960444428</c:v>
                </c:pt>
                <c:pt idx="422">
                  <c:v>144.1884221707775</c:v>
                </c:pt>
                <c:pt idx="423">
                  <c:v>144.82672274047721</c:v>
                </c:pt>
                <c:pt idx="424">
                  <c:v>145.4657765274855</c:v>
                </c:pt>
                <c:pt idx="425">
                  <c:v>146.10555874727305</c:v>
                </c:pt>
                <c:pt idx="426">
                  <c:v>146.7460446173171</c:v>
                </c:pt>
                <c:pt idx="427">
                  <c:v>147.3872093575732</c:v>
                </c:pt>
                <c:pt idx="428">
                  <c:v>148.02902819094095</c:v>
                </c:pt>
                <c:pt idx="429">
                  <c:v>148.67147634372341</c:v>
                </c:pt>
                <c:pt idx="430">
                  <c:v>149.31452904608062</c:v>
                </c:pt>
                <c:pt idx="431">
                  <c:v>149.95816153247671</c:v>
                </c:pt>
                <c:pt idx="432">
                  <c:v>150.60234626872005</c:v>
                </c:pt>
                <c:pt idx="433">
                  <c:v>151.24705017814543</c:v>
                </c:pt>
                <c:pt idx="434">
                  <c:v>151.89223741696352</c:v>
                </c:pt>
                <c:pt idx="435">
                  <c:v>152.53787215067277</c:v>
                </c:pt>
                <c:pt idx="436">
                  <c:v>153.18391855490523</c:v>
                </c:pt>
                <c:pt idx="437">
                  <c:v>153.83034081626005</c:v>
                </c:pt>
                <c:pt idx="438">
                  <c:v>154.4771031331239</c:v>
                </c:pt>
                <c:pt idx="439">
                  <c:v>155.12416971647883</c:v>
                </c:pt>
                <c:pt idx="440">
                  <c:v>155.77150479069721</c:v>
                </c:pt>
                <c:pt idx="441">
                  <c:v>156.41907259432395</c:v>
                </c:pt>
                <c:pt idx="442">
                  <c:v>157.06683907004532</c:v>
                </c:pt>
                <c:pt idx="443">
                  <c:v>157.71477355464364</c:v>
                </c:pt>
                <c:pt idx="444">
                  <c:v>158.36284708883738</c:v>
                </c:pt>
                <c:pt idx="445">
                  <c:v>159.01103072698115</c:v>
                </c:pt>
                <c:pt idx="446">
                  <c:v>159.65929553752912</c:v>
                </c:pt>
                <c:pt idx="447">
                  <c:v>160.3076126034901</c:v>
                </c:pt>
                <c:pt idx="448">
                  <c:v>160.95595302287424</c:v>
                </c:pt>
                <c:pt idx="449">
                  <c:v>161.60428790913124</c:v>
                </c:pt>
                <c:pt idx="450">
                  <c:v>162.25258839158045</c:v>
                </c:pt>
                <c:pt idx="451">
                  <c:v>162.9008256158323</c:v>
                </c:pt>
                <c:pt idx="452">
                  <c:v>163.54897074420171</c:v>
                </c:pt>
                <c:pt idx="453">
                  <c:v>164.19699738304112</c:v>
                </c:pt>
                <c:pt idx="454">
                  <c:v>164.84488400947851</c:v>
                </c:pt>
                <c:pt idx="455">
                  <c:v>165.49261154160632</c:v>
                </c:pt>
                <c:pt idx="456">
                  <c:v>166.14016090912915</c:v>
                </c:pt>
                <c:pt idx="457">
                  <c:v>166.7875130534984</c:v>
                </c:pt>
                <c:pt idx="458">
                  <c:v>167.43464892804337</c:v>
                </c:pt>
                <c:pt idx="459">
                  <c:v>168.08154949809878</c:v>
                </c:pt>
                <c:pt idx="460">
                  <c:v>168.72819574112879</c:v>
                </c:pt>
                <c:pt idx="461">
                  <c:v>169.37457083648459</c:v>
                </c:pt>
                <c:pt idx="462">
                  <c:v>170.02066235441723</c:v>
                </c:pt>
                <c:pt idx="463">
                  <c:v>170.66646006333565</c:v>
                </c:pt>
                <c:pt idx="464">
                  <c:v>171.31195373775088</c:v>
                </c:pt>
                <c:pt idx="465">
                  <c:v>171.95713315828019</c:v>
                </c:pt>
                <c:pt idx="466">
                  <c:v>172.6019862691258</c:v>
                </c:pt>
                <c:pt idx="467">
                  <c:v>173.24649733623474</c:v>
                </c:pt>
                <c:pt idx="468">
                  <c:v>173.89062825988069</c:v>
                </c:pt>
                <c:pt idx="469">
                  <c:v>174.53432503145848</c:v>
                </c:pt>
                <c:pt idx="470">
                  <c:v>175.17756342364518</c:v>
                </c:pt>
                <c:pt idx="471">
                  <c:v>175.82034437102612</c:v>
                </c:pt>
                <c:pt idx="472">
                  <c:v>176.46266880545994</c:v>
                </c:pt>
                <c:pt idx="473">
                  <c:v>177.10453765608938</c:v>
                </c:pt>
                <c:pt idx="474">
                  <c:v>177.74595184935225</c:v>
                </c:pt>
                <c:pt idx="475">
                  <c:v>178.38691230899212</c:v>
                </c:pt>
                <c:pt idx="476">
                  <c:v>179.02741995606905</c:v>
                </c:pt>
                <c:pt idx="477">
                  <c:v>179.66747570897027</c:v>
                </c:pt>
                <c:pt idx="478">
                  <c:v>180.3070804834208</c:v>
                </c:pt>
                <c:pt idx="479">
                  <c:v>180.94623519249399</c:v>
                </c:pt>
                <c:pt idx="480">
                  <c:v>181.58494074662204</c:v>
                </c:pt>
                <c:pt idx="481">
                  <c:v>182.22319805360647</c:v>
                </c:pt>
                <c:pt idx="482">
                  <c:v>182.8610080186285</c:v>
                </c:pt>
                <c:pt idx="483">
                  <c:v>183.49837154425938</c:v>
                </c:pt>
                <c:pt idx="484">
                  <c:v>184.1352895304708</c:v>
                </c:pt>
                <c:pt idx="485">
                  <c:v>184.77176287464496</c:v>
                </c:pt>
                <c:pt idx="486">
                  <c:v>185.40779247158494</c:v>
                </c:pt>
                <c:pt idx="487">
                  <c:v>186.04337921352473</c:v>
                </c:pt>
                <c:pt idx="488">
                  <c:v>186.67852399013941</c:v>
                </c:pt>
                <c:pt idx="489">
                  <c:v>187.31322768855512</c:v>
                </c:pt>
                <c:pt idx="490">
                  <c:v>187.94749119335916</c:v>
                </c:pt>
                <c:pt idx="491">
                  <c:v>188.58131538660982</c:v>
                </c:pt>
                <c:pt idx="492">
                  <c:v>189.21470114784634</c:v>
                </c:pt>
                <c:pt idx="493">
                  <c:v>189.84764935409879</c:v>
                </c:pt>
                <c:pt idx="494">
                  <c:v>190.48016087989785</c:v>
                </c:pt>
                <c:pt idx="495">
                  <c:v>191.11223659728452</c:v>
                </c:pt>
                <c:pt idx="496">
                  <c:v>191.74387737581989</c:v>
                </c:pt>
                <c:pt idx="497">
                  <c:v>192.37508408259475</c:v>
                </c:pt>
                <c:pt idx="498">
                  <c:v>193.00585758223926</c:v>
                </c:pt>
                <c:pt idx="499">
                  <c:v>193.63619873693244</c:v>
                </c:pt>
                <c:pt idx="500">
                  <c:v>194.26610840641175</c:v>
                </c:pt>
                <c:pt idx="501">
                  <c:v>200.54153982829746</c:v>
                </c:pt>
                <c:pt idx="502">
                  <c:v>206.77437555038082</c:v>
                </c:pt>
                <c:pt idx="503">
                  <c:v>212.96545232950567</c:v>
                </c:pt>
                <c:pt idx="504">
                  <c:v>219.11558373801546</c:v>
                </c:pt>
                <c:pt idx="505">
                  <c:v>225.22556103796336</c:v>
                </c:pt>
                <c:pt idx="506">
                  <c:v>231.29615401419261</c:v>
                </c:pt>
                <c:pt idx="507">
                  <c:v>237.32811176860358</c:v>
                </c:pt>
                <c:pt idx="508">
                  <c:v>243.32216347777245</c:v>
                </c:pt>
                <c:pt idx="509">
                  <c:v>249.2790191159462</c:v>
                </c:pt>
                <c:pt idx="510">
                  <c:v>255.19937014530871</c:v>
                </c:pt>
                <c:pt idx="511">
                  <c:v>261.08389017529197</c:v>
                </c:pt>
                <c:pt idx="512">
                  <c:v>266.93323559259483</c:v>
                </c:pt>
                <c:pt idx="513">
                  <c:v>272.74804616346819</c:v>
                </c:pt>
                <c:pt idx="514">
                  <c:v>278.52894560972851</c:v>
                </c:pt>
                <c:pt idx="515">
                  <c:v>284.27654215987229</c:v>
                </c:pt>
                <c:pt idx="516">
                  <c:v>289.99142907658103</c:v>
                </c:pt>
                <c:pt idx="517">
                  <c:v>295.67418516182778</c:v>
                </c:pt>
                <c:pt idx="518">
                  <c:v>301.3253752407249</c:v>
                </c:pt>
                <c:pt idx="519">
                  <c:v>306.94555062518469</c:v>
                </c:pt>
                <c:pt idx="520">
                  <c:v>312.53524955840203</c:v>
                </c:pt>
                <c:pt idx="521">
                  <c:v>318.09499764110922</c:v>
                </c:pt>
                <c:pt idx="522">
                  <c:v>323.62530824049844</c:v>
                </c:pt>
                <c:pt idx="523">
                  <c:v>329.1266828826565</c:v>
                </c:pt>
                <c:pt idx="524">
                  <c:v>334.59961162930779</c:v>
                </c:pt>
                <c:pt idx="525">
                  <c:v>340.04457343961758</c:v>
                </c:pt>
                <c:pt idx="526">
                  <c:v>345.46203651776494</c:v>
                </c:pt>
                <c:pt idx="527">
                  <c:v>350.85245864695611</c:v>
                </c:pt>
                <c:pt idx="528">
                  <c:v>356.21628751051162</c:v>
                </c:pt>
                <c:pt idx="529">
                  <c:v>361.5539610006266</c:v>
                </c:pt>
                <c:pt idx="530">
                  <c:v>366.86590751537091</c:v>
                </c:pt>
                <c:pt idx="531">
                  <c:v>372.15254624446538</c:v>
                </c:pt>
                <c:pt idx="532">
                  <c:v>377.41428744434251</c:v>
                </c:pt>
                <c:pt idx="533">
                  <c:v>382.65153270297185</c:v>
                </c:pt>
                <c:pt idx="534">
                  <c:v>387.86467519490714</c:v>
                </c:pt>
                <c:pt idx="535">
                  <c:v>393.05409992698594</c:v>
                </c:pt>
                <c:pt idx="536">
                  <c:v>398.22018397509299</c:v>
                </c:pt>
                <c:pt idx="537">
                  <c:v>403.3632967123753</c:v>
                </c:pt>
                <c:pt idx="538">
                  <c:v>408.48380002927843</c:v>
                </c:pt>
                <c:pt idx="539">
                  <c:v>413.58204854575433</c:v>
                </c:pt>
                <c:pt idx="540">
                  <c:v>418.65838981597392</c:v>
                </c:pt>
                <c:pt idx="541">
                  <c:v>423.71316452586018</c:v>
                </c:pt>
                <c:pt idx="542">
                  <c:v>428.74670668374324</c:v>
                </c:pt>
                <c:pt idx="543">
                  <c:v>433.75934380442294</c:v>
                </c:pt>
                <c:pt idx="544">
                  <c:v>438.75139708691074</c:v>
                </c:pt>
                <c:pt idx="545">
                  <c:v>443.72318158611063</c:v>
                </c:pt>
                <c:pt idx="546">
                  <c:v>448.67500637868426</c:v>
                </c:pt>
                <c:pt idx="547">
                  <c:v>453.60717472333636</c:v>
                </c:pt>
                <c:pt idx="548">
                  <c:v>458.51998421574268</c:v>
                </c:pt>
                <c:pt idx="549">
                  <c:v>463.41372693833415</c:v>
                </c:pt>
                <c:pt idx="550">
                  <c:v>468.28868960514001</c:v>
                </c:pt>
                <c:pt idx="551">
                  <c:v>473.14515370188371</c:v>
                </c:pt>
                <c:pt idx="552">
                  <c:v>477.9833956215158</c:v>
                </c:pt>
                <c:pt idx="553">
                  <c:v>482.80368679536014</c:v>
                </c:pt>
                <c:pt idx="554">
                  <c:v>487.6062938200414</c:v>
                </c:pt>
                <c:pt idx="555">
                  <c:v>492.39147858035437</c:v>
                </c:pt>
                <c:pt idx="556">
                  <c:v>497.15949836822813</c:v>
                </c:pt>
                <c:pt idx="557">
                  <c:v>501.91060599793121</c:v>
                </c:pt>
                <c:pt idx="558">
                  <c:v>506.6450499176579</c:v>
                </c:pt>
                <c:pt idx="559">
                  <c:v>511.36307431762873</c:v>
                </c:pt>
                <c:pt idx="560">
                  <c:v>516.06491923483304</c:v>
                </c:pt>
                <c:pt idx="561">
                  <c:v>520.75082065453557</c:v>
                </c:pt>
                <c:pt idx="562">
                  <c:v>525.42101060866344</c:v>
                </c:pt>
                <c:pt idx="563">
                  <c:v>530.07571727118568</c:v>
                </c:pt>
                <c:pt idx="564">
                  <c:v>534.71516505059105</c:v>
                </c:pt>
                <c:pt idx="565">
                  <c:v>539.33957467956759</c:v>
                </c:pt>
                <c:pt idx="566">
                  <c:v>543.94916330197987</c:v>
                </c:pt>
                <c:pt idx="567">
                  <c:v>548.54414455723895</c:v>
                </c:pt>
                <c:pt idx="568">
                  <c:v>553.12472866215387</c:v>
                </c:pt>
                <c:pt idx="569">
                  <c:v>557.69112249034993</c:v>
                </c:pt>
                <c:pt idx="570">
                  <c:v>562.24352964933678</c:v>
                </c:pt>
                <c:pt idx="571">
                  <c:v>566.78215055530382</c:v>
                </c:pt>
                <c:pt idx="572">
                  <c:v>571.30718250571874</c:v>
                </c:pt>
                <c:pt idx="573">
                  <c:v>575.81881974980115</c:v>
                </c:pt>
                <c:pt idx="574">
                  <c:v>580.3172535569397</c:v>
                </c:pt>
                <c:pt idx="575">
                  <c:v>584.80267228311959</c:v>
                </c:pt>
                <c:pt idx="576">
                  <c:v>589.2752614354232</c:v>
                </c:pt>
                <c:pt idx="577">
                  <c:v>593.73520373466431</c:v>
                </c:pt>
                <c:pt idx="578">
                  <c:v>598.18267917621438</c:v>
                </c:pt>
                <c:pt idx="579">
                  <c:v>602.61786508907585</c:v>
                </c:pt>
                <c:pt idx="580">
                  <c:v>607.04093619325624</c:v>
                </c:pt>
                <c:pt idx="581">
                  <c:v>611.45206465549359</c:v>
                </c:pt>
                <c:pt idx="582">
                  <c:v>615.8514201433818</c:v>
                </c:pt>
                <c:pt idx="583">
                  <c:v>620.23916987794314</c:v>
                </c:pt>
                <c:pt idx="584">
                  <c:v>624.61547868469165</c:v>
                </c:pt>
                <c:pt idx="585">
                  <c:v>628.98050904323077</c:v>
                </c:pt>
                <c:pt idx="586">
                  <c:v>633.3344211354256</c:v>
                </c:pt>
                <c:pt idx="587">
                  <c:v>637.67737289218883</c:v>
                </c:pt>
                <c:pt idx="588">
                  <c:v>642.00952003891757</c:v>
                </c:pt>
                <c:pt idx="589">
                  <c:v>646.33101613961639</c:v>
                </c:pt>
                <c:pt idx="590">
                  <c:v>650.64201263974053</c:v>
                </c:pt>
                <c:pt idx="591">
                  <c:v>654.94265890779138</c:v>
                </c:pt>
                <c:pt idx="592">
                  <c:v>659.23310227569516</c:v>
                </c:pt>
                <c:pt idx="593">
                  <c:v>663.51348807799354</c:v>
                </c:pt>
                <c:pt idx="594">
                  <c:v>667.78395968987468</c:v>
                </c:pt>
                <c:pt idx="595">
                  <c:v>672.04465856406955</c:v>
                </c:pt>
                <c:pt idx="596">
                  <c:v>676.29572426664038</c:v>
                </c:pt>
                <c:pt idx="597">
                  <c:v>680.5372945116826</c:v>
                </c:pt>
                <c:pt idx="598">
                  <c:v>684.76950519496438</c:v>
                </c:pt>
                <c:pt idx="599">
                  <c:v>688.99249042652286</c:v>
                </c:pt>
                <c:pt idx="600">
                  <c:v>693.20638256223833</c:v>
                </c:pt>
                <c:pt idx="601">
                  <c:v>697.41131223440323</c:v>
                </c:pt>
                <c:pt idx="602">
                  <c:v>701.6074083813038</c:v>
                </c:pt>
                <c:pt idx="603">
                  <c:v>705.79479827582998</c:v>
                </c:pt>
                <c:pt idx="604">
                  <c:v>709.97360755312843</c:v>
                </c:pt>
                <c:pt idx="605">
                  <c:v>714.14396023731115</c:v>
                </c:pt>
                <c:pt idx="606">
                  <c:v>718.30597876723311</c:v>
                </c:pt>
                <c:pt idx="607">
                  <c:v>722.45978402134915</c:v>
                </c:pt>
                <c:pt idx="608">
                  <c:v>726.60549534165989</c:v>
                </c:pt>
                <c:pt idx="609">
                  <c:v>730.74323055675552</c:v>
                </c:pt>
                <c:pt idx="610">
                  <c:v>734.87310600396472</c:v>
                </c:pt>
                <c:pt idx="611">
                  <c:v>738.99523655061546</c:v>
                </c:pt>
                <c:pt idx="612">
                  <c:v>743.10973561441187</c:v>
                </c:pt>
                <c:pt idx="613">
                  <c:v>747.21671518293147</c:v>
                </c:pt>
                <c:pt idx="614">
                  <c:v>751.31628583224585</c:v>
                </c:pt>
                <c:pt idx="615">
                  <c:v>755.40855674466547</c:v>
                </c:pt>
                <c:pt idx="616">
                  <c:v>759.49363572560935</c:v>
                </c:pt>
                <c:pt idx="617">
                  <c:v>763.57162921959844</c:v>
                </c:pt>
                <c:pt idx="618">
                  <c:v>767.64264232537073</c:v>
                </c:pt>
                <c:pt idx="619">
                  <c:v>771.70677881011443</c:v>
                </c:pt>
                <c:pt idx="620">
                  <c:v>775.76414112281441</c:v>
                </c:pt>
                <c:pt idx="621">
                  <c:v>779.81483040670628</c:v>
                </c:pt>
                <c:pt idx="622">
                  <c:v>783.85894651083117</c:v>
                </c:pt>
                <c:pt idx="623">
                  <c:v>787.89658800068185</c:v>
                </c:pt>
                <c:pt idx="624">
                  <c:v>791.92785216793106</c:v>
                </c:pt>
                <c:pt idx="625">
                  <c:v>795.95283503923167</c:v>
                </c:pt>
                <c:pt idx="626">
                  <c:v>799.97163138407495</c:v>
                </c:pt>
                <c:pt idx="627">
                  <c:v>803.98433472169484</c:v>
                </c:pt>
                <c:pt idx="628">
                  <c:v>807.99103732700269</c:v>
                </c:pt>
                <c:pt idx="629">
                  <c:v>811.99183023553701</c:v>
                </c:pt>
                <c:pt idx="630">
                  <c:v>815.98680324741053</c:v>
                </c:pt>
                <c:pt idx="631">
                  <c:v>819.97604493023755</c:v>
                </c:pt>
                <c:pt idx="632">
                  <c:v>823.95964262102018</c:v>
                </c:pt>
                <c:pt idx="633">
                  <c:v>827.93768242697581</c:v>
                </c:pt>
                <c:pt idx="634">
                  <c:v>831.91024922528197</c:v>
                </c:pt>
                <c:pt idx="635">
                  <c:v>835.8774266617188</c:v>
                </c:pt>
                <c:pt idx="636">
                  <c:v>839.8392971481843</c:v>
                </c:pt>
                <c:pt idx="637">
                  <c:v>843.79594185906137</c:v>
                </c:pt>
                <c:pt idx="638">
                  <c:v>847.74744072641067</c:v>
                </c:pt>
                <c:pt idx="639">
                  <c:v>851.69387243396784</c:v>
                </c:pt>
                <c:pt idx="640">
                  <c:v>855.6353144099196</c:v>
                </c:pt>
                <c:pt idx="641">
                  <c:v>859.57184281843718</c:v>
                </c:pt>
                <c:pt idx="642">
                  <c:v>863.50353254994297</c:v>
                </c:pt>
                <c:pt idx="643">
                  <c:v>867.43045721009116</c:v>
                </c:pt>
                <c:pt idx="644">
                  <c:v>871.3526891074406</c:v>
                </c:pt>
                <c:pt idx="645">
                  <c:v>875.27029923980388</c:v>
                </c:pt>
                <c:pt idx="646">
                  <c:v>879.18335727925648</c:v>
                </c:pt>
                <c:pt idx="647">
                  <c:v>883.09193155579555</c:v>
                </c:pt>
                <c:pt idx="648">
                  <c:v>886.99608903963872</c:v>
                </c:pt>
                <c:pt idx="649">
                  <c:v>890.89589532216166</c:v>
                </c:pt>
                <c:pt idx="650">
                  <c:v>894.79141459547611</c:v>
                </c:pt>
                <c:pt idx="651">
                  <c:v>898.68270963065629</c:v>
                </c:pt>
                <c:pt idx="652">
                  <c:v>902.56984175463197</c:v>
                </c:pt>
                <c:pt idx="653">
                  <c:v>906.45287082577079</c:v>
                </c:pt>
                <c:pt idx="654">
                  <c:v>910.3318552081854</c:v>
                </c:pt>
                <c:pt idx="655">
                  <c:v>914.20685174480957</c:v>
                </c:pt>
                <c:pt idx="656">
                  <c:v>918.07791572929966</c:v>
                </c:pt>
                <c:pt idx="657">
                  <c:v>921.9451008768317</c:v>
                </c:pt>
                <c:pt idx="658">
                  <c:v>925.80845929387624</c:v>
                </c:pt>
                <c:pt idx="659">
                  <c:v>929.66804144705077</c:v>
                </c:pt>
                <c:pt idx="660">
                  <c:v>933.52389613116338</c:v>
                </c:pt>
                <c:pt idx="661">
                  <c:v>937.37607043657977</c:v>
                </c:pt>
                <c:pt idx="662">
                  <c:v>941.22460971606301</c:v>
                </c:pt>
                <c:pt idx="663">
                  <c:v>945.0695575512525</c:v>
                </c:pt>
                <c:pt idx="664">
                  <c:v>948.91095571896847</c:v>
                </c:pt>
                <c:pt idx="665">
                  <c:v>952.74884415754593</c:v>
                </c:pt>
                <c:pt idx="666">
                  <c:v>956.58326093341805</c:v>
                </c:pt>
                <c:pt idx="667">
                  <c:v>960.41424220818863</c:v>
                </c:pt>
                <c:pt idx="668">
                  <c:v>964.24182220644536</c:v>
                </c:pt>
                <c:pt idx="669">
                  <c:v>968.06603318458144</c:v>
                </c:pt>
                <c:pt idx="670">
                  <c:v>971.88690540090124</c:v>
                </c:pt>
                <c:pt idx="671">
                  <c:v>975.70446708729651</c:v>
                </c:pt>
                <c:pt idx="672">
                  <c:v>979.51874442278097</c:v>
                </c:pt>
                <c:pt idx="673">
                  <c:v>983.3297615091733</c:v>
                </c:pt>
                <c:pt idx="674">
                  <c:v>987.13754034921396</c:v>
                </c:pt>
                <c:pt idx="675">
                  <c:v>990.94210082739221</c:v>
                </c:pt>
                <c:pt idx="676">
                  <c:v>994.74346069374599</c:v>
                </c:pt>
                <c:pt idx="677">
                  <c:v>998.54163555087928</c:v>
                </c:pt>
                <c:pt idx="678">
                  <c:v>1002.3366388444177</c:v>
                </c:pt>
                <c:pt idx="679">
                  <c:v>1006.1284818570956</c:v>
                </c:pt>
                <c:pt idx="680">
                  <c:v>1009.9171737066348</c:v>
                </c:pt>
                <c:pt idx="681">
                  <c:v>1013.7027213475407</c:v>
                </c:pt>
                <c:pt idx="682">
                  <c:v>1017.4851295769014</c:v>
                </c:pt>
                <c:pt idx="683">
                  <c:v>1021.264401044237</c:v>
                </c:pt>
                <c:pt idx="684">
                  <c:v>1025.0405362654024</c:v>
                </c:pt>
                <c:pt idx="685">
                  <c:v>1028.8135336405051</c:v>
                </c:pt>
                <c:pt idx="686">
                  <c:v>1032.5833894757618</c:v>
                </c:pt>
                <c:pt idx="687">
                  <c:v>1036.3500980091742</c:v>
                </c:pt>
                <c:pt idx="688">
                  <c:v>1040.1136514398688</c:v>
                </c:pt>
                <c:pt idx="689">
                  <c:v>1043.8740399609144</c:v>
                </c:pt>
                <c:pt idx="690">
                  <c:v>1047.6312517954011</c:v>
                </c:pt>
                <c:pt idx="691">
                  <c:v>1051.3852732355369</c:v>
                </c:pt>
                <c:pt idx="692">
                  <c:v>1055.136088684503</c:v>
                </c:pt>
                <c:pt idx="693">
                  <c:v>1058.8836807007899</c:v>
                </c:pt>
                <c:pt idx="694">
                  <c:v>1062.6280300447313</c:v>
                </c:pt>
                <c:pt idx="695">
                  <c:v>1066.3691157269407</c:v>
                </c:pt>
                <c:pt idx="696">
                  <c:v>1070.1069150583635</c:v>
                </c:pt>
                <c:pt idx="697">
                  <c:v>1073.8414037016544</c:v>
                </c:pt>
                <c:pt idx="698">
                  <c:v>1077.5725557236021</c:v>
                </c:pt>
                <c:pt idx="699">
                  <c:v>1081.30034364833</c:v>
                </c:pt>
                <c:pt idx="700">
                  <c:v>1085.0247385110176</c:v>
                </c:pt>
                <c:pt idx="701">
                  <c:v>1088.7457099119038</c:v>
                </c:pt>
                <c:pt idx="702">
                  <c:v>1092.4632260703443</c:v>
                </c:pt>
                <c:pt idx="703">
                  <c:v>1096.1772538787231</c:v>
                </c:pt>
                <c:pt idx="704">
                  <c:v>1099.8877589560282</c:v>
                </c:pt>
                <c:pt idx="705">
                  <c:v>1103.594705700923</c:v>
                </c:pt>
                <c:pt idx="706">
                  <c:v>1107.2980573441696</c:v>
                </c:pt>
                <c:pt idx="707">
                  <c:v>1110.9977760002682</c:v>
                </c:pt>
                <c:pt idx="708">
                  <c:v>1114.6938227182047</c:v>
                </c:pt>
                <c:pt idx="709">
                  <c:v>1118.3861575312071</c:v>
                </c:pt>
                <c:pt idx="710">
                  <c:v>1122.0747395054359</c:v>
                </c:pt>
                <c:pt idx="711">
                  <c:v>1125.7595267875386</c:v>
                </c:pt>
                <c:pt idx="712">
                  <c:v>1129.4404766510206</c:v>
                </c:pt>
                <c:pt idx="713">
                  <c:v>1133.1175455413938</c:v>
                </c:pt>
                <c:pt idx="714">
                  <c:v>1136.7906891200719</c:v>
                </c:pt>
                <c:pt idx="715">
                  <c:v>1140.459862306999</c:v>
                </c:pt>
                <c:pt idx="716">
                  <c:v>1144.1250193220008</c:v>
                </c:pt>
                <c:pt idx="717">
                  <c:v>1147.7861137248574</c:v>
                </c:pt>
                <c:pt idx="718">
                  <c:v>1151.4430984541052</c:v>
                </c:pt>
                <c:pt idx="719">
                  <c:v>1155.0959258645778</c:v>
                </c:pt>
                <c:pt idx="720">
                  <c:v>1158.7445477637036</c:v>
                </c:pt>
                <c:pt idx="721">
                  <c:v>1162.3889154465826</c:v>
                </c:pt>
                <c:pt idx="722">
                  <c:v>1166.028979729864</c:v>
                </c:pt>
                <c:pt idx="723">
                  <c:v>1169.6646909844551</c:v>
                </c:pt>
                <c:pt idx="724">
                  <c:v>1173.2959991670873</c:v>
                </c:pt>
                <c:pt idx="725">
                  <c:v>1176.9228538507748</c:v>
                </c:pt>
                <c:pt idx="726">
                  <c:v>1180.5452042541947</c:v>
                </c:pt>
                <c:pt idx="727">
                  <c:v>1184.1629992700246</c:v>
                </c:pt>
                <c:pt idx="728">
                  <c:v>1187.7761874922696</c:v>
                </c:pt>
                <c:pt idx="729">
                  <c:v>1191.3847172426154</c:v>
                </c:pt>
                <c:pt idx="730">
                  <c:v>1194.9885365958385</c:v>
                </c:pt>
                <c:pt idx="731">
                  <c:v>1198.5875934043104</c:v>
                </c:pt>
                <c:pt idx="732">
                  <c:v>1202.181835321627</c:v>
                </c:pt>
                <c:pt idx="733">
                  <c:v>1205.7712098253983</c:v>
                </c:pt>
                <c:pt idx="734">
                  <c:v>1209.3556642392282</c:v>
                </c:pt>
                <c:pt idx="735">
                  <c:v>1212.9351457539192</c:v>
                </c:pt>
                <c:pt idx="736">
                  <c:v>1216.5096014479284</c:v>
                </c:pt>
                <c:pt idx="737">
                  <c:v>1220.0789783071093</c:v>
                </c:pt>
                <c:pt idx="738">
                  <c:v>1223.6432232437637</c:v>
                </c:pt>
                <c:pt idx="739">
                  <c:v>1227.2022831150352</c:v>
                </c:pt>
                <c:pt idx="740">
                  <c:v>1230.7561047406687</c:v>
                </c:pt>
                <c:pt idx="741">
                  <c:v>1234.3046349201622</c:v>
                </c:pt>
                <c:pt idx="742">
                  <c:v>1237.8478204493376</c:v>
                </c:pt>
                <c:pt idx="743">
                  <c:v>1241.3856081363501</c:v>
                </c:pt>
                <c:pt idx="744">
                  <c:v>1244.917944817164</c:v>
                </c:pt>
                <c:pt idx="745">
                  <c:v>1248.4447773705133</c:v>
                </c:pt>
                <c:pt idx="746">
                  <c:v>1251.966052732369</c:v>
                </c:pt>
                <c:pt idx="747">
                  <c:v>1255.4817179099327</c:v>
                </c:pt>
                <c:pt idx="748">
                  <c:v>1258.9917199951774</c:v>
                </c:pt>
                <c:pt idx="749">
                  <c:v>1262.4960061779498</c:v>
                </c:pt>
                <c:pt idx="750">
                  <c:v>1265.9945237586564</c:v>
                </c:pt>
                <c:pt idx="751">
                  <c:v>1269.4872201605458</c:v>
                </c:pt>
                <c:pt idx="752">
                  <c:v>1272.9740429416045</c:v>
                </c:pt>
                <c:pt idx="753">
                  <c:v>1276.4549398060824</c:v>
                </c:pt>
                <c:pt idx="754">
                  <c:v>1279.9298586156604</c:v>
                </c:pt>
                <c:pt idx="755">
                  <c:v>1283.3987474002736</c:v>
                </c:pt>
                <c:pt idx="756">
                  <c:v>1286.861554368606</c:v>
                </c:pt>
                <c:pt idx="757">
                  <c:v>1290.3182279182649</c:v>
                </c:pt>
                <c:pt idx="758">
                  <c:v>1293.7687166456494</c:v>
                </c:pt>
                <c:pt idx="759">
                  <c:v>1297.2129693555239</c:v>
                </c:pt>
                <c:pt idx="760">
                  <c:v>1300.6509350703059</c:v>
                </c:pt>
                <c:pt idx="761">
                  <c:v>1304.0825630390793</c:v>
                </c:pt>
                <c:pt idx="762">
                  <c:v>1307.5078027463435</c:v>
                </c:pt>
                <c:pt idx="763">
                  <c:v>1310.926603920504</c:v>
                </c:pt>
                <c:pt idx="764">
                  <c:v>1314.3389165421183</c:v>
                </c:pt>
                <c:pt idx="765">
                  <c:v>1317.7446908519003</c:v>
                </c:pt>
                <c:pt idx="766">
                  <c:v>1321.1438773584944</c:v>
                </c:pt>
                <c:pt idx="767">
                  <c:v>1324.536426846026</c:v>
                </c:pt>
                <c:pt idx="768">
                  <c:v>1327.9222903814341</c:v>
                </c:pt>
                <c:pt idx="769">
                  <c:v>1331.301419321594</c:v>
                </c:pt>
                <c:pt idx="770">
                  <c:v>1334.6737653202372</c:v>
                </c:pt>
                <c:pt idx="771">
                  <c:v>1338.0392803346722</c:v>
                </c:pt>
                <c:pt idx="772">
                  <c:v>1341.3979166323147</c:v>
                </c:pt>
                <c:pt idx="773">
                  <c:v>1344.7496267970309</c:v>
                </c:pt>
                <c:pt idx="774">
                  <c:v>1348.0943637352998</c:v>
                </c:pt>
                <c:pt idx="775">
                  <c:v>1351.4320806821991</c:v>
                </c:pt>
                <c:pt idx="776">
                  <c:v>1354.7627312072204</c:v>
                </c:pt>
                <c:pt idx="777">
                  <c:v>1358.0862692199184</c:v>
                </c:pt>
                <c:pt idx="778">
                  <c:v>1361.4026489753951</c:v>
                </c:pt>
                <c:pt idx="779">
                  <c:v>1364.7118250796286</c:v>
                </c:pt>
                <c:pt idx="780">
                  <c:v>1368.0137524946458</c:v>
                </c:pt>
                <c:pt idx="781">
                  <c:v>1371.3083865435451</c:v>
                </c:pt>
                <c:pt idx="782">
                  <c:v>1374.5956829153724</c:v>
                </c:pt>
                <c:pt idx="783">
                  <c:v>1377.8755976698531</c:v>
                </c:pt>
                <c:pt idx="784">
                  <c:v>1381.1480872419834</c:v>
                </c:pt>
                <c:pt idx="785">
                  <c:v>1384.4131084464855</c:v>
                </c:pt>
                <c:pt idx="786">
                  <c:v>1387.6706184821278</c:v>
                </c:pt>
                <c:pt idx="787">
                  <c:v>1390.9205749359141</c:v>
                </c:pt>
                <c:pt idx="788">
                  <c:v>1394.1629357871443</c:v>
                </c:pt>
                <c:pt idx="789">
                  <c:v>1397.3976594113483</c:v>
                </c:pt>
                <c:pt idx="790">
                  <c:v>1400.6247045840976</c:v>
                </c:pt>
                <c:pt idx="791">
                  <c:v>1403.8440304846952</c:v>
                </c:pt>
                <c:pt idx="792">
                  <c:v>1407.0555966997467</c:v>
                </c:pt>
                <c:pt idx="793">
                  <c:v>1410.2593632266151</c:v>
                </c:pt>
                <c:pt idx="794">
                  <c:v>1413.4552904767609</c:v>
                </c:pt>
                <c:pt idx="795">
                  <c:v>1416.6433392789697</c:v>
                </c:pt>
                <c:pt idx="796">
                  <c:v>1419.8234708824702</c:v>
                </c:pt>
                <c:pt idx="797">
                  <c:v>1422.9956469599424</c:v>
                </c:pt>
                <c:pt idx="798">
                  <c:v>1426.1598296104198</c:v>
                </c:pt>
                <c:pt idx="799">
                  <c:v>1429.3159813620866</c:v>
                </c:pt>
                <c:pt idx="800">
                  <c:v>1432.4640651749714</c:v>
                </c:pt>
                <c:pt idx="801">
                  <c:v>1435.6040444435391</c:v>
                </c:pt>
                <c:pt idx="802">
                  <c:v>1438.7358829991831</c:v>
                </c:pt>
                <c:pt idx="803">
                  <c:v>1441.8595451126184</c:v>
                </c:pt>
                <c:pt idx="804">
                  <c:v>1444.9749954961781</c:v>
                </c:pt>
                <c:pt idx="805">
                  <c:v>1448.0821993060129</c:v>
                </c:pt>
                <c:pt idx="806">
                  <c:v>1451.1811221441985</c:v>
                </c:pt>
                <c:pt idx="807">
                  <c:v>1454.271730060748</c:v>
                </c:pt>
                <c:pt idx="808">
                  <c:v>1457.3539895555334</c:v>
                </c:pt>
                <c:pt idx="809">
                  <c:v>1460.4278675801161</c:v>
                </c:pt>
                <c:pt idx="810">
                  <c:v>1463.4933315394887</c:v>
                </c:pt>
                <c:pt idx="811">
                  <c:v>1466.5503492937291</c:v>
                </c:pt>
                <c:pt idx="812">
                  <c:v>1469.5988891595662</c:v>
                </c:pt>
                <c:pt idx="813">
                  <c:v>1472.638919911861</c:v>
                </c:pt>
                <c:pt idx="814">
                  <c:v>1475.6704107850032</c:v>
                </c:pt>
                <c:pt idx="815">
                  <c:v>1478.6933314742232</c:v>
                </c:pt>
                <c:pt idx="816">
                  <c:v>1481.7076521368222</c:v>
                </c:pt>
                <c:pt idx="817">
                  <c:v>1484.71334339332</c:v>
                </c:pt>
                <c:pt idx="818">
                  <c:v>1487.7103763285238</c:v>
                </c:pt>
                <c:pt idx="819">
                  <c:v>1490.6987224925158</c:v>
                </c:pt>
                <c:pt idx="820">
                  <c:v>1493.6783539015626</c:v>
                </c:pt>
                <c:pt idx="821">
                  <c:v>1496.6492430389474</c:v>
                </c:pt>
                <c:pt idx="822">
                  <c:v>1499.6113628557252</c:v>
                </c:pt>
                <c:pt idx="823">
                  <c:v>1502.5646867714024</c:v>
                </c:pt>
                <c:pt idx="824">
                  <c:v>1505.5091886745408</c:v>
                </c:pt>
                <c:pt idx="825">
                  <c:v>1508.4448429232884</c:v>
                </c:pt>
                <c:pt idx="826">
                  <c:v>1511.3716243458362</c:v>
                </c:pt>
                <c:pt idx="827">
                  <c:v>1514.2895082408031</c:v>
                </c:pt>
                <c:pt idx="828">
                  <c:v>1517.1984703775502</c:v>
                </c:pt>
                <c:pt idx="829">
                  <c:v>1520.0984869964227</c:v>
                </c:pt>
                <c:pt idx="830">
                  <c:v>1522.9895348089231</c:v>
                </c:pt>
                <c:pt idx="831">
                  <c:v>1525.8715909978157</c:v>
                </c:pt>
                <c:pt idx="832">
                  <c:v>1528.7446332171621</c:v>
                </c:pt>
                <c:pt idx="833">
                  <c:v>1531.6086395922896</c:v>
                </c:pt>
                <c:pt idx="834">
                  <c:v>1534.4635887196939</c:v>
                </c:pt>
                <c:pt idx="835">
                  <c:v>1537.3094596668745</c:v>
                </c:pt>
                <c:pt idx="836">
                  <c:v>1540.1462319721063</c:v>
                </c:pt>
                <c:pt idx="837">
                  <c:v>1542.9738856441465</c:v>
                </c:pt>
                <c:pt idx="838">
                  <c:v>1545.7924011618786</c:v>
                </c:pt>
                <c:pt idx="839">
                  <c:v>1548.6017594738926</c:v>
                </c:pt>
                <c:pt idx="840">
                  <c:v>1551.4019419980043</c:v>
                </c:pt>
                <c:pt idx="841">
                  <c:v>1554.1929306207137</c:v>
                </c:pt>
                <c:pt idx="842">
                  <c:v>1556.9747076966019</c:v>
                </c:pt>
                <c:pt idx="843">
                  <c:v>1559.7472560476688</c:v>
                </c:pt>
                <c:pt idx="844">
                  <c:v>1562.5105589626128</c:v>
                </c:pt>
                <c:pt idx="845">
                  <c:v>1565.2646001960513</c:v>
                </c:pt>
                <c:pt idx="846">
                  <c:v>1568.0093639676843</c:v>
                </c:pt>
                <c:pt idx="847">
                  <c:v>1570.7448349614008</c:v>
                </c:pt>
                <c:pt idx="848">
                  <c:v>1573.4709983243301</c:v>
                </c:pt>
                <c:pt idx="849">
                  <c:v>1576.1878396658378</c:v>
                </c:pt>
                <c:pt idx="850">
                  <c:v>1578.895345056467</c:v>
                </c:pt>
                <c:pt idx="851">
                  <c:v>1581.5935010268256</c:v>
                </c:pt>
                <c:pt idx="852">
                  <c:v>1584.2822945664216</c:v>
                </c:pt>
                <c:pt idx="853">
                  <c:v>1586.9617131224454</c:v>
                </c:pt>
                <c:pt idx="854">
                  <c:v>1589.6317445985007</c:v>
                </c:pt>
                <c:pt idx="855">
                  <c:v>1592.292377353285</c:v>
                </c:pt>
                <c:pt idx="856">
                  <c:v>1594.9436001992194</c:v>
                </c:pt>
                <c:pt idx="857">
                  <c:v>1597.58540240103</c:v>
                </c:pt>
                <c:pt idx="858">
                  <c:v>1600.2177736742804</c:v>
                </c:pt>
                <c:pt idx="859">
                  <c:v>1602.8407041838555</c:v>
                </c:pt>
                <c:pt idx="860">
                  <c:v>1605.4541845423998</c:v>
                </c:pt>
                <c:pt idx="861">
                  <c:v>1608.0582058087082</c:v>
                </c:pt>
                <c:pt idx="862">
                  <c:v>1610.6527594860709</c:v>
                </c:pt>
                <c:pt idx="863">
                  <c:v>1613.237837520574</c:v>
                </c:pt>
                <c:pt idx="864">
                  <c:v>1615.8134322993562</c:v>
                </c:pt>
                <c:pt idx="865">
                  <c:v>1618.3795366488214</c:v>
                </c:pt>
                <c:pt idx="866">
                  <c:v>1620.9361438328081</c:v>
                </c:pt>
                <c:pt idx="867">
                  <c:v>1623.483247550718</c:v>
                </c:pt>
                <c:pt idx="868">
                  <c:v>1626.0208419356024</c:v>
                </c:pt>
                <c:pt idx="869">
                  <c:v>1628.548921552208</c:v>
                </c:pt>
                <c:pt idx="870">
                  <c:v>1631.0674813949829</c:v>
                </c:pt>
                <c:pt idx="871">
                  <c:v>1633.5765168860444</c:v>
                </c:pt>
                <c:pt idx="872">
                  <c:v>1636.0760238731064</c:v>
                </c:pt>
                <c:pt idx="873">
                  <c:v>1638.5659986273708</c:v>
                </c:pt>
                <c:pt idx="874">
                  <c:v>1641.0464378413817</c:v>
                </c:pt>
                <c:pt idx="875">
                  <c:v>1643.5173386268416</c:v>
                </c:pt>
                <c:pt idx="876">
                  <c:v>1645.9786985123944</c:v>
                </c:pt>
                <c:pt idx="877">
                  <c:v>1648.4305154413721</c:v>
                </c:pt>
                <c:pt idx="878">
                  <c:v>1650.8727877695078</c:v>
                </c:pt>
                <c:pt idx="879">
                  <c:v>1653.3055142626145</c:v>
                </c:pt>
                <c:pt idx="880">
                  <c:v>1655.7286940942327</c:v>
                </c:pt>
                <c:pt idx="881">
                  <c:v>1658.1423268432443</c:v>
                </c:pt>
                <c:pt idx="882">
                  <c:v>1660.5464124914567</c:v>
                </c:pt>
                <c:pt idx="883">
                  <c:v>1662.9409514211548</c:v>
                </c:pt>
                <c:pt idx="884">
                  <c:v>1665.325944412624</c:v>
                </c:pt>
                <c:pt idx="885">
                  <c:v>1667.7013926416444</c:v>
                </c:pt>
                <c:pt idx="886">
                  <c:v>1670.0672976769547</c:v>
                </c:pt>
                <c:pt idx="887">
                  <c:v>1672.423661477691</c:v>
                </c:pt>
                <c:pt idx="888">
                  <c:v>1674.7704863907959</c:v>
                </c:pt>
                <c:pt idx="889">
                  <c:v>1677.1077751484022</c:v>
                </c:pt>
                <c:pt idx="890">
                  <c:v>1679.4355308651914</c:v>
                </c:pt>
                <c:pt idx="891">
                  <c:v>1681.7537570357267</c:v>
                </c:pt>
                <c:pt idx="892">
                  <c:v>1684.0624575317611</c:v>
                </c:pt>
                <c:pt idx="893">
                  <c:v>1686.3616365995224</c:v>
                </c:pt>
                <c:pt idx="894">
                  <c:v>1688.6512988569759</c:v>
                </c:pt>
                <c:pt idx="895">
                  <c:v>1690.9314492910628</c:v>
                </c:pt>
                <c:pt idx="896">
                  <c:v>1693.2020932549192</c:v>
                </c:pt>
                <c:pt idx="897">
                  <c:v>1695.4632364650724</c:v>
                </c:pt>
                <c:pt idx="898">
                  <c:v>1697.7148849986181</c:v>
                </c:pt>
                <c:pt idx="899">
                  <c:v>1699.957045290377</c:v>
                </c:pt>
                <c:pt idx="900">
                  <c:v>1702.189724130033</c:v>
                </c:pt>
                <c:pt idx="901">
                  <c:v>1704.4129286592536</c:v>
                </c:pt>
                <c:pt idx="902">
                  <c:v>1706.6266663687909</c:v>
                </c:pt>
                <c:pt idx="903">
                  <c:v>1708.8309450955674</c:v>
                </c:pt>
                <c:pt idx="904">
                  <c:v>1711.0257730197445</c:v>
                </c:pt>
                <c:pt idx="905">
                  <c:v>1713.2111586617762</c:v>
                </c:pt>
                <c:pt idx="906">
                  <c:v>1715.3871108794456</c:v>
                </c:pt>
                <c:pt idx="907">
                  <c:v>1717.5536388648898</c:v>
                </c:pt>
                <c:pt idx="908">
                  <c:v>1719.7107521416087</c:v>
                </c:pt>
                <c:pt idx="909">
                  <c:v>1721.8584605614624</c:v>
                </c:pt>
                <c:pt idx="910">
                  <c:v>1723.9967743016541</c:v>
                </c:pt>
                <c:pt idx="911">
                  <c:v>1726.1257038617027</c:v>
                </c:pt>
                <c:pt idx="912">
                  <c:v>1728.2452600604038</c:v>
                </c:pt>
                <c:pt idx="913">
                  <c:v>1730.3554540327789</c:v>
                </c:pt>
                <c:pt idx="914">
                  <c:v>1732.4562972270157</c:v>
                </c:pt>
                <c:pt idx="915">
                  <c:v>1734.5478014013988</c:v>
                </c:pt>
                <c:pt idx="916">
                  <c:v>1736.6299786212303</c:v>
                </c:pt>
                <c:pt idx="917">
                  <c:v>1738.7028412557436</c:v>
                </c:pt>
                <c:pt idx="918">
                  <c:v>1740.7664019750084</c:v>
                </c:pt>
                <c:pt idx="919">
                  <c:v>1742.8206737468297</c:v>
                </c:pt>
                <c:pt idx="920">
                  <c:v>1744.8656698336381</c:v>
                </c:pt>
                <c:pt idx="921">
                  <c:v>1746.9014037893767</c:v>
                </c:pt>
                <c:pt idx="922">
                  <c:v>1748.9278894563802</c:v>
                </c:pt>
                <c:pt idx="923">
                  <c:v>1750.9451409622511</c:v>
                </c:pt>
                <c:pt idx="924">
                  <c:v>1752.9531727167305</c:v>
                </c:pt>
                <c:pt idx="925">
                  <c:v>1754.9519994085645</c:v>
                </c:pt>
                <c:pt idx="926">
                  <c:v>1756.941636002369</c:v>
                </c:pt>
                <c:pt idx="927">
                  <c:v>1758.9220977354905</c:v>
                </c:pt>
                <c:pt idx="928">
                  <c:v>1760.893400114865</c:v>
                </c:pt>
                <c:pt idx="929">
                  <c:v>1762.8555589138755</c:v>
                </c:pt>
                <c:pt idx="930">
                  <c:v>1764.8085901692084</c:v>
                </c:pt>
                <c:pt idx="931">
                  <c:v>1766.7525101777089</c:v>
                </c:pt>
                <c:pt idx="932">
                  <c:v>1768.6873354932363</c:v>
                </c:pt>
                <c:pt idx="933">
                  <c:v>1770.6130829235206</c:v>
                </c:pt>
                <c:pt idx="934">
                  <c:v>1772.5297695270178</c:v>
                </c:pt>
                <c:pt idx="935">
                  <c:v>1774.43741260977</c:v>
                </c:pt>
                <c:pt idx="936">
                  <c:v>1776.3360297222632</c:v>
                </c:pt>
                <c:pt idx="937">
                  <c:v>1778.2256386562913</c:v>
                </c:pt>
                <c:pt idx="938">
                  <c:v>1780.1062574418202</c:v>
                </c:pt>
                <c:pt idx="939">
                  <c:v>1781.9779043438564</c:v>
                </c:pt>
                <c:pt idx="940">
                  <c:v>1783.8405978593189</c:v>
                </c:pt>
                <c:pt idx="941">
                  <c:v>1785.6943567139158</c:v>
                </c:pt>
                <c:pt idx="942">
                  <c:v>1787.5391998590244</c:v>
                </c:pt>
                <c:pt idx="943">
                  <c:v>1789.3751464685777</c:v>
                </c:pt>
                <c:pt idx="944">
                  <c:v>1789.3751464685777</c:v>
                </c:pt>
                <c:pt idx="945">
                  <c:v>1789.3751464685777</c:v>
                </c:pt>
                <c:pt idx="946">
                  <c:v>1789.3751464685777</c:v>
                </c:pt>
                <c:pt idx="947">
                  <c:v>1789.3751464685777</c:v>
                </c:pt>
                <c:pt idx="948">
                  <c:v>1789.3751464685777</c:v>
                </c:pt>
                <c:pt idx="949">
                  <c:v>1789.3751464685777</c:v>
                </c:pt>
                <c:pt idx="950">
                  <c:v>1789.3751464685777</c:v>
                </c:pt>
                <c:pt idx="951">
                  <c:v>1789.3751464685777</c:v>
                </c:pt>
                <c:pt idx="952">
                  <c:v>1789.3751464685777</c:v>
                </c:pt>
                <c:pt idx="953">
                  <c:v>1789.3751464685777</c:v>
                </c:pt>
                <c:pt idx="954">
                  <c:v>1789.3751464685777</c:v>
                </c:pt>
                <c:pt idx="955">
                  <c:v>1789.3751464685777</c:v>
                </c:pt>
                <c:pt idx="956">
                  <c:v>1789.3751464685777</c:v>
                </c:pt>
                <c:pt idx="957">
                  <c:v>1789.3751464685777</c:v>
                </c:pt>
                <c:pt idx="958">
                  <c:v>1789.3751464685777</c:v>
                </c:pt>
                <c:pt idx="959">
                  <c:v>1789.3751464685777</c:v>
                </c:pt>
                <c:pt idx="960">
                  <c:v>1789.3751464685777</c:v>
                </c:pt>
                <c:pt idx="961">
                  <c:v>1789.3751464685777</c:v>
                </c:pt>
                <c:pt idx="962">
                  <c:v>1789.3751464685777</c:v>
                </c:pt>
                <c:pt idx="963">
                  <c:v>1789.3751464685777</c:v>
                </c:pt>
                <c:pt idx="964">
                  <c:v>1789.3751464685777</c:v>
                </c:pt>
                <c:pt idx="965">
                  <c:v>1789.3751464685777</c:v>
                </c:pt>
                <c:pt idx="966">
                  <c:v>1789.3751464685777</c:v>
                </c:pt>
                <c:pt idx="967">
                  <c:v>1789.3751464685777</c:v>
                </c:pt>
                <c:pt idx="968">
                  <c:v>1789.3751464685777</c:v>
                </c:pt>
                <c:pt idx="969">
                  <c:v>1789.3751464685777</c:v>
                </c:pt>
                <c:pt idx="970">
                  <c:v>1789.3751464685777</c:v>
                </c:pt>
                <c:pt idx="971">
                  <c:v>1789.3751464685777</c:v>
                </c:pt>
                <c:pt idx="972">
                  <c:v>1789.3751464685777</c:v>
                </c:pt>
                <c:pt idx="973">
                  <c:v>1789.3751464685777</c:v>
                </c:pt>
                <c:pt idx="974">
                  <c:v>1789.3751464685777</c:v>
                </c:pt>
                <c:pt idx="975">
                  <c:v>1789.3751464685777</c:v>
                </c:pt>
                <c:pt idx="976">
                  <c:v>1789.3751464685777</c:v>
                </c:pt>
                <c:pt idx="977">
                  <c:v>1789.3751464685777</c:v>
                </c:pt>
                <c:pt idx="978">
                  <c:v>1789.3751464685777</c:v>
                </c:pt>
                <c:pt idx="979">
                  <c:v>1789.3751464685777</c:v>
                </c:pt>
                <c:pt idx="980">
                  <c:v>1789.3751464685777</c:v>
                </c:pt>
                <c:pt idx="981">
                  <c:v>1789.3751464685777</c:v>
                </c:pt>
                <c:pt idx="982">
                  <c:v>1789.3751464685777</c:v>
                </c:pt>
                <c:pt idx="983">
                  <c:v>1789.3751464685777</c:v>
                </c:pt>
                <c:pt idx="984">
                  <c:v>1789.3751464685777</c:v>
                </c:pt>
                <c:pt idx="985">
                  <c:v>1789.3751464685777</c:v>
                </c:pt>
                <c:pt idx="986">
                  <c:v>1789.3751464685777</c:v>
                </c:pt>
                <c:pt idx="987">
                  <c:v>1789.3751464685777</c:v>
                </c:pt>
                <c:pt idx="988">
                  <c:v>1789.3751464685777</c:v>
                </c:pt>
                <c:pt idx="989">
                  <c:v>1789.3751464685777</c:v>
                </c:pt>
                <c:pt idx="990">
                  <c:v>1789.3751464685777</c:v>
                </c:pt>
                <c:pt idx="991">
                  <c:v>1789.3751464685777</c:v>
                </c:pt>
                <c:pt idx="992">
                  <c:v>1789.3751464685777</c:v>
                </c:pt>
                <c:pt idx="993">
                  <c:v>1789.3751464685777</c:v>
                </c:pt>
                <c:pt idx="994">
                  <c:v>1789.3751464685777</c:v>
                </c:pt>
                <c:pt idx="995">
                  <c:v>1789.3751464685777</c:v>
                </c:pt>
                <c:pt idx="996">
                  <c:v>1789.3751464685777</c:v>
                </c:pt>
                <c:pt idx="997">
                  <c:v>1789.3751464685777</c:v>
                </c:pt>
                <c:pt idx="998">
                  <c:v>1789.3751464685777</c:v>
                </c:pt>
                <c:pt idx="999">
                  <c:v>1789.3751464685777</c:v>
                </c:pt>
                <c:pt idx="1000">
                  <c:v>1789.3751464685777</c:v>
                </c:pt>
              </c:numCache>
            </c:numRef>
          </c:xVal>
          <c:yVal>
            <c:numRef>
              <c:f>Calculs!$K$4:$K$1004</c:f>
              <c:numCache>
                <c:formatCode>0.00</c:formatCode>
                <c:ptCount val="1001"/>
                <c:pt idx="0">
                  <c:v>0</c:v>
                </c:pt>
                <c:pt idx="1">
                  <c:v>4.4279572656441422E-4</c:v>
                </c:pt>
                <c:pt idx="2">
                  <c:v>2.7845659552549399E-3</c:v>
                </c:pt>
                <c:pt idx="3">
                  <c:v>8.4593506145101884E-3</c:v>
                </c:pt>
                <c:pt idx="4">
                  <c:v>1.8308779906268193E-2</c:v>
                </c:pt>
                <c:pt idx="5">
                  <c:v>3.3175168883948745E-2</c:v>
                </c:pt>
                <c:pt idx="6">
                  <c:v>5.3901621016958577E-2</c:v>
                </c:pt>
                <c:pt idx="7">
                  <c:v>8.1332131042135242E-2</c:v>
                </c:pt>
                <c:pt idx="8">
                  <c:v>0.11631168714046478</c:v>
                </c:pt>
                <c:pt idx="9">
                  <c:v>0.1596863724764486</c:v>
                </c:pt>
                <c:pt idx="10">
                  <c:v>0.21230346613657358</c:v>
                </c:pt>
                <c:pt idx="11">
                  <c:v>0.27476944495113026</c:v>
                </c:pt>
                <c:pt idx="12">
                  <c:v>0.34720740833581992</c:v>
                </c:pt>
                <c:pt idx="13">
                  <c:v>0.429496537796903</c:v>
                </c:pt>
                <c:pt idx="14">
                  <c:v>0.52151208103113078</c:v>
                </c:pt>
                <c:pt idx="15">
                  <c:v>0.62312719351328583</c:v>
                </c:pt>
                <c:pt idx="16">
                  <c:v>0.73421478414008723</c:v>
                </c:pt>
                <c:pt idx="17">
                  <c:v>0.85464751921865045</c:v>
                </c:pt>
                <c:pt idx="18">
                  <c:v>0.9842978264538047</c:v>
                </c:pt>
                <c:pt idx="19">
                  <c:v>1.1230378989337295</c:v>
                </c:pt>
                <c:pt idx="20">
                  <c:v>1.2707396991133766</c:v>
                </c:pt>
                <c:pt idx="21">
                  <c:v>1.4272749627951438</c:v>
                </c:pt>
                <c:pt idx="22">
                  <c:v>1.592515203106273</c:v>
                </c:pt>
                <c:pt idx="23">
                  <c:v>1.7663317144724466</c:v>
                </c:pt>
                <c:pt idx="24">
                  <c:v>1.9485955765870577</c:v>
                </c:pt>
                <c:pt idx="25">
                  <c:v>2.1391776583756372</c:v>
                </c:pt>
                <c:pt idx="26">
                  <c:v>2.3379486219549204</c:v>
                </c:pt>
                <c:pt idx="27">
                  <c:v>2.5448114640407384</c:v>
                </c:pt>
                <c:pt idx="28">
                  <c:v>2.7597341126961408</c:v>
                </c:pt>
                <c:pt idx="29">
                  <c:v>2.9827169737567556</c:v>
                </c:pt>
                <c:pt idx="30">
                  <c:v>3.213760419916297</c:v>
                </c:pt>
                <c:pt idx="31">
                  <c:v>3.4528647906839045</c:v>
                </c:pt>
                <c:pt idx="32">
                  <c:v>3.7000303923421236</c:v>
                </c:pt>
                <c:pt idx="33">
                  <c:v>3.9552574979055302</c:v>
                </c:pt>
                <c:pt idx="34">
                  <c:v>4.2185315499017708</c:v>
                </c:pt>
                <c:pt idx="35">
                  <c:v>4.4898374653202602</c:v>
                </c:pt>
                <c:pt idx="36">
                  <c:v>4.7691744365682753</c:v>
                </c:pt>
                <c:pt idx="37">
                  <c:v>5.0565416370551262</c:v>
                </c:pt>
                <c:pt idx="38">
                  <c:v>5.3519382274349248</c:v>
                </c:pt>
                <c:pt idx="39">
                  <c:v>5.6553633545803503</c:v>
                </c:pt>
                <c:pt idx="40">
                  <c:v>5.9668161506299482</c:v>
                </c:pt>
                <c:pt idx="41">
                  <c:v>6.2862957321018547</c:v>
                </c:pt>
                <c:pt idx="42">
                  <c:v>6.6138011990677033</c:v>
                </c:pt>
                <c:pt idx="43">
                  <c:v>6.9493316343811893</c:v>
                </c:pt>
                <c:pt idx="44">
                  <c:v>7.2928861029564178</c:v>
                </c:pt>
                <c:pt idx="45">
                  <c:v>7.6444636510916872</c:v>
                </c:pt>
                <c:pt idx="46">
                  <c:v>8.0040633058348529</c:v>
                </c:pt>
                <c:pt idx="47">
                  <c:v>8.3716840743868115</c:v>
                </c:pt>
                <c:pt idx="48">
                  <c:v>8.7473249435400202</c:v>
                </c:pt>
                <c:pt idx="49">
                  <c:v>9.1309848791492794</c:v>
                </c:pt>
                <c:pt idx="50">
                  <c:v>9.5226628256322758</c:v>
                </c:pt>
                <c:pt idx="51">
                  <c:v>9.9223577054976317</c:v>
                </c:pt>
                <c:pt idx="52">
                  <c:v>10.33006841889844</c:v>
                </c:pt>
                <c:pt idx="53">
                  <c:v>10.745793843209418</c:v>
                </c:pt>
                <c:pt idx="54">
                  <c:v>11.169532832626027</c:v>
                </c:pt>
                <c:pt idx="55">
                  <c:v>11.601284217784031</c:v>
                </c:pt>
                <c:pt idx="56">
                  <c:v>12.041046805398096</c:v>
                </c:pt>
                <c:pt idx="57">
                  <c:v>12.488819377918182</c:v>
                </c:pt>
                <c:pt idx="58">
                  <c:v>12.944600693202551</c:v>
                </c:pt>
                <c:pt idx="59">
                  <c:v>13.40838948420636</c:v>
                </c:pt>
                <c:pt idx="60">
                  <c:v>13.880184458684836</c:v>
                </c:pt>
                <c:pt idx="61">
                  <c:v>14.359984298910158</c:v>
                </c:pt>
                <c:pt idx="62">
                  <c:v>14.847787661401227</c:v>
                </c:pt>
                <c:pt idx="63">
                  <c:v>15.343593176665555</c:v>
                </c:pt>
                <c:pt idx="64">
                  <c:v>15.847399448952586</c:v>
                </c:pt>
                <c:pt idx="65">
                  <c:v>16.3592050560178</c:v>
                </c:pt>
                <c:pt idx="66">
                  <c:v>16.879008548897001</c:v>
                </c:pt>
                <c:pt idx="67">
                  <c:v>17.406808451690249</c:v>
                </c:pt>
                <c:pt idx="68">
                  <c:v>17.942603261354897</c:v>
                </c:pt>
                <c:pt idx="69">
                  <c:v>18.486391447507291</c:v>
                </c:pt>
                <c:pt idx="70">
                  <c:v>19.038171452232671</c:v>
                </c:pt>
                <c:pt idx="71">
                  <c:v>19.597941689902861</c:v>
                </c:pt>
                <c:pt idx="72">
                  <c:v>20.165700175768404</c:v>
                </c:pt>
                <c:pt idx="73">
                  <c:v>20.741444154050047</c:v>
                </c:pt>
                <c:pt idx="74">
                  <c:v>21.325170468296179</c:v>
                </c:pt>
                <c:pt idx="75">
                  <c:v>21.91687593226121</c:v>
                </c:pt>
                <c:pt idx="76">
                  <c:v>22.516557329770823</c:v>
                </c:pt>
                <c:pt idx="77">
                  <c:v>23.124211414593258</c:v>
                </c:pt>
                <c:pt idx="78">
                  <c:v>23.739834910316418</c:v>
                </c:pt>
                <c:pt idx="79">
                  <c:v>24.363424510230509</c:v>
                </c:pt>
                <c:pt idx="80">
                  <c:v>24.994976877216001</c:v>
                </c:pt>
                <c:pt idx="81">
                  <c:v>25.63448864363669</c:v>
                </c:pt>
                <c:pt idx="82">
                  <c:v>26.281956411237637</c:v>
                </c:pt>
                <c:pt idx="83">
                  <c:v>26.937376751047807</c:v>
                </c:pt>
                <c:pt idx="84">
                  <c:v>27.600746203287237</c:v>
                </c:pt>
                <c:pt idx="85">
                  <c:v>28.272061277278503</c:v>
                </c:pt>
                <c:pt idx="86">
                  <c:v>28.951318451362411</c:v>
                </c:pt>
                <c:pt idx="87">
                  <c:v>29.638514172817686</c:v>
                </c:pt>
                <c:pt idx="88">
                  <c:v>30.333644857784545</c:v>
                </c:pt>
                <c:pt idx="89">
                  <c:v>31.036706891192008</c:v>
                </c:pt>
                <c:pt idx="90">
                  <c:v>31.747696626688839</c:v>
                </c:pt>
                <c:pt idx="91">
                  <c:v>32.466610386577962</c:v>
                </c:pt>
                <c:pt idx="92">
                  <c:v>33.193444461754254</c:v>
                </c:pt>
                <c:pt idx="93">
                  <c:v>33.928195111645628</c:v>
                </c:pt>
                <c:pt idx="94">
                  <c:v>34.670858564157228</c:v>
                </c:pt>
                <c:pt idx="95">
                  <c:v>35.42143101561873</c:v>
                </c:pt>
                <c:pt idx="96">
                  <c:v>36.179908630734609</c:v>
                </c:pt>
                <c:pt idx="97">
                  <c:v>36.946287542537256</c:v>
                </c:pt>
                <c:pt idx="98">
                  <c:v>37.72056385234292</c:v>
                </c:pt>
                <c:pt idx="99">
                  <c:v>38.502733629710349</c:v>
                </c:pt>
                <c:pt idx="100">
                  <c:v>39.292792912402064</c:v>
                </c:pt>
                <c:pt idx="101">
                  <c:v>40.090737706348229</c:v>
                </c:pt>
                <c:pt idx="102">
                  <c:v>40.896563985612978</c:v>
                </c:pt>
                <c:pt idx="103">
                  <c:v>41.710267692363189</c:v>
                </c:pt>
                <c:pt idx="104">
                  <c:v>42.531844736839631</c:v>
                </c:pt>
                <c:pt idx="105">
                  <c:v>43.361290997330386</c:v>
                </c:pt>
                <c:pt idx="106">
                  <c:v>44.198602320146563</c:v>
                </c:pt>
                <c:pt idx="107">
                  <c:v>45.043774519600177</c:v>
                </c:pt>
                <c:pt idx="108">
                  <c:v>45.896803377984163</c:v>
                </c:pt>
                <c:pt idx="109">
                  <c:v>46.757684645554498</c:v>
                </c:pt>
                <c:pt idx="110">
                  <c:v>47.626414040514348</c:v>
                </c:pt>
                <c:pt idx="111">
                  <c:v>48.502987249000228</c:v>
                </c:pt>
                <c:pt idx="112">
                  <c:v>49.387399925070085</c:v>
                </c:pt>
                <c:pt idx="113">
                  <c:v>50.279647690693338</c:v>
                </c:pt>
                <c:pt idx="114">
                  <c:v>51.179726135742719</c:v>
                </c:pt>
                <c:pt idx="115">
                  <c:v>52.087630817988</c:v>
                </c:pt>
                <c:pt idx="116">
                  <c:v>53.003357263091495</c:v>
                </c:pt>
                <c:pt idx="117">
                  <c:v>53.926900964605295</c:v>
                </c:pt>
                <c:pt idx="118">
                  <c:v>54.858257383970262</c:v>
                </c:pt>
                <c:pt idx="119">
                  <c:v>55.797421950516672</c:v>
                </c:pt>
                <c:pt idx="120">
                  <c:v>56.74439006146654</c:v>
                </c:pt>
                <c:pt idx="121">
                  <c:v>57.699157081937571</c:v>
                </c:pt>
                <c:pt idx="122">
                  <c:v>58.661718344948689</c:v>
                </c:pt>
                <c:pt idx="123">
                  <c:v>59.632069151427139</c:v>
                </c:pt>
                <c:pt idx="124">
                  <c:v>60.610204770217138</c:v>
                </c:pt>
                <c:pt idx="125">
                  <c:v>61.596120438090033</c:v>
                </c:pt>
                <c:pt idx="126">
                  <c:v>62.589811359755934</c:v>
                </c:pt>
                <c:pt idx="127">
                  <c:v>63.591272707876847</c:v>
                </c:pt>
                <c:pt idx="128">
                  <c:v>64.600499623081177</c:v>
                </c:pt>
                <c:pt idx="129">
                  <c:v>65.617485503560786</c:v>
                </c:pt>
                <c:pt idx="130">
                  <c:v>66.642220292654955</c:v>
                </c:pt>
                <c:pt idx="131">
                  <c:v>67.674692186725679</c:v>
                </c:pt>
                <c:pt idx="132">
                  <c:v>68.714889345092374</c:v>
                </c:pt>
                <c:pt idx="133">
                  <c:v>69.762799890141025</c:v>
                </c:pt>
                <c:pt idx="134">
                  <c:v>70.818411907434822</c:v>
                </c:pt>
                <c:pt idx="135">
                  <c:v>71.881713445826264</c:v>
                </c:pt>
                <c:pt idx="136">
                  <c:v>72.952692517570782</c:v>
                </c:pt>
                <c:pt idx="137">
                  <c:v>74.031337098441824</c:v>
                </c:pt>
                <c:pt idx="138">
                  <c:v>75.117635127847279</c:v>
                </c:pt>
                <c:pt idx="139">
                  <c:v>76.211574508947365</c:v>
                </c:pt>
                <c:pt idx="140">
                  <c:v>77.313143108773858</c:v>
                </c:pt>
                <c:pt idx="141">
                  <c:v>78.422328758350659</c:v>
                </c:pt>
                <c:pt idx="142">
                  <c:v>79.539119252815667</c:v>
                </c:pt>
                <c:pt idx="143">
                  <c:v>80.663502351543983</c:v>
                </c:pt>
                <c:pt idx="144">
                  <c:v>81.795465778272359</c:v>
                </c:pt>
                <c:pt idx="145">
                  <c:v>82.934997221224876</c:v>
                </c:pt>
                <c:pt idx="146">
                  <c:v>84.082084333239891</c:v>
                </c:pt>
                <c:pt idx="147">
                  <c:v>85.236714731898161</c:v>
                </c:pt>
                <c:pt idx="148">
                  <c:v>86.398875999652148</c:v>
                </c:pt>
                <c:pt idx="149">
                  <c:v>87.568555683956518</c:v>
                </c:pt>
                <c:pt idx="150">
                  <c:v>88.745741297399718</c:v>
                </c:pt>
                <c:pt idx="151">
                  <c:v>89.930420317836763</c:v>
                </c:pt>
                <c:pt idx="152">
                  <c:v>91.12258018852306</c:v>
                </c:pt>
                <c:pt idx="153">
                  <c:v>92.322208318249324</c:v>
                </c:pt>
                <c:pt idx="154">
                  <c:v>93.529292081477607</c:v>
                </c:pt>
                <c:pt idx="155">
                  <c:v>94.743818818478303</c:v>
                </c:pt>
                <c:pt idx="156">
                  <c:v>95.965775835468264</c:v>
                </c:pt>
                <c:pt idx="157">
                  <c:v>97.195150404749867</c:v>
                </c:pt>
                <c:pt idx="158">
                  <c:v>98.431929764851077</c:v>
                </c:pt>
                <c:pt idx="159">
                  <c:v>99.676101120666544</c:v>
                </c:pt>
                <c:pt idx="160">
                  <c:v>100.92765164359959</c:v>
                </c:pt>
                <c:pt idx="161">
                  <c:v>102.18656847170519</c:v>
                </c:pt>
                <c:pt idx="162">
                  <c:v>103.45283870983388</c:v>
                </c:pt>
                <c:pt idx="163">
                  <c:v>104.72644942977657</c:v>
                </c:pt>
                <c:pt idx="164">
                  <c:v>106.0073876704102</c:v>
                </c:pt>
                <c:pt idx="165">
                  <c:v>107.2956404378444</c:v>
                </c:pt>
                <c:pt idx="166">
                  <c:v>108.5911947055689</c:v>
                </c:pt>
                <c:pt idx="167">
                  <c:v>109.89403741460185</c:v>
                </c:pt>
                <c:pt idx="168">
                  <c:v>111.20415547363901</c:v>
                </c:pt>
                <c:pt idx="169">
                  <c:v>112.5215357592036</c:v>
                </c:pt>
                <c:pt idx="170">
                  <c:v>113.84616511579723</c:v>
                </c:pt>
                <c:pt idx="171">
                  <c:v>115.17803035605138</c:v>
                </c:pt>
                <c:pt idx="172">
                  <c:v>116.51711826087977</c:v>
                </c:pt>
                <c:pt idx="173">
                  <c:v>117.86341557963149</c:v>
                </c:pt>
                <c:pt idx="174">
                  <c:v>119.21690903024488</c:v>
                </c:pt>
                <c:pt idx="175">
                  <c:v>120.57758529940213</c:v>
                </c:pt>
                <c:pt idx="176">
                  <c:v>121.94543104268463</c:v>
                </c:pt>
                <c:pt idx="177">
                  <c:v>123.32043288472903</c:v>
                </c:pt>
                <c:pt idx="178">
                  <c:v>124.70257741938399</c:v>
                </c:pt>
                <c:pt idx="179">
                  <c:v>126.09185120986761</c:v>
                </c:pt>
                <c:pt idx="180">
                  <c:v>127.48824078892561</c:v>
                </c:pt>
                <c:pt idx="181">
                  <c:v>128.89173265899001</c:v>
                </c:pt>
                <c:pt idx="182">
                  <c:v>130.30231329233868</c:v>
                </c:pt>
                <c:pt idx="183">
                  <c:v>131.71996913125531</c:v>
                </c:pt>
                <c:pt idx="184">
                  <c:v>133.14468658819018</c:v>
                </c:pt>
                <c:pt idx="185">
                  <c:v>134.5764520459214</c:v>
                </c:pt>
                <c:pt idx="186">
                  <c:v>136.01525185771692</c:v>
                </c:pt>
                <c:pt idx="187">
                  <c:v>137.46107234749695</c:v>
                </c:pt>
                <c:pt idx="188">
                  <c:v>138.91389980999708</c:v>
                </c:pt>
                <c:pt idx="189">
                  <c:v>140.37372051093192</c:v>
                </c:pt>
                <c:pt idx="190">
                  <c:v>141.84052068715931</c:v>
                </c:pt>
                <c:pt idx="191">
                  <c:v>143.3142865468451</c:v>
                </c:pt>
                <c:pt idx="192">
                  <c:v>144.79500426962835</c:v>
                </c:pt>
                <c:pt idx="193">
                  <c:v>146.28266000678727</c:v>
                </c:pt>
                <c:pt idx="194">
                  <c:v>147.77723988140539</c:v>
                </c:pt>
                <c:pt idx="195">
                  <c:v>149.27872998853849</c:v>
                </c:pt>
                <c:pt idx="196">
                  <c:v>150.78711639538182</c:v>
                </c:pt>
                <c:pt idx="197">
                  <c:v>152.30238514143795</c:v>
                </c:pt>
                <c:pt idx="198">
                  <c:v>153.82452223868503</c:v>
                </c:pt>
                <c:pt idx="199">
                  <c:v>155.35351367174545</c:v>
                </c:pt>
                <c:pt idx="200">
                  <c:v>156.88934539805496</c:v>
                </c:pt>
                <c:pt idx="201">
                  <c:v>158.43200334803237</c:v>
                </c:pt>
                <c:pt idx="202">
                  <c:v>159.9814734252495</c:v>
                </c:pt>
                <c:pt idx="203">
                  <c:v>161.53774150660163</c:v>
                </c:pt>
                <c:pt idx="204">
                  <c:v>163.10079344247833</c:v>
                </c:pt>
                <c:pt idx="205">
                  <c:v>164.67061505693471</c:v>
                </c:pt>
                <c:pt idx="206">
                  <c:v>166.24719173060396</c:v>
                </c:pt>
                <c:pt idx="207">
                  <c:v>167.83050798329563</c:v>
                </c:pt>
                <c:pt idx="208">
                  <c:v>169.42054789113925</c:v>
                </c:pt>
                <c:pt idx="209">
                  <c:v>171.01729550405503</c:v>
                </c:pt>
                <c:pt idx="210">
                  <c:v>172.62073484595024</c:v>
                </c:pt>
                <c:pt idx="211">
                  <c:v>174.23084991491604</c:v>
                </c:pt>
                <c:pt idx="212">
                  <c:v>175.84762468342444</c:v>
                </c:pt>
                <c:pt idx="213">
                  <c:v>177.47104309852568</c:v>
                </c:pt>
                <c:pt idx="214">
                  <c:v>179.10108908204572</c:v>
                </c:pt>
                <c:pt idx="215">
                  <c:v>180.73774653078399</c:v>
                </c:pt>
                <c:pt idx="216">
                  <c:v>182.38099931671158</c:v>
                </c:pt>
                <c:pt idx="217">
                  <c:v>184.03083128716938</c:v>
                </c:pt>
                <c:pt idx="218">
                  <c:v>185.68722626506656</c:v>
                </c:pt>
                <c:pt idx="219">
                  <c:v>187.35016804907931</c:v>
                </c:pt>
                <c:pt idx="220">
                  <c:v>189.01964041384969</c:v>
                </c:pt>
                <c:pt idx="221">
                  <c:v>190.69562711018463</c:v>
                </c:pt>
                <c:pt idx="222">
                  <c:v>192.37811186525525</c:v>
                </c:pt>
                <c:pt idx="223">
                  <c:v>194.06707838279615</c:v>
                </c:pt>
                <c:pt idx="224">
                  <c:v>195.76251034330505</c:v>
                </c:pt>
                <c:pt idx="225">
                  <c:v>197.46439140424241</c:v>
                </c:pt>
                <c:pt idx="226">
                  <c:v>199.17270520023123</c:v>
                </c:pt>
                <c:pt idx="227">
                  <c:v>200.8874353432571</c:v>
                </c:pt>
                <c:pt idx="228">
                  <c:v>202.60856542286811</c:v>
                </c:pt>
                <c:pt idx="229">
                  <c:v>204.33607900637509</c:v>
                </c:pt>
                <c:pt idx="230">
                  <c:v>206.0699596390518</c:v>
                </c:pt>
                <c:pt idx="231">
                  <c:v>207.81019084433535</c:v>
                </c:pt>
                <c:pt idx="232">
                  <c:v>209.55675612402646</c:v>
                </c:pt>
                <c:pt idx="233">
                  <c:v>211.30963895849001</c:v>
                </c:pt>
                <c:pt idx="234">
                  <c:v>213.06882280685559</c:v>
                </c:pt>
                <c:pt idx="235">
                  <c:v>214.83429110721798</c:v>
                </c:pt>
                <c:pt idx="236">
                  <c:v>216.60602727683781</c:v>
                </c:pt>
                <c:pt idx="237">
                  <c:v>218.38401471234209</c:v>
                </c:pt>
                <c:pt idx="238">
                  <c:v>220.168236789925</c:v>
                </c:pt>
                <c:pt idx="239">
                  <c:v>221.9586768655484</c:v>
                </c:pt>
                <c:pt idx="240">
                  <c:v>223.75531827514251</c:v>
                </c:pt>
                <c:pt idx="241">
                  <c:v>225.55814433480657</c:v>
                </c:pt>
                <c:pt idx="242">
                  <c:v>227.36713689740657</c:v>
                </c:pt>
                <c:pt idx="243">
                  <c:v>229.18227490839107</c:v>
                </c:pt>
                <c:pt idx="244">
                  <c:v>231.00353584916806</c:v>
                </c:pt>
                <c:pt idx="245">
                  <c:v>232.83089718130574</c:v>
                </c:pt>
                <c:pt idx="246">
                  <c:v>234.66433634681687</c:v>
                </c:pt>
                <c:pt idx="247">
                  <c:v>236.50383076844264</c:v>
                </c:pt>
                <c:pt idx="248">
                  <c:v>238.34935784993638</c:v>
                </c:pt>
                <c:pt idx="249">
                  <c:v>240.2008949763466</c:v>
                </c:pt>
                <c:pt idx="250">
                  <c:v>242.0584195142998</c:v>
                </c:pt>
                <c:pt idx="251">
                  <c:v>243.92190881228277</c:v>
                </c:pt>
                <c:pt idx="252">
                  <c:v>245.79134020092451</c:v>
                </c:pt>
                <c:pt idx="253">
                  <c:v>247.66669099327771</c:v>
                </c:pt>
                <c:pt idx="254">
                  <c:v>249.54793848509965</c:v>
                </c:pt>
                <c:pt idx="255">
                  <c:v>251.4350599551328</c:v>
                </c:pt>
                <c:pt idx="256">
                  <c:v>253.32803266538477</c:v>
                </c:pt>
                <c:pt idx="257">
                  <c:v>255.2268338614079</c:v>
                </c:pt>
                <c:pt idx="258">
                  <c:v>257.13144077257829</c:v>
                </c:pt>
                <c:pt idx="259">
                  <c:v>259.04183061237421</c:v>
                </c:pt>
                <c:pt idx="260">
                  <c:v>260.9579805786542</c:v>
                </c:pt>
                <c:pt idx="261">
                  <c:v>262.8798678539344</c:v>
                </c:pt>
                <c:pt idx="262">
                  <c:v>264.80746960566546</c:v>
                </c:pt>
                <c:pt idx="263">
                  <c:v>266.74076298650891</c:v>
                </c:pt>
                <c:pt idx="264">
                  <c:v>268.67972513461274</c:v>
                </c:pt>
                <c:pt idx="265">
                  <c:v>270.62433317388667</c:v>
                </c:pt>
                <c:pt idx="266">
                  <c:v>272.57456421427668</c:v>
                </c:pt>
                <c:pt idx="267">
                  <c:v>274.53039535203885</c:v>
                </c:pt>
                <c:pt idx="268">
                  <c:v>276.49180367001287</c:v>
                </c:pt>
                <c:pt idx="269">
                  <c:v>278.45876623789445</c:v>
                </c:pt>
                <c:pt idx="270">
                  <c:v>280.43126011250763</c:v>
                </c:pt>
                <c:pt idx="271">
                  <c:v>282.40926233807602</c:v>
                </c:pt>
                <c:pt idx="272">
                  <c:v>284.3927499464935</c:v>
                </c:pt>
                <c:pt idx="273">
                  <c:v>286.38169995759444</c:v>
                </c:pt>
                <c:pt idx="274">
                  <c:v>288.37608937942298</c:v>
                </c:pt>
                <c:pt idx="275">
                  <c:v>290.37589520850162</c:v>
                </c:pt>
                <c:pt idx="276">
                  <c:v>292.38109443009938</c:v>
                </c:pt>
                <c:pt idx="277">
                  <c:v>294.39166401849894</c:v>
                </c:pt>
                <c:pt idx="278">
                  <c:v>296.40758093726328</c:v>
                </c:pt>
                <c:pt idx="279">
                  <c:v>298.42882213950139</c:v>
                </c:pt>
                <c:pt idx="280">
                  <c:v>300.45536456813352</c:v>
                </c:pt>
                <c:pt idx="281">
                  <c:v>302.48718515615536</c:v>
                </c:pt>
                <c:pt idx="282">
                  <c:v>304.52426082690164</c:v>
                </c:pt>
                <c:pt idx="283">
                  <c:v>306.56656849430897</c:v>
                </c:pt>
                <c:pt idx="284">
                  <c:v>308.61408675959296</c:v>
                </c:pt>
                <c:pt idx="285">
                  <c:v>310.6667976083549</c:v>
                </c:pt>
                <c:pt idx="286">
                  <c:v>312.72468471406745</c:v>
                </c:pt>
                <c:pt idx="287">
                  <c:v>314.78773174108568</c:v>
                </c:pt>
                <c:pt idx="288">
                  <c:v>316.85592234481788</c:v>
                </c:pt>
                <c:pt idx="289">
                  <c:v>318.92924017189574</c:v>
                </c:pt>
                <c:pt idx="290">
                  <c:v>321.00766886034449</c:v>
                </c:pt>
                <c:pt idx="291">
                  <c:v>323.09119203975251</c:v>
                </c:pt>
                <c:pt idx="292">
                  <c:v>325.17979333144058</c:v>
                </c:pt>
                <c:pt idx="293">
                  <c:v>327.2734563486307</c:v>
                </c:pt>
                <c:pt idx="294">
                  <c:v>329.37216469661479</c:v>
                </c:pt>
                <c:pt idx="295">
                  <c:v>331.47590197292254</c:v>
                </c:pt>
                <c:pt idx="296">
                  <c:v>333.58465176748928</c:v>
                </c:pt>
                <c:pt idx="297">
                  <c:v>335.69839766282314</c:v>
                </c:pt>
                <c:pt idx="298">
                  <c:v>337.81712323417213</c:v>
                </c:pt>
                <c:pt idx="299">
                  <c:v>339.94081204969046</c:v>
                </c:pt>
                <c:pt idx="300">
                  <c:v>342.06944767060475</c:v>
                </c:pt>
                <c:pt idx="301">
                  <c:v>344.20301365137954</c:v>
                </c:pt>
                <c:pt idx="302">
                  <c:v>346.34149353988255</c:v>
                </c:pt>
                <c:pt idx="303">
                  <c:v>348.48487087754961</c:v>
                </c:pt>
                <c:pt idx="304">
                  <c:v>350.63312919954882</c:v>
                </c:pt>
                <c:pt idx="305">
                  <c:v>352.7862520349446</c:v>
                </c:pt>
                <c:pt idx="306">
                  <c:v>354.94422290686106</c:v>
                </c:pt>
                <c:pt idx="307">
                  <c:v>357.10702533264521</c:v>
                </c:pt>
                <c:pt idx="308">
                  <c:v>359.27464282402934</c:v>
                </c:pt>
                <c:pt idx="309">
                  <c:v>361.44705888729322</c:v>
                </c:pt>
                <c:pt idx="310">
                  <c:v>363.62425702342574</c:v>
                </c:pt>
                <c:pt idx="311">
                  <c:v>365.80622072828618</c:v>
                </c:pt>
                <c:pt idx="312">
                  <c:v>367.99293349276485</c:v>
                </c:pt>
                <c:pt idx="313">
                  <c:v>370.18437880294334</c:v>
                </c:pt>
                <c:pt idx="314">
                  <c:v>372.38054014025431</c:v>
                </c:pt>
                <c:pt idx="315">
                  <c:v>374.5814009816408</c:v>
                </c:pt>
                <c:pt idx="316">
                  <c:v>376.78694479971506</c:v>
                </c:pt>
                <c:pt idx="317">
                  <c:v>378.99715506291682</c:v>
                </c:pt>
                <c:pt idx="318">
                  <c:v>381.212015235671</c:v>
                </c:pt>
                <c:pt idx="319">
                  <c:v>383.43150877854532</c:v>
                </c:pt>
                <c:pt idx="320">
                  <c:v>385.65561914840691</c:v>
                </c:pt>
                <c:pt idx="321">
                  <c:v>387.88432979857862</c:v>
                </c:pt>
                <c:pt idx="322">
                  <c:v>390.1176241789949</c:v>
                </c:pt>
                <c:pt idx="323">
                  <c:v>392.35548573635714</c:v>
                </c:pt>
                <c:pt idx="324">
                  <c:v>394.59789791428835</c:v>
                </c:pt>
                <c:pt idx="325">
                  <c:v>396.84484415348749</c:v>
                </c:pt>
                <c:pt idx="326">
                  <c:v>399.09630799617696</c:v>
                </c:pt>
                <c:pt idx="327">
                  <c:v>401.35227319055349</c:v>
                </c:pt>
                <c:pt idx="328">
                  <c:v>403.61272358658442</c:v>
                </c:pt>
                <c:pt idx="329">
                  <c:v>405.87764303179728</c:v>
                </c:pt>
                <c:pt idx="330">
                  <c:v>408.14701537142707</c:v>
                </c:pt>
                <c:pt idx="331">
                  <c:v>410.42082444856277</c:v>
                </c:pt>
                <c:pt idx="332">
                  <c:v>412.69905410429345</c:v>
                </c:pt>
                <c:pt idx="333">
                  <c:v>414.98168817785404</c:v>
                </c:pt>
                <c:pt idx="334">
                  <c:v>417.26871050677016</c:v>
                </c:pt>
                <c:pt idx="335">
                  <c:v>419.56010492700295</c:v>
                </c:pt>
                <c:pt idx="336">
                  <c:v>421.8558552730928</c:v>
                </c:pt>
                <c:pt idx="337">
                  <c:v>424.15594537830304</c:v>
                </c:pt>
                <c:pt idx="338">
                  <c:v>426.46035907476289</c:v>
                </c:pt>
                <c:pt idx="339">
                  <c:v>428.76908019360974</c:v>
                </c:pt>
                <c:pt idx="340">
                  <c:v>431.08209256513118</c:v>
                </c:pt>
                <c:pt idx="341">
                  <c:v>433.39938001890624</c:v>
                </c:pt>
                <c:pt idx="342">
                  <c:v>435.72092638394628</c:v>
                </c:pt>
                <c:pt idx="343">
                  <c:v>438.04671548883516</c:v>
                </c:pt>
                <c:pt idx="344">
                  <c:v>440.37673116186897</c:v>
                </c:pt>
                <c:pt idx="345">
                  <c:v>442.71095723119515</c:v>
                </c:pt>
                <c:pt idx="346">
                  <c:v>445.04937752495101</c:v>
                </c:pt>
                <c:pt idx="347">
                  <c:v>447.39197587140194</c:v>
                </c:pt>
                <c:pt idx="348">
                  <c:v>449.73873609907872</c:v>
                </c:pt>
                <c:pt idx="349">
                  <c:v>452.08964203691443</c:v>
                </c:pt>
                <c:pt idx="350">
                  <c:v>454.44467751438094</c:v>
                </c:pt>
                <c:pt idx="351">
                  <c:v>456.80382636162449</c:v>
                </c:pt>
                <c:pt idx="352">
                  <c:v>459.16707240960096</c:v>
                </c:pt>
                <c:pt idx="353">
                  <c:v>461.53439949021055</c:v>
                </c:pt>
                <c:pt idx="354">
                  <c:v>463.9057914364318</c:v>
                </c:pt>
                <c:pt idx="355">
                  <c:v>466.28123208245512</c:v>
                </c:pt>
                <c:pt idx="356">
                  <c:v>468.66070526381549</c:v>
                </c:pt>
                <c:pt idx="357">
                  <c:v>471.04419481752507</c:v>
                </c:pt>
                <c:pt idx="358">
                  <c:v>473.4316845822047</c:v>
                </c:pt>
                <c:pt idx="359">
                  <c:v>475.82315839821513</c:v>
                </c:pt>
                <c:pt idx="360">
                  <c:v>478.21860010778767</c:v>
                </c:pt>
                <c:pt idx="361">
                  <c:v>480.61799355515399</c:v>
                </c:pt>
                <c:pt idx="362">
                  <c:v>483.02132258667564</c:v>
                </c:pt>
                <c:pt idx="363">
                  <c:v>485.42857105097283</c:v>
                </c:pt>
                <c:pt idx="364">
                  <c:v>487.83972279905254</c:v>
                </c:pt>
                <c:pt idx="365">
                  <c:v>490.25476168443623</c:v>
                </c:pt>
                <c:pt idx="366">
                  <c:v>492.67367420887518</c:v>
                </c:pt>
                <c:pt idx="367">
                  <c:v>495.09645216765875</c:v>
                </c:pt>
                <c:pt idx="368">
                  <c:v>497.52309000166952</c:v>
                </c:pt>
                <c:pt idx="369">
                  <c:v>499.95358214980331</c:v>
                </c:pt>
                <c:pt idx="370">
                  <c:v>502.38792304901108</c:v>
                </c:pt>
                <c:pt idx="371">
                  <c:v>504.82610713434059</c:v>
                </c:pt>
                <c:pt idx="372">
                  <c:v>507.26812883897844</c:v>
                </c:pt>
                <c:pt idx="373">
                  <c:v>509.71398259429139</c:v>
                </c:pt>
                <c:pt idx="374">
                  <c:v>512.16366282986826</c:v>
                </c:pt>
                <c:pt idx="375">
                  <c:v>514.61716397356111</c:v>
                </c:pt>
                <c:pt idx="376">
                  <c:v>517.07448045152682</c:v>
                </c:pt>
                <c:pt idx="377">
                  <c:v>519.53560668826844</c:v>
                </c:pt>
                <c:pt idx="378">
                  <c:v>522.00053710667646</c:v>
                </c:pt>
                <c:pt idx="379">
                  <c:v>524.46926612806988</c:v>
                </c:pt>
                <c:pt idx="380">
                  <c:v>526.94178817223735</c:v>
                </c:pt>
                <c:pt idx="381">
                  <c:v>529.41809480143672</c:v>
                </c:pt>
                <c:pt idx="382">
                  <c:v>531.89817186494156</c:v>
                </c:pt>
                <c:pt idx="383">
                  <c:v>534.38200235801844</c:v>
                </c:pt>
                <c:pt idx="384">
                  <c:v>536.86956928040161</c:v>
                </c:pt>
                <c:pt idx="385">
                  <c:v>539.36085563642223</c:v>
                </c:pt>
                <c:pt idx="386">
                  <c:v>541.85584443513699</c:v>
                </c:pt>
                <c:pt idx="387">
                  <c:v>544.35451869045528</c:v>
                </c:pt>
                <c:pt idx="388">
                  <c:v>546.85686142126667</c:v>
                </c:pt>
                <c:pt idx="389">
                  <c:v>549.36285565156709</c:v>
                </c:pt>
                <c:pt idx="390">
                  <c:v>551.87248441058443</c:v>
                </c:pt>
                <c:pt idx="391">
                  <c:v>554.38573073290354</c:v>
                </c:pt>
                <c:pt idx="392">
                  <c:v>556.9025776585903</c:v>
                </c:pt>
                <c:pt idx="393">
                  <c:v>559.42300823331561</c:v>
                </c:pt>
                <c:pt idx="394">
                  <c:v>561.94700550847767</c:v>
                </c:pt>
                <c:pt idx="395">
                  <c:v>564.47455254132467</c:v>
                </c:pt>
                <c:pt idx="396">
                  <c:v>567.00563239507608</c:v>
                </c:pt>
                <c:pt idx="397">
                  <c:v>569.54022813904328</c:v>
                </c:pt>
                <c:pt idx="398">
                  <c:v>572.07832284874985</c:v>
                </c:pt>
                <c:pt idx="399">
                  <c:v>574.61989960605081</c:v>
                </c:pt>
                <c:pt idx="400">
                  <c:v>577.16494149925143</c:v>
                </c:pt>
                <c:pt idx="401">
                  <c:v>579.7134293809554</c:v>
                </c:pt>
                <c:pt idx="402">
                  <c:v>582.26533962656458</c:v>
                </c:pt>
                <c:pt idx="403">
                  <c:v>584.82064637933536</c:v>
                </c:pt>
                <c:pt idx="404">
                  <c:v>587.37932379482743</c:v>
                </c:pt>
                <c:pt idx="405">
                  <c:v>589.94134604110957</c:v>
                </c:pt>
                <c:pt idx="406">
                  <c:v>592.50668729896449</c:v>
                </c:pt>
                <c:pt idx="407">
                  <c:v>595.07532176209168</c:v>
                </c:pt>
                <c:pt idx="408">
                  <c:v>597.64722363730891</c:v>
                </c:pt>
                <c:pt idx="409">
                  <c:v>600.2223671447523</c:v>
                </c:pt>
                <c:pt idx="410">
                  <c:v>602.80072651807461</c:v>
                </c:pt>
                <c:pt idx="411">
                  <c:v>605.38226362786168</c:v>
                </c:pt>
                <c:pt idx="412">
                  <c:v>607.96691560961267</c:v>
                </c:pt>
                <c:pt idx="413">
                  <c:v>610.55460725718456</c:v>
                </c:pt>
                <c:pt idx="414">
                  <c:v>613.14526341212638</c:v>
                </c:pt>
                <c:pt idx="415">
                  <c:v>615.73880896478317</c:v>
                </c:pt>
                <c:pt idx="416">
                  <c:v>618.33516885538825</c:v>
                </c:pt>
                <c:pt idx="417">
                  <c:v>620.93426807514436</c:v>
                </c:pt>
                <c:pt idx="418">
                  <c:v>623.53603166729283</c:v>
                </c:pt>
                <c:pt idx="419">
                  <c:v>626.14038472817185</c:v>
                </c:pt>
                <c:pt idx="420">
                  <c:v>628.74724537442728</c:v>
                </c:pt>
                <c:pt idx="421">
                  <c:v>631.35651771397045</c:v>
                </c:pt>
                <c:pt idx="422">
                  <c:v>633.96809889210795</c:v>
                </c:pt>
                <c:pt idx="423">
                  <c:v>636.58188613430775</c:v>
                </c:pt>
                <c:pt idx="424">
                  <c:v>639.19777674801162</c:v>
                </c:pt>
                <c:pt idx="425">
                  <c:v>641.8156681244252</c:v>
                </c:pt>
                <c:pt idx="426">
                  <c:v>644.43545774028735</c:v>
                </c:pt>
                <c:pt idx="427">
                  <c:v>647.05704315961793</c:v>
                </c:pt>
                <c:pt idx="428">
                  <c:v>649.68032203544362</c:v>
                </c:pt>
                <c:pt idx="429">
                  <c:v>652.30519211150329</c:v>
                </c:pt>
                <c:pt idx="430">
                  <c:v>654.93155122393091</c:v>
                </c:pt>
                <c:pt idx="431">
                  <c:v>657.5592973029178</c:v>
                </c:pt>
                <c:pt idx="432">
                  <c:v>660.18831705355319</c:v>
                </c:pt>
                <c:pt idx="433">
                  <c:v>662.81847464582984</c:v>
                </c:pt>
                <c:pt idx="434">
                  <c:v>665.44962306010348</c:v>
                </c:pt>
                <c:pt idx="435">
                  <c:v>668.08161542419873</c:v>
                </c:pt>
                <c:pt idx="436">
                  <c:v>670.71430501665748</c:v>
                </c:pt>
                <c:pt idx="437">
                  <c:v>673.34754526994288</c:v>
                </c:pt>
                <c:pt idx="438">
                  <c:v>675.98118977359934</c:v>
                </c:pt>
                <c:pt idx="439">
                  <c:v>678.6150922773669</c:v>
                </c:pt>
                <c:pt idx="440">
                  <c:v>681.24910669425208</c:v>
                </c:pt>
                <c:pt idx="441">
                  <c:v>683.88308710355341</c:v>
                </c:pt>
                <c:pt idx="442">
                  <c:v>686.51689462337754</c:v>
                </c:pt>
                <c:pt idx="443">
                  <c:v>689.15040427543317</c:v>
                </c:pt>
                <c:pt idx="444">
                  <c:v>691.78349810123439</c:v>
                </c:pt>
                <c:pt idx="445">
                  <c:v>694.41605828542538</c:v>
                </c:pt>
                <c:pt idx="446">
                  <c:v>697.04796715756731</c:v>
                </c:pt>
                <c:pt idx="447">
                  <c:v>699.67910719389579</c:v>
                </c:pt>
                <c:pt idx="448">
                  <c:v>702.30936101904945</c:v>
                </c:pt>
                <c:pt idx="449">
                  <c:v>704.93861140777028</c:v>
                </c:pt>
                <c:pt idx="450">
                  <c:v>707.56674128657414</c:v>
                </c:pt>
                <c:pt idx="451">
                  <c:v>710.19363373539363</c:v>
                </c:pt>
                <c:pt idx="452">
                  <c:v>712.81917198919189</c:v>
                </c:pt>
                <c:pt idx="453">
                  <c:v>715.44324926883144</c:v>
                </c:pt>
                <c:pt idx="454">
                  <c:v>718.06577859851507</c:v>
                </c:pt>
                <c:pt idx="455">
                  <c:v>720.68668295008877</c:v>
                </c:pt>
                <c:pt idx="456">
                  <c:v>723.30588540023746</c:v>
                </c:pt>
                <c:pt idx="457">
                  <c:v>725.92330913100648</c:v>
                </c:pt>
                <c:pt idx="458">
                  <c:v>728.53887743031214</c:v>
                </c:pt>
                <c:pt idx="459">
                  <c:v>731.15251369243992</c:v>
                </c:pt>
                <c:pt idx="460">
                  <c:v>733.76414141853127</c:v>
                </c:pt>
                <c:pt idx="461">
                  <c:v>736.37369305874404</c:v>
                </c:pt>
                <c:pt idx="462">
                  <c:v>738.98111884143589</c:v>
                </c:pt>
                <c:pt idx="463">
                  <c:v>741.58637790564012</c:v>
                </c:pt>
                <c:pt idx="464">
                  <c:v>744.18942944628725</c:v>
                </c:pt>
                <c:pt idx="465">
                  <c:v>746.79023271422307</c:v>
                </c:pt>
                <c:pt idx="466">
                  <c:v>749.38873959016667</c:v>
                </c:pt>
                <c:pt idx="467">
                  <c:v>751.98488716982456</c:v>
                </c:pt>
                <c:pt idx="468">
                  <c:v>754.57852252038674</c:v>
                </c:pt>
                <c:pt idx="469">
                  <c:v>757.16942874812855</c:v>
                </c:pt>
                <c:pt idx="470">
                  <c:v>759.75750897956016</c:v>
                </c:pt>
                <c:pt idx="471">
                  <c:v>762.34276767407391</c:v>
                </c:pt>
                <c:pt idx="472">
                  <c:v>764.92520927774012</c:v>
                </c:pt>
                <c:pt idx="473">
                  <c:v>767.50483822336014</c:v>
                </c:pt>
                <c:pt idx="474">
                  <c:v>770.08165893051876</c:v>
                </c:pt>
                <c:pt idx="475">
                  <c:v>772.65567580563686</c:v>
                </c:pt>
                <c:pt idx="476">
                  <c:v>775.22689324202315</c:v>
                </c:pt>
                <c:pt idx="477">
                  <c:v>777.79531561992633</c:v>
                </c:pt>
                <c:pt idx="478">
                  <c:v>780.36094730658658</c:v>
                </c:pt>
                <c:pt idx="479">
                  <c:v>782.92379265628688</c:v>
                </c:pt>
                <c:pt idx="480">
                  <c:v>785.48385601040411</c:v>
                </c:pt>
                <c:pt idx="481">
                  <c:v>788.04114169745981</c:v>
                </c:pt>
                <c:pt idx="482">
                  <c:v>790.59565403317083</c:v>
                </c:pt>
                <c:pt idx="483">
                  <c:v>793.14739732049964</c:v>
                </c:pt>
                <c:pt idx="484">
                  <c:v>795.69637584970417</c:v>
                </c:pt>
                <c:pt idx="485">
                  <c:v>798.24259389838801</c:v>
                </c:pt>
                <c:pt idx="486">
                  <c:v>800.78605573154982</c:v>
                </c:pt>
                <c:pt idx="487">
                  <c:v>803.32676560163247</c:v>
                </c:pt>
                <c:pt idx="488">
                  <c:v>805.86472774857225</c:v>
                </c:pt>
                <c:pt idx="489">
                  <c:v>808.39994639984786</c:v>
                </c:pt>
                <c:pt idx="490">
                  <c:v>810.93242577052888</c:v>
                </c:pt>
                <c:pt idx="491">
                  <c:v>813.46217006332404</c:v>
                </c:pt>
                <c:pt idx="492">
                  <c:v>815.98918346862934</c:v>
                </c:pt>
                <c:pt idx="493">
                  <c:v>818.51347016457623</c:v>
                </c:pt>
                <c:pt idx="494">
                  <c:v>821.03503431707884</c:v>
                </c:pt>
                <c:pt idx="495">
                  <c:v>823.55388007988165</c:v>
                </c:pt>
                <c:pt idx="496">
                  <c:v>826.07001159460663</c:v>
                </c:pt>
                <c:pt idx="497">
                  <c:v>828.58343299080002</c:v>
                </c:pt>
                <c:pt idx="498">
                  <c:v>831.09414838597945</c:v>
                </c:pt>
                <c:pt idx="499">
                  <c:v>833.60216188567995</c:v>
                </c:pt>
                <c:pt idx="500">
                  <c:v>836.10747758350044</c:v>
                </c:pt>
                <c:pt idx="501">
                  <c:v>861.01257165723757</c:v>
                </c:pt>
                <c:pt idx="502">
                  <c:v>885.65051542412959</c:v>
                </c:pt>
                <c:pt idx="503">
                  <c:v>910.02528700209302</c:v>
                </c:pt>
                <c:pt idx="504">
                  <c:v>934.14075123234056</c:v>
                </c:pt>
                <c:pt idx="505">
                  <c:v>958.0006639235088</c:v>
                </c:pt>
                <c:pt idx="506">
                  <c:v>981.60867589596035</c:v>
                </c:pt>
                <c:pt idx="507">
                  <c:v>1004.9683368375148</c:v>
                </c:pt>
                <c:pt idx="508">
                  <c:v>1028.0830989811241</c:v>
                </c:pt>
                <c:pt idx="509">
                  <c:v>1050.9563206143273</c:v>
                </c:pt>
                <c:pt idx="510">
                  <c:v>1073.5912694296894</c:v>
                </c:pt>
                <c:pt idx="511">
                  <c:v>1095.9911257248414</c:v>
                </c:pt>
                <c:pt idx="512">
                  <c:v>1118.1589854601978</c:v>
                </c:pt>
                <c:pt idx="513">
                  <c:v>1140.0978631819232</c:v>
                </c:pt>
                <c:pt idx="514">
                  <c:v>1161.8106948172513</c:v>
                </c:pt>
                <c:pt idx="515">
                  <c:v>1183.3003403488226</c:v>
                </c:pt>
                <c:pt idx="516">
                  <c:v>1204.5695863743065</c:v>
                </c:pt>
                <c:pt idx="517">
                  <c:v>1225.6211485571914</c:v>
                </c:pt>
                <c:pt idx="518">
                  <c:v>1246.4576739742779</c:v>
                </c:pt>
                <c:pt idx="519">
                  <c:v>1267.0817433650823</c:v>
                </c:pt>
                <c:pt idx="520">
                  <c:v>1287.4958732880539</c:v>
                </c:pt>
                <c:pt idx="521">
                  <c:v>1307.7025181882202</c:v>
                </c:pt>
                <c:pt idx="522">
                  <c:v>1327.7040723806124</c:v>
                </c:pt>
                <c:pt idx="523">
                  <c:v>1347.5028719535737</c:v>
                </c:pt>
                <c:pt idx="524">
                  <c:v>1367.1011965958194</c:v>
                </c:pt>
                <c:pt idx="525">
                  <c:v>1386.5012713508995</c:v>
                </c:pt>
                <c:pt idx="526">
                  <c:v>1405.7052683025154</c:v>
                </c:pt>
                <c:pt idx="527">
                  <c:v>1424.7153081939452</c:v>
                </c:pt>
                <c:pt idx="528">
                  <c:v>1443.5334619846592</c:v>
                </c:pt>
                <c:pt idx="529">
                  <c:v>1462.161752347035</c:v>
                </c:pt>
                <c:pt idx="530">
                  <c:v>1480.602155105928</c:v>
                </c:pt>
                <c:pt idx="531">
                  <c:v>1498.8566006237045</c:v>
                </c:pt>
                <c:pt idx="532">
                  <c:v>1516.9269751332042</c:v>
                </c:pt>
                <c:pt idx="533">
                  <c:v>1534.815122020972</c:v>
                </c:pt>
                <c:pt idx="534">
                  <c:v>1552.5228430629732</c:v>
                </c:pt>
                <c:pt idx="535">
                  <c:v>1570.0518996148946</c:v>
                </c:pt>
                <c:pt idx="536">
                  <c:v>1587.4040137590243</c:v>
                </c:pt>
                <c:pt idx="537">
                  <c:v>1604.5808694095983</c:v>
                </c:pt>
                <c:pt idx="538">
                  <c:v>1621.5841133784127</c:v>
                </c:pt>
                <c:pt idx="539">
                  <c:v>1638.4153564024016</c:v>
                </c:pt>
                <c:pt idx="540">
                  <c:v>1655.076174134804</c:v>
                </c:pt>
                <c:pt idx="541">
                  <c:v>1671.5681081014545</c:v>
                </c:pt>
                <c:pt idx="542">
                  <c:v>1687.8926666236644</c:v>
                </c:pt>
                <c:pt idx="543">
                  <c:v>1704.0513257090809</c:v>
                </c:pt>
                <c:pt idx="544">
                  <c:v>1720.0455299118523</c:v>
                </c:pt>
                <c:pt idx="545">
                  <c:v>1735.8766931633552</c:v>
                </c:pt>
                <c:pt idx="546">
                  <c:v>1751.5461995746853</c:v>
                </c:pt>
                <c:pt idx="547">
                  <c:v>1767.0554042120552</c:v>
                </c:pt>
                <c:pt idx="548">
                  <c:v>1782.4056338461851</c:v>
                </c:pt>
                <c:pt idx="549">
                  <c:v>1797.5981876767262</c:v>
                </c:pt>
                <c:pt idx="550">
                  <c:v>1812.634338032706</c:v>
                </c:pt>
                <c:pt idx="551">
                  <c:v>1827.5153310499368</c:v>
                </c:pt>
                <c:pt idx="552">
                  <c:v>1842.2423873262906</c:v>
                </c:pt>
                <c:pt idx="553">
                  <c:v>1856.8167025556961</c:v>
                </c:pt>
                <c:pt idx="554">
                  <c:v>1871.2394481416814</c:v>
                </c:pt>
                <c:pt idx="555">
                  <c:v>1885.5117717912422</c:v>
                </c:pt>
                <c:pt idx="556">
                  <c:v>1899.6347980897863</c:v>
                </c:pt>
                <c:pt idx="557">
                  <c:v>1913.6096290578682</c:v>
                </c:pt>
                <c:pt idx="558">
                  <c:v>1927.4373446903965</c:v>
                </c:pt>
                <c:pt idx="559">
                  <c:v>1941.1190034789684</c:v>
                </c:pt>
                <c:pt idx="560">
                  <c:v>1954.6556429179564</c:v>
                </c:pt>
                <c:pt idx="561">
                  <c:v>1968.0482799949443</c:v>
                </c:pt>
                <c:pt idx="562">
                  <c:v>1981.2979116660854</c:v>
                </c:pt>
                <c:pt idx="563">
                  <c:v>1994.4055153169286</c:v>
                </c:pt>
                <c:pt idx="564">
                  <c:v>2007.3720492092409</c:v>
                </c:pt>
                <c:pt idx="565">
                  <c:v>2020.198452914324</c:v>
                </c:pt>
                <c:pt idx="566">
                  <c:v>2032.8856477333097</c:v>
                </c:pt>
                <c:pt idx="567">
                  <c:v>2045.4345371048933</c:v>
                </c:pt>
                <c:pt idx="568">
                  <c:v>2057.8460070009473</c:v>
                </c:pt>
                <c:pt idx="569">
                  <c:v>2070.1209263104424</c:v>
                </c:pt>
                <c:pt idx="570">
                  <c:v>2082.2601472120764</c:v>
                </c:pt>
                <c:pt idx="571">
                  <c:v>2094.2645055360067</c:v>
                </c:pt>
                <c:pt idx="572">
                  <c:v>2106.1348211150585</c:v>
                </c:pt>
                <c:pt idx="573">
                  <c:v>2117.8718981257671</c:v>
                </c:pt>
                <c:pt idx="574">
                  <c:v>2129.4765254196027</c:v>
                </c:pt>
                <c:pt idx="575">
                  <c:v>2140.9494768447034</c:v>
                </c:pt>
                <c:pt idx="576">
                  <c:v>2152.2915115584415</c:v>
                </c:pt>
                <c:pt idx="577">
                  <c:v>2163.5033743311242</c:v>
                </c:pt>
                <c:pt idx="578">
                  <c:v>2174.5857958411243</c:v>
                </c:pt>
                <c:pt idx="579">
                  <c:v>2185.5394929617232</c:v>
                </c:pt>
                <c:pt idx="580">
                  <c:v>2196.3651690399392</c:v>
                </c:pt>
                <c:pt idx="581">
                  <c:v>2207.0635141676021</c:v>
                </c:pt>
                <c:pt idx="582">
                  <c:v>2217.6352054449248</c:v>
                </c:pt>
                <c:pt idx="583">
                  <c:v>2228.0809072368152</c:v>
                </c:pt>
                <c:pt idx="584">
                  <c:v>2238.4012714221617</c:v>
                </c:pt>
                <c:pt idx="585">
                  <c:v>2248.5969376363159</c:v>
                </c:pt>
                <c:pt idx="586">
                  <c:v>2258.6685335069915</c:v>
                </c:pt>
                <c:pt idx="587">
                  <c:v>2268.6166748837823</c:v>
                </c:pt>
                <c:pt idx="588">
                  <c:v>2278.4419660615085</c:v>
                </c:pt>
                <c:pt idx="589">
                  <c:v>2288.1449999975775</c:v>
                </c:pt>
                <c:pt idx="590">
                  <c:v>2297.7263585235505</c:v>
                </c:pt>
                <c:pt idx="591">
                  <c:v>2307.1866125510933</c:v>
                </c:pt>
                <c:pt idx="592">
                  <c:v>2316.5263222724875</c:v>
                </c:pt>
                <c:pt idx="593">
                  <c:v>2325.7460373558683</c:v>
                </c:pt>
                <c:pt idx="594">
                  <c:v>2334.8462971353511</c:v>
                </c:pt>
                <c:pt idx="595">
                  <c:v>2343.8276307962055</c:v>
                </c:pt>
                <c:pt idx="596">
                  <c:v>2352.6905575552287</c:v>
                </c:pt>
                <c:pt idx="597">
                  <c:v>2361.4355868364614</c:v>
                </c:pt>
                <c:pt idx="598">
                  <c:v>2370.0632184423944</c:v>
                </c:pt>
                <c:pt idx="599">
                  <c:v>2378.5739427207955</c:v>
                </c:pt>
                <c:pt idx="600">
                  <c:v>2386.9682407272971</c:v>
                </c:pt>
                <c:pt idx="601">
                  <c:v>2395.2465843838718</c:v>
                </c:pt>
                <c:pt idx="602">
                  <c:v>2403.4094366333156</c:v>
                </c:pt>
                <c:pt idx="603">
                  <c:v>2411.4572515898699</c:v>
                </c:pt>
                <c:pt idx="604">
                  <c:v>2419.3904746860908</c:v>
                </c:pt>
                <c:pt idx="605">
                  <c:v>2427.2095428160878</c:v>
                </c:pt>
                <c:pt idx="606">
                  <c:v>2434.9148844752381</c:v>
                </c:pt>
                <c:pt idx="607">
                  <c:v>2442.5069198964884</c:v>
                </c:pt>
                <c:pt idx="608">
                  <c:v>2449.9860611833487</c:v>
                </c:pt>
                <c:pt idx="609">
                  <c:v>2457.3527124396824</c:v>
                </c:pt>
                <c:pt idx="610">
                  <c:v>2464.6072698963894</c:v>
                </c:pt>
                <c:pt idx="611">
                  <c:v>2471.7501220350878</c:v>
                </c:pt>
                <c:pt idx="612">
                  <c:v>2478.7816497088838</c:v>
                </c:pt>
                <c:pt idx="613">
                  <c:v>2485.7022262603282</c:v>
                </c:pt>
                <c:pt idx="614">
                  <c:v>2492.5122176366513</c:v>
                </c:pt>
                <c:pt idx="615">
                  <c:v>2499.2119825023656</c:v>
                </c:pt>
                <c:pt idx="616">
                  <c:v>2505.8018723493301</c:v>
                </c:pt>
                <c:pt idx="617">
                  <c:v>2512.2822316043594</c:v>
                </c:pt>
                <c:pt idx="618">
                  <c:v>2518.6533977344707</c:v>
                </c:pt>
                <c:pt idx="619">
                  <c:v>2524.9157013498484</c:v>
                </c:pt>
                <c:pt idx="620">
                  <c:v>2531.0694663046202</c:v>
                </c:pt>
                <c:pt idx="621">
                  <c:v>2537.1150097955228</c:v>
                </c:pt>
                <c:pt idx="622">
                  <c:v>2543.0526424585464</c:v>
                </c:pt>
                <c:pt idx="623">
                  <c:v>2548.8826684636415</c:v>
                </c:pt>
                <c:pt idx="624">
                  <c:v>2554.6053856075737</c:v>
                </c:pt>
                <c:pt idx="625">
                  <c:v>2560.221085405009</c:v>
                </c:pt>
                <c:pt idx="626">
                  <c:v>2565.730053177921</c:v>
                </c:pt>
                <c:pt idx="627">
                  <c:v>2571.1325681433991</c:v>
                </c:pt>
                <c:pt idx="628">
                  <c:v>2576.428903499951</c:v>
                </c:pt>
                <c:pt idx="629">
                  <c:v>2581.6193265123866</c:v>
                </c:pt>
                <c:pt idx="630">
                  <c:v>2586.7040985953699</c:v>
                </c:pt>
                <c:pt idx="631">
                  <c:v>2591.683475395736</c:v>
                </c:pt>
                <c:pt idx="632">
                  <c:v>2596.5577068736634</c:v>
                </c:pt>
                <c:pt idx="633">
                  <c:v>2601.3270373827982</c:v>
                </c:pt>
                <c:pt idx="634">
                  <c:v>2605.9917057494276</c:v>
                </c:pt>
                <c:pt idx="635">
                  <c:v>2610.5519453508077</c:v>
                </c:pt>
                <c:pt idx="636">
                  <c:v>2615.0079841927441</c:v>
                </c:pt>
                <c:pt idx="637">
                  <c:v>2619.3600449865385</c:v>
                </c:pt>
                <c:pt idx="638">
                  <c:v>2623.6083452254079</c:v>
                </c:pt>
                <c:pt idx="639">
                  <c:v>2627.7530972604955</c:v>
                </c:pt>
                <c:pt idx="640">
                  <c:v>2631.7945083765894</c:v>
                </c:pt>
                <c:pt idx="641">
                  <c:v>2635.7327808676755</c:v>
                </c:pt>
                <c:pt idx="642">
                  <c:v>2639.5681121124526</c:v>
                </c:pt>
                <c:pt idx="643">
                  <c:v>2643.3006946499436</c:v>
                </c:pt>
                <c:pt idx="644">
                  <c:v>2646.9307162553405</c:v>
                </c:pt>
                <c:pt idx="645">
                  <c:v>2650.45836001623</c:v>
                </c:pt>
                <c:pt idx="646">
                  <c:v>2653.8838044093472</c:v>
                </c:pt>
                <c:pt idx="647">
                  <c:v>2657.2072233780164</c:v>
                </c:pt>
                <c:pt idx="648">
                  <c:v>2660.4287864104344</c:v>
                </c:pt>
                <c:pt idx="649">
                  <c:v>2663.5486586189718</c:v>
                </c:pt>
                <c:pt idx="650">
                  <c:v>2666.5670008206562</c:v>
                </c:pt>
                <c:pt idx="651">
                  <c:v>2669.4839696190184</c:v>
                </c:pt>
                <c:pt idx="652">
                  <c:v>2672.2997174874849</c:v>
                </c:pt>
                <c:pt idx="653">
                  <c:v>2675.0143928545012</c:v>
                </c:pt>
                <c:pt idx="654">
                  <c:v>2677.628140190574</c:v>
                </c:pt>
                <c:pt idx="655">
                  <c:v>2680.1411000974281</c:v>
                </c:pt>
                <c:pt idx="656">
                  <c:v>2682.553409399467</c:v>
                </c:pt>
                <c:pt idx="657">
                  <c:v>2684.8652012377352</c:v>
                </c:pt>
                <c:pt idx="658">
                  <c:v>2687.0766051665664</c:v>
                </c:pt>
                <c:pt idx="659">
                  <c:v>2689.1877472531137</c:v>
                </c:pt>
                <c:pt idx="660">
                  <c:v>2691.1987501799363</c:v>
                </c:pt>
                <c:pt idx="661">
                  <c:v>2693.1097333508205</c:v>
                </c:pt>
                <c:pt idx="662">
                  <c:v>2694.9208129999952</c:v>
                </c:pt>
                <c:pt idx="663">
                  <c:v>2696.6321023048909</c:v>
                </c:pt>
                <c:pt idx="664">
                  <c:v>2698.2437115025709</c:v>
                </c:pt>
                <c:pt idx="665">
                  <c:v>2699.7557480099513</c:v>
                </c:pt>
                <c:pt idx="666">
                  <c:v>2701.1683165478853</c:v>
                </c:pt>
                <c:pt idx="667">
                  <c:v>2702.4815192691813</c:v>
                </c:pt>
                <c:pt idx="668">
                  <c:v>2703.6954558905741</c:v>
                </c:pt>
                <c:pt idx="669">
                  <c:v>2704.8102238286442</c:v>
                </c:pt>
                <c:pt idx="670">
                  <c:v>2705.8259183396381</c:v>
                </c:pt>
                <c:pt idx="671">
                  <c:v>2706.7426326631048</c:v>
                </c:pt>
                <c:pt idx="672">
                  <c:v>2707.5604581692182</c:v>
                </c:pt>
                <c:pt idx="673">
                  <c:v>2708.2794845096073</c:v>
                </c:pt>
                <c:pt idx="674">
                  <c:v>2708.899799771481</c:v>
                </c:pt>
                <c:pt idx="675">
                  <c:v>2709.4214906347725</c:v>
                </c:pt>
                <c:pt idx="676">
                  <c:v>2709.8446425319994</c:v>
                </c:pt>
                <c:pt idx="677">
                  <c:v>2710.1693398104794</c:v>
                </c:pt>
                <c:pt idx="678">
                  <c:v>2710.3956658965089</c:v>
                </c:pt>
                <c:pt idx="679">
                  <c:v>2710.5237034610714</c:v>
                </c:pt>
                <c:pt idx="680">
                  <c:v>2710.5535345866106</c:v>
                </c:pt>
                <c:pt idx="681">
                  <c:v>2710.4852409343848</c:v>
                </c:pt>
                <c:pt idx="682">
                  <c:v>2710.3189039118829</c:v>
                </c:pt>
                <c:pt idx="683">
                  <c:v>2710.0546048397896</c:v>
                </c:pt>
                <c:pt idx="684">
                  <c:v>2709.6924251179685</c:v>
                </c:pt>
                <c:pt idx="685">
                  <c:v>2709.2324463899363</c:v>
                </c:pt>
                <c:pt idx="686">
                  <c:v>2708.6747507053196</c:v>
                </c:pt>
                <c:pt idx="687">
                  <c:v>2708.0194206797905</c:v>
                </c:pt>
                <c:pt idx="688">
                  <c:v>2707.2665396520129</c:v>
                </c:pt>
                <c:pt idx="689">
                  <c:v>2706.4161918371483</c:v>
                </c:pt>
                <c:pt idx="690">
                  <c:v>2705.4684624765223</c:v>
                </c:pt>
                <c:pt idx="691">
                  <c:v>2704.4234379830723</c:v>
                </c:pt>
                <c:pt idx="692">
                  <c:v>2703.2812060822566</c:v>
                </c:pt>
                <c:pt idx="693">
                  <c:v>2702.0418559481391</c:v>
                </c:pt>
                <c:pt idx="694">
                  <c:v>2700.7054783344133</c:v>
                </c:pt>
                <c:pt idx="695">
                  <c:v>2699.272165700178</c:v>
                </c:pt>
                <c:pt idx="696">
                  <c:v>2697.7420123303154</c:v>
                </c:pt>
                <c:pt idx="697">
                  <c:v>2696.1151144503724</c:v>
                </c:pt>
                <c:pt idx="698">
                  <c:v>2694.3915703358866</c:v>
                </c:pt>
                <c:pt idx="699">
                  <c:v>2692.5714804161335</c:v>
                </c:pt>
                <c:pt idx="700">
                  <c:v>2690.6549473723094</c:v>
                </c:pt>
                <c:pt idx="701">
                  <c:v>2688.6420762302005</c:v>
                </c:pt>
                <c:pt idx="702">
                  <c:v>2686.5329744474075</c:v>
                </c:pt>
                <c:pt idx="703">
                  <c:v>2684.3277519952321</c:v>
                </c:pt>
                <c:pt idx="704">
                  <c:v>2682.0265214353426</c:v>
                </c:pt>
                <c:pt idx="705">
                  <c:v>2679.6293979913589</c:v>
                </c:pt>
                <c:pt idx="706">
                  <c:v>2677.1364996155116</c:v>
                </c:pt>
                <c:pt idx="707">
                  <c:v>2674.5479470505393</c:v>
                </c:pt>
                <c:pt idx="708">
                  <c:v>2671.8638638869952</c:v>
                </c:pt>
                <c:pt idx="709">
                  <c:v>2669.0843766161456</c:v>
                </c:pt>
                <c:pt idx="710">
                  <c:v>2666.2096146786384</c:v>
                </c:pt>
                <c:pt idx="711">
                  <c:v>2663.2397105091281</c:v>
                </c:pt>
                <c:pt idx="712">
                  <c:v>2660.1747995770397</c:v>
                </c:pt>
                <c:pt idx="713">
                  <c:v>2657.0150204236515</c:v>
                </c:pt>
                <c:pt idx="714">
                  <c:v>2653.7605146956757</c:v>
                </c:pt>
                <c:pt idx="715">
                  <c:v>2650.4114271755102</c:v>
                </c:pt>
                <c:pt idx="716">
                  <c:v>2646.9679058083302</c:v>
                </c:pt>
                <c:pt idx="717">
                  <c:v>2643.4301017261851</c:v>
                </c:pt>
                <c:pt idx="718">
                  <c:v>2639.7981692692524</c:v>
                </c:pt>
                <c:pt idx="719">
                  <c:v>2636.072266004403</c:v>
                </c:pt>
                <c:pt idx="720">
                  <c:v>2632.2525527412213</c:v>
                </c:pt>
                <c:pt idx="721">
                  <c:v>2628.3391935456161</c:v>
                </c:pt>
                <c:pt idx="722">
                  <c:v>2624.3323557511517</c:v>
                </c:pt>
                <c:pt idx="723">
                  <c:v>2620.2322099682237</c:v>
                </c:pt>
                <c:pt idx="724">
                  <c:v>2616.0389300911975</c:v>
                </c:pt>
                <c:pt idx="725">
                  <c:v>2611.7526933036147</c:v>
                </c:pt>
                <c:pt idx="726">
                  <c:v>2607.3736800815786</c:v>
                </c:pt>
                <c:pt idx="727">
                  <c:v>2602.9020741954109</c:v>
                </c:pt>
                <c:pt idx="728">
                  <c:v>2598.3380627096731</c:v>
                </c:pt>
                <c:pt idx="729">
                  <c:v>2593.6818359816421</c:v>
                </c:pt>
                <c:pt idx="730">
                  <c:v>2588.9335876583164</c:v>
                </c:pt>
                <c:pt idx="731">
                  <c:v>2584.0935146720335</c:v>
                </c:pt>
                <c:pt idx="732">
                  <c:v>2579.1618172347685</c:v>
                </c:pt>
                <c:pt idx="733">
                  <c:v>2574.1386988311788</c:v>
                </c:pt>
                <c:pt idx="734">
                  <c:v>2569.0243662104622</c:v>
                </c:pt>
                <c:pt idx="735">
                  <c:v>2563.8190293770845</c:v>
                </c:pt>
                <c:pt idx="736">
                  <c:v>2558.5229015804316</c:v>
                </c:pt>
                <c:pt idx="737">
                  <c:v>2553.1361993034388</c:v>
                </c:pt>
                <c:pt idx="738">
                  <c:v>2547.659142250247</c:v>
                </c:pt>
                <c:pt idx="739">
                  <c:v>2542.0919533329279</c:v>
                </c:pt>
                <c:pt idx="740">
                  <c:v>2536.4348586573269</c:v>
                </c:pt>
                <c:pt idx="741">
                  <c:v>2530.6880875080556</c:v>
                </c:pt>
                <c:pt idx="742">
                  <c:v>2524.8518723326783</c:v>
                </c:pt>
                <c:pt idx="743">
                  <c:v>2518.9264487251271</c:v>
                </c:pt>
                <c:pt idx="744">
                  <c:v>2512.9120554083734</c:v>
                </c:pt>
                <c:pt idx="745">
                  <c:v>2506.8089342163953</c:v>
                </c:pt>
                <c:pt idx="746">
                  <c:v>2500.6173300754622</c:v>
                </c:pt>
                <c:pt idx="747">
                  <c:v>2494.3374909847721</c:v>
                </c:pt>
                <c:pt idx="748">
                  <c:v>2487.9696679964609</c:v>
                </c:pt>
                <c:pt idx="749">
                  <c:v>2481.5141151950124</c:v>
                </c:pt>
                <c:pt idx="750">
                  <c:v>2474.971089676093</c:v>
                </c:pt>
                <c:pt idx="751">
                  <c:v>2468.3408515248302</c:v>
                </c:pt>
                <c:pt idx="752">
                  <c:v>2461.6236637935576</c:v>
                </c:pt>
                <c:pt idx="753">
                  <c:v>2454.819792479047</c:v>
                </c:pt>
                <c:pt idx="754">
                  <c:v>2447.9295064992443</c:v>
                </c:pt>
                <c:pt idx="755">
                  <c:v>2440.9530776695306</c:v>
                </c:pt>
                <c:pt idx="756">
                  <c:v>2433.8907806785214</c:v>
                </c:pt>
                <c:pt idx="757">
                  <c:v>2426.7428930634237</c:v>
                </c:pt>
                <c:pt idx="758">
                  <c:v>2419.509695184965</c:v>
                </c:pt>
                <c:pt idx="759">
                  <c:v>2412.1914702019089</c:v>
                </c:pt>
                <c:pt idx="760">
                  <c:v>2404.7885040451738</c:v>
                </c:pt>
                <c:pt idx="761">
                  <c:v>2397.3010853915634</c:v>
                </c:pt>
                <c:pt idx="762">
                  <c:v>2389.729505637129</c:v>
                </c:pt>
                <c:pt idx="763">
                  <c:v>2382.074058870171</c:v>
                </c:pt>
                <c:pt idx="764">
                  <c:v>2374.3350418438927</c:v>
                </c:pt>
                <c:pt idx="765">
                  <c:v>2366.5127539487203</c:v>
                </c:pt>
                <c:pt idx="766">
                  <c:v>2358.6074971842986</c:v>
                </c:pt>
                <c:pt idx="767">
                  <c:v>2350.6195761311737</c:v>
                </c:pt>
                <c:pt idx="768">
                  <c:v>2342.5492979221731</c:v>
                </c:pt>
                <c:pt idx="769">
                  <c:v>2334.3969722134948</c:v>
                </c:pt>
                <c:pt idx="770">
                  <c:v>2326.1629111555139</c:v>
                </c:pt>
                <c:pt idx="771">
                  <c:v>2317.8474293633162</c:v>
                </c:pt>
                <c:pt idx="772">
                  <c:v>2309.4508438869711</c:v>
                </c:pt>
                <c:pt idx="773">
                  <c:v>2300.9734741815496</c:v>
                </c:pt>
                <c:pt idx="774">
                  <c:v>2292.4156420768968</c:v>
                </c:pt>
                <c:pt idx="775">
                  <c:v>2283.7776717471725</c:v>
                </c:pt>
                <c:pt idx="776">
                  <c:v>2275.0598896801598</c:v>
                </c:pt>
                <c:pt idx="777">
                  <c:v>2266.2626246463592</c:v>
                </c:pt>
                <c:pt idx="778">
                  <c:v>2257.3862076678702</c:v>
                </c:pt>
                <c:pt idx="779">
                  <c:v>2248.4309719870716</c:v>
                </c:pt>
                <c:pt idx="780">
                  <c:v>2239.397253035107</c:v>
                </c:pt>
                <c:pt idx="781">
                  <c:v>2230.2853884001843</c:v>
                </c:pt>
                <c:pt idx="782">
                  <c:v>2221.0957177956957</c:v>
                </c:pt>
                <c:pt idx="783">
                  <c:v>2211.8285830281675</c:v>
                </c:pt>
                <c:pt idx="784">
                  <c:v>2202.4843279650463</c:v>
                </c:pt>
                <c:pt idx="785">
                  <c:v>2193.0632985023276</c:v>
                </c:pt>
                <c:pt idx="786">
                  <c:v>2183.5658425320371</c:v>
                </c:pt>
                <c:pt idx="787">
                  <c:v>2173.9923099095677</c:v>
                </c:pt>
                <c:pt idx="788">
                  <c:v>2164.3430524208852</c:v>
                </c:pt>
                <c:pt idx="789">
                  <c:v>2154.6184237496027</c:v>
                </c:pt>
                <c:pt idx="790">
                  <c:v>2144.8187794439355</c:v>
                </c:pt>
                <c:pt idx="791">
                  <c:v>2134.9444768835428</c:v>
                </c:pt>
                <c:pt idx="792">
                  <c:v>2124.9958752462617</c:v>
                </c:pt>
                <c:pt idx="793">
                  <c:v>2114.9733354747386</c:v>
                </c:pt>
                <c:pt idx="794">
                  <c:v>2104.8772202429695</c:v>
                </c:pt>
                <c:pt idx="795">
                  <c:v>2094.7078939227517</c:v>
                </c:pt>
                <c:pt idx="796">
                  <c:v>2084.4657225500537</c:v>
                </c:pt>
                <c:pt idx="797">
                  <c:v>2074.1510737913122</c:v>
                </c:pt>
                <c:pt idx="798">
                  <c:v>2063.7643169096609</c:v>
                </c:pt>
                <c:pt idx="799">
                  <c:v>2053.3058227310962</c:v>
                </c:pt>
                <c:pt idx="800">
                  <c:v>2042.7759636105889</c:v>
                </c:pt>
                <c:pt idx="801">
                  <c:v>2032.1751133981463</c:v>
                </c:pt>
                <c:pt idx="802">
                  <c:v>2021.5036474048309</c:v>
                </c:pt>
                <c:pt idx="803">
                  <c:v>2010.7619423687429</c:v>
                </c:pt>
                <c:pt idx="804">
                  <c:v>1999.9503764209717</c:v>
                </c:pt>
                <c:pt idx="805">
                  <c:v>1989.0693290515226</c:v>
                </c:pt>
                <c:pt idx="806">
                  <c:v>1978.1191810752241</c:v>
                </c:pt>
                <c:pt idx="807">
                  <c:v>1967.100314597624</c:v>
                </c:pt>
                <c:pt idx="808">
                  <c:v>1956.0131129808772</c:v>
                </c:pt>
                <c:pt idx="809">
                  <c:v>1944.8579608096329</c:v>
                </c:pt>
                <c:pt idx="810">
                  <c:v>1933.6352438569265</c:v>
                </c:pt>
                <c:pt idx="811">
                  <c:v>1922.3453490500824</c:v>
                </c:pt>
                <c:pt idx="812">
                  <c:v>1910.9886644366322</c:v>
                </c:pt>
                <c:pt idx="813">
                  <c:v>1899.5655791502559</c:v>
                </c:pt>
                <c:pt idx="814">
                  <c:v>1888.0764833767496</c:v>
                </c:pt>
                <c:pt idx="815">
                  <c:v>1876.5217683200269</c:v>
                </c:pt>
                <c:pt idx="816">
                  <c:v>1864.901826168159</c:v>
                </c:pt>
                <c:pt idx="817">
                  <c:v>1853.2170500594582</c:v>
                </c:pt>
                <c:pt idx="818">
                  <c:v>1841.4678340486116</c:v>
                </c:pt>
                <c:pt idx="819">
                  <c:v>1829.6545730728697</c:v>
                </c:pt>
                <c:pt idx="820">
                  <c:v>1817.7776629182949</c:v>
                </c:pt>
                <c:pt idx="821">
                  <c:v>1805.8375001860766</c:v>
                </c:pt>
                <c:pt idx="822">
                  <c:v>1793.8344822589152</c:v>
                </c:pt>
                <c:pt idx="823">
                  <c:v>1781.7690072674841</c:v>
                </c:pt>
                <c:pt idx="824">
                  <c:v>1769.6414740569717</c:v>
                </c:pt>
                <c:pt idx="825">
                  <c:v>1757.4522821537103</c:v>
                </c:pt>
                <c:pt idx="826">
                  <c:v>1745.2018317318957</c:v>
                </c:pt>
                <c:pt idx="827">
                  <c:v>1732.8905235804039</c:v>
                </c:pt>
                <c:pt idx="828">
                  <c:v>1720.5187590697078</c:v>
                </c:pt>
                <c:pt idx="829">
                  <c:v>1708.0869401189022</c:v>
                </c:pt>
                <c:pt idx="830">
                  <c:v>1695.5954691628369</c:v>
                </c:pt>
                <c:pt idx="831">
                  <c:v>1683.0447491193681</c:v>
                </c:pt>
                <c:pt idx="832">
                  <c:v>1670.4351833567291</c:v>
                </c:pt>
                <c:pt idx="833">
                  <c:v>1657.7671756610262</c:v>
                </c:pt>
                <c:pt idx="834">
                  <c:v>1645.0411302038647</c:v>
                </c:pt>
                <c:pt idx="835">
                  <c:v>1632.2574515101091</c:v>
                </c:pt>
                <c:pt idx="836">
                  <c:v>1619.4165444257826</c:v>
                </c:pt>
                <c:pt idx="837">
                  <c:v>1606.5188140861087</c:v>
                </c:pt>
                <c:pt idx="838">
                  <c:v>1593.564665883702</c:v>
                </c:pt>
                <c:pt idx="839">
                  <c:v>1580.5545054369099</c:v>
                </c:pt>
                <c:pt idx="840">
                  <c:v>1567.4887385583115</c:v>
                </c:pt>
                <c:pt idx="841">
                  <c:v>1554.3677712233764</c:v>
                </c:pt>
                <c:pt idx="842">
                  <c:v>1541.1920095392884</c:v>
                </c:pt>
                <c:pt idx="843">
                  <c:v>1527.9618597139374</c:v>
                </c:pt>
                <c:pt idx="844">
                  <c:v>1514.6777280250856</c:v>
                </c:pt>
                <c:pt idx="845">
                  <c:v>1501.3400207897084</c:v>
                </c:pt>
                <c:pt idx="846">
                  <c:v>1487.9491443335178</c:v>
                </c:pt>
                <c:pt idx="847">
                  <c:v>1474.5055049606692</c:v>
                </c:pt>
                <c:pt idx="848">
                  <c:v>1461.0095089236565</c:v>
                </c:pt>
                <c:pt idx="849">
                  <c:v>1447.4615623933996</c:v>
                </c:pt>
                <c:pt idx="850">
                  <c:v>1433.8620714295278</c:v>
                </c:pt>
                <c:pt idx="851">
                  <c:v>1420.2114419508609</c:v>
                </c:pt>
                <c:pt idx="852">
                  <c:v>1406.5100797060954</c:v>
                </c:pt>
                <c:pt idx="853">
                  <c:v>1392.7583902446941</c:v>
                </c:pt>
                <c:pt idx="854">
                  <c:v>1378.9567788879872</c:v>
                </c:pt>
                <c:pt idx="855">
                  <c:v>1365.1056507004857</c:v>
                </c:pt>
                <c:pt idx="856">
                  <c:v>1351.205410461411</c:v>
                </c:pt>
                <c:pt idx="857">
                  <c:v>1337.2564626364428</c:v>
                </c:pt>
                <c:pt idx="858">
                  <c:v>1323.2592113496908</c:v>
                </c:pt>
                <c:pt idx="859">
                  <c:v>1309.2140603558903</c:v>
                </c:pt>
                <c:pt idx="860">
                  <c:v>1295.1214130128276</c:v>
                </c:pt>
                <c:pt idx="861">
                  <c:v>1280.9816722539956</c:v>
                </c:pt>
                <c:pt idx="862">
                  <c:v>1266.795240561484</c:v>
                </c:pt>
                <c:pt idx="863">
                  <c:v>1252.5625199391054</c:v>
                </c:pt>
                <c:pt idx="864">
                  <c:v>1238.2839118857623</c:v>
                </c:pt>
                <c:pt idx="865">
                  <c:v>1223.9598173690551</c:v>
                </c:pt>
                <c:pt idx="866">
                  <c:v>1209.5906367991354</c:v>
                </c:pt>
                <c:pt idx="867">
                  <c:v>1195.1767700028058</c:v>
                </c:pt>
                <c:pt idx="868">
                  <c:v>1180.7186161978696</c:v>
                </c:pt>
                <c:pt idx="869">
                  <c:v>1166.2165739677323</c:v>
                </c:pt>
                <c:pt idx="870">
                  <c:v>1151.6710412362575</c:v>
                </c:pt>
                <c:pt idx="871">
                  <c:v>1137.0824152428777</c:v>
                </c:pt>
                <c:pt idx="872">
                  <c:v>1122.4510925179659</c:v>
                </c:pt>
                <c:pt idx="873">
                  <c:v>1107.7774688584652</c:v>
                </c:pt>
                <c:pt idx="874">
                  <c:v>1093.0619393037819</c:v>
                </c:pt>
                <c:pt idx="875">
                  <c:v>1078.304898111943</c:v>
                </c:pt>
                <c:pt idx="876">
                  <c:v>1063.5067387360195</c:v>
                </c:pt>
                <c:pt idx="877">
                  <c:v>1048.667853800818</c:v>
                </c:pt>
                <c:pt idx="878">
                  <c:v>1033.7886350798401</c:v>
                </c:pt>
                <c:pt idx="879">
                  <c:v>1018.869473472516</c:v>
                </c:pt>
                <c:pt idx="880">
                  <c:v>1003.9107589817079</c:v>
                </c:pt>
                <c:pt idx="881">
                  <c:v>988.91288069148891</c:v>
                </c:pt>
                <c:pt idx="882">
                  <c:v>973.87622674519753</c:v>
                </c:pt>
                <c:pt idx="883">
                  <c:v>958.80118432376821</c:v>
                </c:pt>
                <c:pt idx="884">
                  <c:v>943.68813962434103</c:v>
                </c:pt>
                <c:pt idx="885">
                  <c:v>928.53747783914969</c:v>
                </c:pt>
                <c:pt idx="886">
                  <c:v>913.34958313469053</c:v>
                </c:pt>
                <c:pt idx="887">
                  <c:v>898.12483863117268</c:v>
                </c:pt>
                <c:pt idx="888">
                  <c:v>882.86362638225057</c:v>
                </c:pt>
                <c:pt idx="889">
                  <c:v>867.56632735504036</c:v>
                </c:pt>
                <c:pt idx="890">
                  <c:v>852.23332141041942</c:v>
                </c:pt>
                <c:pt idx="891">
                  <c:v>836.86498728361153</c:v>
                </c:pt>
                <c:pt idx="892">
                  <c:v>821.46170256505764</c:v>
                </c:pt>
                <c:pt idx="893">
                  <c:v>806.02384368157243</c:v>
                </c:pt>
                <c:pt idx="894">
                  <c:v>790.55178587778801</c:v>
                </c:pt>
                <c:pt idx="895">
                  <c:v>775.04590319788451</c:v>
                </c:pt>
                <c:pt idx="896">
                  <c:v>759.50656846760887</c:v>
                </c:pt>
                <c:pt idx="897">
                  <c:v>743.93415327658158</c:v>
                </c:pt>
                <c:pt idx="898">
                  <c:v>728.32902796089138</c:v>
                </c:pt>
                <c:pt idx="899">
                  <c:v>712.69156158597877</c:v>
                </c:pt>
                <c:pt idx="900">
                  <c:v>697.02212192980869</c:v>
                </c:pt>
                <c:pt idx="901">
                  <c:v>681.32107546633131</c:v>
                </c:pt>
                <c:pt idx="902">
                  <c:v>665.58878734923235</c:v>
                </c:pt>
                <c:pt idx="903">
                  <c:v>649.82562139597212</c:v>
                </c:pt>
                <c:pt idx="904">
                  <c:v>634.03194007211289</c:v>
                </c:pt>
                <c:pt idx="905">
                  <c:v>618.20810447593567</c:v>
                </c:pt>
                <c:pt idx="906">
                  <c:v>602.35447432334479</c:v>
                </c:pt>
                <c:pt idx="907">
                  <c:v>586.47140793306107</c:v>
                </c:pt>
                <c:pt idx="908">
                  <c:v>570.55926221210245</c:v>
                </c:pt>
                <c:pt idx="909">
                  <c:v>554.61839264155276</c:v>
                </c:pt>
                <c:pt idx="910">
                  <c:v>538.64915326261632</c:v>
                </c:pt>
                <c:pt idx="911">
                  <c:v>522.65189666296044</c:v>
                </c:pt>
                <c:pt idx="912">
                  <c:v>506.62697396334289</c:v>
                </c:pt>
                <c:pt idx="913">
                  <c:v>490.57473480452506</c:v>
                </c:pt>
                <c:pt idx="914">
                  <c:v>474.49552733446984</c:v>
                </c:pt>
                <c:pt idx="915">
                  <c:v>458.38969819582331</c:v>
                </c:pt>
                <c:pt idx="916">
                  <c:v>442.25759251367981</c:v>
                </c:pt>
                <c:pt idx="917">
                  <c:v>426.09955388362908</c:v>
                </c:pt>
                <c:pt idx="918">
                  <c:v>409.91592436008523</c:v>
                </c:pt>
                <c:pt idx="919">
                  <c:v>393.70704444489593</c:v>
                </c:pt>
                <c:pt idx="920">
                  <c:v>377.47325307623129</c:v>
                </c:pt>
                <c:pt idx="921">
                  <c:v>361.21488761775129</c:v>
                </c:pt>
                <c:pt idx="922">
                  <c:v>344.93228384805059</c:v>
                </c:pt>
                <c:pt idx="923">
                  <c:v>328.6257759503797</c:v>
                </c:pt>
                <c:pt idx="924">
                  <c:v>312.29569650264142</c:v>
                </c:pt>
                <c:pt idx="925">
                  <c:v>295.94237646766089</c:v>
                </c:pt>
                <c:pt idx="926">
                  <c:v>279.56614518372862</c:v>
                </c:pt>
                <c:pt idx="927">
                  <c:v>263.16733035541472</c:v>
                </c:pt>
                <c:pt idx="928">
                  <c:v>246.74625804465305</c:v>
                </c:pt>
                <c:pt idx="929">
                  <c:v>230.30325266209417</c:v>
                </c:pt>
                <c:pt idx="930">
                  <c:v>213.83863695872537</c:v>
                </c:pt>
                <c:pt idx="931">
                  <c:v>197.35273201775627</c:v>
                </c:pt>
                <c:pt idx="932">
                  <c:v>180.84585724676873</c:v>
                </c:pt>
                <c:pt idx="933">
                  <c:v>164.31833037012933</c:v>
                </c:pt>
                <c:pt idx="934">
                  <c:v>147.7704674216628</c:v>
                </c:pt>
                <c:pt idx="935">
                  <c:v>131.20258273758495</c:v>
                </c:pt>
                <c:pt idx="936">
                  <c:v>114.61498894969317</c:v>
                </c:pt>
                <c:pt idx="937">
                  <c:v>98.007996978813054</c:v>
                </c:pt>
                <c:pt idx="938">
                  <c:v>81.381916028499205</c:v>
                </c:pt>
                <c:pt idx="939">
                  <c:v>64.737053578988593</c:v>
                </c:pt>
                <c:pt idx="940">
                  <c:v>48.073715381404583</c:v>
                </c:pt>
                <c:pt idx="941">
                  <c:v>31.392205452209758</c:v>
                </c:pt>
                <c:pt idx="942">
                  <c:v>14.69282606790582</c:v>
                </c:pt>
                <c:pt idx="943">
                  <c:v>-2.0241222400214909</c:v>
                </c:pt>
                <c:pt idx="944">
                  <c:v>-2.0408479064373886</c:v>
                </c:pt>
                <c:pt idx="945">
                  <c:v>-2.0575735899743273</c:v>
                </c:pt>
                <c:pt idx="946">
                  <c:v>-2.0742992906320117</c:v>
                </c:pt>
                <c:pt idx="947">
                  <c:v>-2.0910250084101465</c:v>
                </c:pt>
                <c:pt idx="948">
                  <c:v>-2.1077507433084359</c:v>
                </c:pt>
                <c:pt idx="949">
                  <c:v>-2.1244764953265842</c:v>
                </c:pt>
                <c:pt idx="950">
                  <c:v>-2.1412022644642961</c:v>
                </c:pt>
                <c:pt idx="951">
                  <c:v>-2.1579280507212757</c:v>
                </c:pt>
                <c:pt idx="952">
                  <c:v>-2.1746538540972273</c:v>
                </c:pt>
                <c:pt idx="953">
                  <c:v>-2.1913796745918557</c:v>
                </c:pt>
                <c:pt idx="954">
                  <c:v>-2.208105512204865</c:v>
                </c:pt>
                <c:pt idx="955">
                  <c:v>-2.2248313669359598</c:v>
                </c:pt>
                <c:pt idx="956">
                  <c:v>-2.2415572387848446</c:v>
                </c:pt>
                <c:pt idx="957">
                  <c:v>-2.2582831277512234</c:v>
                </c:pt>
                <c:pt idx="958">
                  <c:v>-2.275009033834801</c:v>
                </c:pt>
                <c:pt idx="959">
                  <c:v>-2.2917349570352816</c:v>
                </c:pt>
                <c:pt idx="960">
                  <c:v>-2.3084608973523699</c:v>
                </c:pt>
                <c:pt idx="961">
                  <c:v>-2.3251868547857701</c:v>
                </c:pt>
                <c:pt idx="962">
                  <c:v>-2.3419128293351865</c:v>
                </c:pt>
                <c:pt idx="963">
                  <c:v>-2.3586388210003237</c:v>
                </c:pt>
                <c:pt idx="964">
                  <c:v>-2.3753648297808865</c:v>
                </c:pt>
                <c:pt idx="965">
                  <c:v>-2.392090855676579</c:v>
                </c:pt>
                <c:pt idx="966">
                  <c:v>-2.4088168986871055</c:v>
                </c:pt>
                <c:pt idx="967">
                  <c:v>-2.4255429588121706</c:v>
                </c:pt>
                <c:pt idx="968">
                  <c:v>-2.4422690360514787</c:v>
                </c:pt>
                <c:pt idx="969">
                  <c:v>-2.4589951304047339</c:v>
                </c:pt>
                <c:pt idx="970">
                  <c:v>-2.475721241871641</c:v>
                </c:pt>
                <c:pt idx="971">
                  <c:v>-2.4924473704519046</c:v>
                </c:pt>
                <c:pt idx="972">
                  <c:v>-2.5091735161452289</c:v>
                </c:pt>
                <c:pt idx="973">
                  <c:v>-2.5258996789513182</c:v>
                </c:pt>
                <c:pt idx="974">
                  <c:v>-2.5426258588698771</c:v>
                </c:pt>
                <c:pt idx="975">
                  <c:v>-2.5593520559006104</c:v>
                </c:pt>
                <c:pt idx="976">
                  <c:v>-2.5760782700432219</c:v>
                </c:pt>
                <c:pt idx="977">
                  <c:v>-2.5928045012974166</c:v>
                </c:pt>
                <c:pt idx="978">
                  <c:v>-2.6095307496628988</c:v>
                </c:pt>
                <c:pt idx="979">
                  <c:v>-2.6262570151393727</c:v>
                </c:pt>
                <c:pt idx="980">
                  <c:v>-2.6429832977265431</c:v>
                </c:pt>
                <c:pt idx="981">
                  <c:v>-2.6597095974241141</c:v>
                </c:pt>
                <c:pt idx="982">
                  <c:v>-2.6764359142317904</c:v>
                </c:pt>
                <c:pt idx="983">
                  <c:v>-2.6931622481492763</c:v>
                </c:pt>
                <c:pt idx="984">
                  <c:v>-2.7098885991762764</c:v>
                </c:pt>
                <c:pt idx="985">
                  <c:v>-2.7266149673124955</c:v>
                </c:pt>
                <c:pt idx="986">
                  <c:v>-2.7433413525576378</c:v>
                </c:pt>
                <c:pt idx="987">
                  <c:v>-2.7600677549114074</c:v>
                </c:pt>
                <c:pt idx="988">
                  <c:v>-2.7767941743735092</c:v>
                </c:pt>
                <c:pt idx="989">
                  <c:v>-2.7935206109436472</c:v>
                </c:pt>
                <c:pt idx="990">
                  <c:v>-2.8102470646215263</c:v>
                </c:pt>
                <c:pt idx="991">
                  <c:v>-2.826973535406851</c:v>
                </c:pt>
                <c:pt idx="992">
                  <c:v>-2.8437000232993257</c:v>
                </c:pt>
                <c:pt idx="993">
                  <c:v>-2.860426528298655</c:v>
                </c:pt>
                <c:pt idx="994">
                  <c:v>-2.8771530504045431</c:v>
                </c:pt>
                <c:pt idx="995">
                  <c:v>-2.8938795896166947</c:v>
                </c:pt>
                <c:pt idx="996">
                  <c:v>-2.910606145934814</c:v>
                </c:pt>
                <c:pt idx="997">
                  <c:v>-2.9273327193586058</c:v>
                </c:pt>
                <c:pt idx="998">
                  <c:v>-2.9440593098877743</c:v>
                </c:pt>
                <c:pt idx="999">
                  <c:v>-2.9607859175220241</c:v>
                </c:pt>
                <c:pt idx="1000">
                  <c:v>-2.97751254226106</c:v>
                </c:pt>
              </c:numCache>
            </c:numRef>
          </c:yVal>
          <c:smooth val="1"/>
          <c:extLst>
            <c:ext xmlns:c16="http://schemas.microsoft.com/office/drawing/2014/chart" uri="{C3380CC4-5D6E-409C-BE32-E72D297353CC}">
              <c16:uniqueId val="{00000002-3E62-4C97-96C4-8569A9DB8ECB}"/>
            </c:ext>
          </c:extLst>
        </c:ser>
        <c:ser>
          <c:idx val="4"/>
          <c:order val="3"/>
          <c:tx>
            <c:strRef>
              <c:f>Trajecto!$B$109</c:f>
              <c:strCache>
                <c:ptCount val="1"/>
              </c:strCache>
            </c:strRef>
          </c:tx>
          <c:spPr>
            <a:ln w="25400">
              <a:solidFill>
                <a:srgbClr val="FF6600"/>
              </a:solidFill>
              <a:prstDash val="solid"/>
            </a:ln>
          </c:spPr>
          <c:marker>
            <c:symbol val="none"/>
          </c:marker>
          <c:dLbls>
            <c:dLbl>
              <c:idx val="1"/>
              <c:spPr>
                <a:noFill/>
                <a:ln w="25400">
                  <a:noFill/>
                </a:ln>
              </c:spPr>
              <c:txPr>
                <a:bodyPr/>
                <a:lstStyle/>
                <a:p>
                  <a:pPr>
                    <a:defRPr sz="700" b="1" i="0" u="none" strike="noStrike" baseline="0">
                      <a:solidFill>
                        <a:srgbClr val="FF66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3E62-4C97-96C4-8569A9DB8ECB}"/>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Trajecto!$B$140:$B$146</c:f>
              <c:numCache>
                <c:formatCode>0</c:formatCode>
                <c:ptCount val="7"/>
                <c:pt idx="0">
                  <c:v>0</c:v>
                </c:pt>
                <c:pt idx="1">
                  <c:v>0</c:v>
                </c:pt>
                <c:pt idx="2">
                  <c:v>0</c:v>
                </c:pt>
                <c:pt idx="3">
                  <c:v>0</c:v>
                </c:pt>
                <c:pt idx="4">
                  <c:v>0</c:v>
                </c:pt>
                <c:pt idx="5">
                  <c:v>0</c:v>
                </c:pt>
                <c:pt idx="6">
                  <c:v>0</c:v>
                </c:pt>
              </c:numCache>
            </c:numRef>
          </c:xVal>
          <c:yVal>
            <c:numRef>
              <c:f>Trajecto!$C$138:$C$144</c:f>
              <c:numCache>
                <c:formatCode>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4-3E62-4C97-96C4-8569A9DB8ECB}"/>
            </c:ext>
          </c:extLst>
        </c:ser>
        <c:ser>
          <c:idx val="5"/>
          <c:order val="4"/>
          <c:tx>
            <c:strRef>
              <c:f>Trajecto!$B$106</c:f>
              <c:strCache>
                <c:ptCount val="1"/>
                <c:pt idx="0">
                  <c:v>Phase ascendante</c:v>
                </c:pt>
              </c:strCache>
            </c:strRef>
          </c:tx>
          <c:spPr>
            <a:ln w="25400">
              <a:solidFill>
                <a:srgbClr val="000080"/>
              </a:solidFill>
              <a:prstDash val="solid"/>
            </a:ln>
          </c:spPr>
          <c:marker>
            <c:symbol val="none"/>
          </c:marker>
          <c:xVal>
            <c:numRef>
              <c:f>Calculs!$J$4:$J$1004</c:f>
              <c:numCache>
                <c:formatCode>0.00</c:formatCode>
                <c:ptCount val="1001"/>
                <c:pt idx="0">
                  <c:v>0</c:v>
                </c:pt>
                <c:pt idx="1">
                  <c:v>7.8068751954264885E-5</c:v>
                </c:pt>
                <c:pt idx="2">
                  <c:v>4.9095286477249906E-4</c:v>
                </c:pt>
                <c:pt idx="3">
                  <c:v>1.491499651660652E-3</c:v>
                </c:pt>
                <c:pt idx="4">
                  <c:v>3.2281038197528025E-3</c:v>
                </c:pt>
                <c:pt idx="5">
                  <c:v>5.8492808278684336E-3</c:v>
                </c:pt>
                <c:pt idx="6">
                  <c:v>9.5036851467721461E-3</c:v>
                </c:pt>
                <c:pt idx="7">
                  <c:v>1.4340128393698361E-2</c:v>
                </c:pt>
                <c:pt idx="8">
                  <c:v>2.0507597347900114E-2</c:v>
                </c:pt>
                <c:pt idx="9">
                  <c:v>2.8155271853811829E-2</c:v>
                </c:pt>
                <c:pt idx="10">
                  <c:v>3.7432542618253434E-2</c:v>
                </c:pt>
                <c:pt idx="11">
                  <c:v>4.8446342531492076E-2</c:v>
                </c:pt>
                <c:pt idx="12">
                  <c:v>6.1218376256263245E-2</c:v>
                </c:pt>
                <c:pt idx="13">
                  <c:v>7.5727341292476033E-2</c:v>
                </c:pt>
                <c:pt idx="14">
                  <c:v>9.1951241537507958E-2</c:v>
                </c:pt>
                <c:pt idx="15">
                  <c:v>0.10986771199158872</c:v>
                </c:pt>
                <c:pt idx="16">
                  <c:v>0.12945434417839446</c:v>
                </c:pt>
                <c:pt idx="17">
                  <c:v>0.15068868684830125</c:v>
                </c:pt>
                <c:pt idx="18">
                  <c:v>0.17354824668143701</c:v>
                </c:pt>
                <c:pt idx="19">
                  <c:v>0.19801048899043697</c:v>
                </c:pt>
                <c:pt idx="20">
                  <c:v>0.22405283842280838</c:v>
                </c:pt>
                <c:pt idx="21">
                  <c:v>0.25165267966281074</c:v>
                </c:pt>
                <c:pt idx="22">
                  <c:v>0.28078735813275829</c:v>
                </c:pt>
                <c:pt idx="23">
                  <c:v>0.3114341806936517</c:v>
                </c:pt>
                <c:pt idx="24">
                  <c:v>0.34357041634504742</c:v>
                </c:pt>
                <c:pt idx="25">
                  <c:v>0.37717329692407253</c:v>
                </c:pt>
                <c:pt idx="26">
                  <c:v>0.41222001780349443</c:v>
                </c:pt>
                <c:pt idx="27">
                  <c:v>0.4486934755336166</c:v>
                </c:pt>
                <c:pt idx="28">
                  <c:v>0.48658801524163342</c:v>
                </c:pt>
                <c:pt idx="29">
                  <c:v>0.52590370847629642</c:v>
                </c:pt>
                <c:pt idx="30">
                  <c:v>0.56664062094254497</c:v>
                </c:pt>
                <c:pt idx="31">
                  <c:v>0.60879881249398415</c:v>
                </c:pt>
                <c:pt idx="32">
                  <c:v>0.65237833712547566</c:v>
                </c:pt>
                <c:pt idx="33">
                  <c:v>0.69737924296584208</c:v>
                </c:pt>
                <c:pt idx="34">
                  <c:v>0.74388549123856906</c:v>
                </c:pt>
                <c:pt idx="35">
                  <c:v>0.79198382357487807</c:v>
                </c:pt>
                <c:pt idx="36">
                  <c:v>0.84167981149815985</c:v>
                </c:pt>
                <c:pt idx="37">
                  <c:v>0.89297891976032984</c:v>
                </c:pt>
                <c:pt idx="38">
                  <c:v>0.94588647212092636</c:v>
                </c:pt>
                <c:pt idx="39">
                  <c:v>1.0004076582255235</c:v>
                </c:pt>
                <c:pt idx="40">
                  <c:v>1.0565475399556052</c:v>
                </c:pt>
                <c:pt idx="41">
                  <c:v>1.1143110573030335</c:v>
                </c:pt>
                <c:pt idx="42">
                  <c:v>1.1737030338156953</c:v>
                </c:pt>
                <c:pt idx="43">
                  <c:v>1.2347281816553242</c:v>
                </c:pt>
                <c:pt idx="44">
                  <c:v>1.2973911063036803</c:v>
                </c:pt>
                <c:pt idx="45">
                  <c:v>1.3616963109491329</c:v>
                </c:pt>
                <c:pt idx="46">
                  <c:v>1.4276482005821052</c:v>
                </c:pt>
                <c:pt idx="47">
                  <c:v>1.4952510858247257</c:v>
                </c:pt>
                <c:pt idx="48">
                  <c:v>1.5645091865173242</c:v>
                </c:pt>
                <c:pt idx="49">
                  <c:v>1.6354266350820348</c:v>
                </c:pt>
                <c:pt idx="50">
                  <c:v>1.708007479681698</c:v>
                </c:pt>
                <c:pt idx="51">
                  <c:v>1.7822556871904225</c:v>
                </c:pt>
                <c:pt idx="52">
                  <c:v>1.8581751459905624</c:v>
                </c:pt>
                <c:pt idx="53">
                  <c:v>1.935769668609439</c:v>
                </c:pt>
                <c:pt idx="54">
                  <c:v>2.0150429942078798</c:v>
                </c:pt>
                <c:pt idx="55">
                  <c:v>2.0959987909315236</c:v>
                </c:pt>
                <c:pt idx="56">
                  <c:v>2.178640658134849</c:v>
                </c:pt>
                <c:pt idx="57">
                  <c:v>2.2629721284869864</c:v>
                </c:pt>
                <c:pt idx="58">
                  <c:v>2.3489966699675864</c:v>
                </c:pt>
                <c:pt idx="59">
                  <c:v>2.4367176877602996</c:v>
                </c:pt>
                <c:pt idx="60">
                  <c:v>2.526138526050782</c:v>
                </c:pt>
                <c:pt idx="61">
                  <c:v>2.6172624697355684</c:v>
                </c:pt>
                <c:pt idx="62">
                  <c:v>2.710092746047633</c:v>
                </c:pt>
                <c:pt idx="63">
                  <c:v>2.8046325261039899</c:v>
                </c:pt>
                <c:pt idx="64">
                  <c:v>2.9008849263802619</c:v>
                </c:pt>
                <c:pt idx="65">
                  <c:v>2.9988530101167599</c:v>
                </c:pt>
                <c:pt idx="66">
                  <c:v>3.0985397886602688</c:v>
                </c:pt>
                <c:pt idx="67">
                  <c:v>3.1999482227454195</c:v>
                </c:pt>
                <c:pt idx="68">
                  <c:v>3.3030812237192322</c:v>
                </c:pt>
                <c:pt idx="69">
                  <c:v>3.4079416547121633</c:v>
                </c:pt>
                <c:pt idx="70">
                  <c:v>3.514532331758736</c:v>
                </c:pt>
                <c:pt idx="71">
                  <c:v>3.6228560248706261</c:v>
                </c:pt>
                <c:pt idx="72">
                  <c:v>3.7329153871638754</c:v>
                </c:pt>
                <c:pt idx="73">
                  <c:v>3.8447128834770434</c:v>
                </c:pt>
                <c:pt idx="74">
                  <c:v>3.9582508625983306</c:v>
                </c:pt>
                <c:pt idx="75">
                  <c:v>4.073531629934152</c:v>
                </c:pt>
                <c:pt idx="76">
                  <c:v>4.1905574484059347</c:v>
                </c:pt>
                <c:pt idx="77">
                  <c:v>4.3093305393119046</c:v>
                </c:pt>
                <c:pt idx="78">
                  <c:v>4.4298530831556828</c:v>
                </c:pt>
                <c:pt idx="79">
                  <c:v>4.5521272204433982</c:v>
                </c:pt>
                <c:pt idx="80">
                  <c:v>4.6761550524509081</c:v>
                </c:pt>
                <c:pt idx="81">
                  <c:v>4.8019386419626269</c:v>
                </c:pt>
                <c:pt idx="82">
                  <c:v>4.9294800139833637</c:v>
                </c:pt>
                <c:pt idx="83">
                  <c:v>5.05878115642449</c:v>
                </c:pt>
                <c:pt idx="84">
                  <c:v>5.1898440207656753</c:v>
                </c:pt>
                <c:pt idx="85">
                  <c:v>5.3226705226933548</c:v>
                </c:pt>
                <c:pt idx="86">
                  <c:v>5.4572625427170278</c:v>
                </c:pt>
                <c:pt idx="87">
                  <c:v>5.5936219267644214</c:v>
                </c:pt>
                <c:pt idx="88">
                  <c:v>5.7317504867564901</c:v>
                </c:pt>
                <c:pt idx="89">
                  <c:v>5.8716500011631743</c:v>
                </c:pt>
                <c:pt idx="90">
                  <c:v>6.0133222155407804</c:v>
                </c:pt>
                <c:pt idx="91">
                  <c:v>6.1567688430518057</c:v>
                </c:pt>
                <c:pt idx="92">
                  <c:v>6.3019915649679819</c:v>
                </c:pt>
                <c:pt idx="93">
                  <c:v>6.4489920311572675</c:v>
                </c:pt>
                <c:pt idx="94">
                  <c:v>6.5977718605554845</c:v>
                </c:pt>
                <c:pt idx="95">
                  <c:v>6.7483326416232554</c:v>
                </c:pt>
                <c:pt idx="96">
                  <c:v>6.9006759327888618</c:v>
                </c:pt>
                <c:pt idx="97">
                  <c:v>7.0548032628776145</c:v>
                </c:pt>
                <c:pt idx="98">
                  <c:v>7.2107161315282955</c:v>
                </c:pt>
                <c:pt idx="99">
                  <c:v>7.3684160095972047</c:v>
                </c:pt>
                <c:pt idx="100">
                  <c:v>7.5279043395503074</c:v>
                </c:pt>
                <c:pt idx="101">
                  <c:v>7.6891825358439734</c:v>
                </c:pt>
                <c:pt idx="102">
                  <c:v>7.8522519852947568</c:v>
                </c:pt>
                <c:pt idx="103">
                  <c:v>8.017114047438648</c:v>
                </c:pt>
                <c:pt idx="104">
                  <c:v>8.1837700548802133</c:v>
                </c:pt>
                <c:pt idx="105">
                  <c:v>8.3522213136320183</c:v>
                </c:pt>
                <c:pt idx="106">
                  <c:v>8.5224691034447044</c:v>
                </c:pt>
                <c:pt idx="107">
                  <c:v>8.6945146781280709</c:v>
                </c:pt>
                <c:pt idx="108">
                  <c:v>8.8683592658635124</c:v>
                </c:pt>
                <c:pt idx="109">
                  <c:v>9.0440040695081336</c:v>
                </c:pt>
                <c:pt idx="110">
                  <c:v>9.2214502668908409</c:v>
                </c:pt>
                <c:pt idx="111">
                  <c:v>9.4006990111007216</c:v>
                </c:pt>
                <c:pt idx="112">
                  <c:v>9.5817514307679783</c:v>
                </c:pt>
                <c:pt idx="113">
                  <c:v>9.7646086303376993</c:v>
                </c:pt>
                <c:pt idx="114">
                  <c:v>9.9492716903367224</c:v>
                </c:pt>
                <c:pt idx="115">
                  <c:v>10.135741667633825</c:v>
                </c:pt>
                <c:pt idx="116">
                  <c:v>10.324019595693493</c:v>
                </c:pt>
                <c:pt idx="117">
                  <c:v>10.514106484823488</c:v>
                </c:pt>
                <c:pt idx="118">
                  <c:v>10.706003322416429</c:v>
                </c:pt>
                <c:pt idx="119">
                  <c:v>10.899711073185587</c:v>
                </c:pt>
                <c:pt idx="120">
                  <c:v>11.095230679395115</c:v>
                </c:pt>
                <c:pt idx="121">
                  <c:v>11.292563061084872</c:v>
                </c:pt>
                <c:pt idx="122">
                  <c:v>11.49170911629005</c:v>
                </c:pt>
                <c:pt idx="123">
                  <c:v>11.692669721255763</c:v>
                </c:pt>
                <c:pt idx="124">
                  <c:v>11.895445730646776</c:v>
                </c:pt>
                <c:pt idx="125">
                  <c:v>12.100037977752521</c:v>
                </c:pt>
                <c:pt idx="126">
                  <c:v>12.306447274687578</c:v>
                </c:pt>
                <c:pt idx="127">
                  <c:v>12.514674412587741</c:v>
                </c:pt>
                <c:pt idx="128">
                  <c:v>12.724720161801841</c:v>
                </c:pt>
                <c:pt idx="129">
                  <c:v>12.936584915926213</c:v>
                </c:pt>
                <c:pt idx="130">
                  <c:v>13.150268334391523</c:v>
                </c:pt>
                <c:pt idx="131">
                  <c:v>13.365769696911332</c:v>
                </c:pt>
                <c:pt idx="132">
                  <c:v>13.583088259396911</c:v>
                </c:pt>
                <c:pt idx="133">
                  <c:v>13.802223254181962</c:v>
                </c:pt>
                <c:pt idx="134">
                  <c:v>14.02317389024299</c:v>
                </c:pt>
                <c:pt idx="135">
                  <c:v>14.245939353415459</c:v>
                </c:pt>
                <c:pt idx="136">
                  <c:v>14.470518806605869</c:v>
                </c:pt>
                <c:pt idx="137">
                  <c:v>14.696911389999887</c:v>
                </c:pt>
                <c:pt idx="138">
                  <c:v>14.92511622126665</c:v>
                </c:pt>
                <c:pt idx="139">
                  <c:v>15.15513239575936</c:v>
                </c:pt>
                <c:pt idx="140">
                  <c:v>15.386958986712287</c:v>
                </c:pt>
                <c:pt idx="141">
                  <c:v>15.620595045434301</c:v>
                </c:pt>
                <c:pt idx="142">
                  <c:v>15.856039601499019</c:v>
                </c:pt>
                <c:pt idx="143">
                  <c:v>16.09329166293168</c:v>
                </c:pt>
                <c:pt idx="144">
                  <c:v>16.332350216392864</c:v>
                </c:pt>
                <c:pt idx="145">
                  <c:v>16.573214227359109</c:v>
                </c:pt>
                <c:pt idx="146">
                  <c:v>16.815882640300561</c:v>
                </c:pt>
                <c:pt idx="147">
                  <c:v>17.060354378855717</c:v>
                </c:pt>
                <c:pt idx="148">
                  <c:v>17.306628346003361</c:v>
                </c:pt>
                <c:pt idx="149">
                  <c:v>17.554703424231771</c:v>
                </c:pt>
                <c:pt idx="150">
                  <c:v>17.804578475705274</c:v>
                </c:pt>
                <c:pt idx="151">
                  <c:v>18.056252342428216</c:v>
                </c:pt>
                <c:pt idx="152">
                  <c:v>18.309723846406456</c:v>
                </c:pt>
                <c:pt idx="153">
                  <c:v>18.564991789806406</c:v>
                </c:pt>
                <c:pt idx="154">
                  <c:v>18.822054955111732</c:v>
                </c:pt>
                <c:pt idx="155">
                  <c:v>19.080912105277747</c:v>
                </c:pt>
                <c:pt idx="156">
                  <c:v>19.341561983883583</c:v>
                </c:pt>
                <c:pt idx="157">
                  <c:v>19.604003315282192</c:v>
                </c:pt>
                <c:pt idx="158">
                  <c:v>19.868234804748241</c:v>
                </c:pt>
                <c:pt idx="159">
                  <c:v>20.134255138623963</c:v>
                </c:pt>
                <c:pt idx="160">
                  <c:v>20.402062984463008</c:v>
                </c:pt>
                <c:pt idx="161">
                  <c:v>20.671656991172348</c:v>
                </c:pt>
                <c:pt idx="162">
                  <c:v>20.943035789152326</c:v>
                </c:pt>
                <c:pt idx="163">
                  <c:v>21.216197990434825</c:v>
                </c:pt>
                <c:pt idx="164">
                  <c:v>21.491142188819694</c:v>
                </c:pt>
                <c:pt idx="165">
                  <c:v>21.767866960009396</c:v>
                </c:pt>
                <c:pt idx="166">
                  <c:v>22.046370861741995</c:v>
                </c:pt>
                <c:pt idx="167">
                  <c:v>22.326652433922472</c:v>
                </c:pt>
                <c:pt idx="168">
                  <c:v>22.608710198752444</c:v>
                </c:pt>
                <c:pt idx="169">
                  <c:v>22.892542660858318</c:v>
                </c:pt>
                <c:pt idx="170">
                  <c:v>23.178148307417917</c:v>
                </c:pt>
                <c:pt idx="171">
                  <c:v>23.465525608285631</c:v>
                </c:pt>
                <c:pt idx="172">
                  <c:v>23.754673016116104</c:v>
                </c:pt>
                <c:pt idx="173">
                  <c:v>24.045588966486527</c:v>
                </c:pt>
                <c:pt idx="174">
                  <c:v>24.338271878017547</c:v>
                </c:pt>
                <c:pt idx="175">
                  <c:v>24.632720152492837</c:v>
                </c:pt>
                <c:pt idx="176">
                  <c:v>24.928932174977362</c:v>
                </c:pt>
                <c:pt idx="177">
                  <c:v>25.226906313934361</c:v>
                </c:pt>
                <c:pt idx="178">
                  <c:v>25.526640921341095</c:v>
                </c:pt>
                <c:pt idx="179">
                  <c:v>25.828134332803376</c:v>
                </c:pt>
                <c:pt idx="180">
                  <c:v>26.131384867668917</c:v>
                </c:pt>
                <c:pt idx="181">
                  <c:v>26.436390829139519</c:v>
                </c:pt>
                <c:pt idx="182">
                  <c:v>26.743150504382143</c:v>
                </c:pt>
                <c:pt idx="183">
                  <c:v>27.051662164638863</c:v>
                </c:pt>
                <c:pt idx="184">
                  <c:v>27.36192406533576</c:v>
                </c:pt>
                <c:pt idx="185">
                  <c:v>27.673934446190763</c:v>
                </c:pt>
                <c:pt idx="186">
                  <c:v>27.987691531320461</c:v>
                </c:pt>
                <c:pt idx="187">
                  <c:v>28.303193529345918</c:v>
                </c:pt>
                <c:pt idx="188">
                  <c:v>28.620438633497503</c:v>
                </c:pt>
                <c:pt idx="189">
                  <c:v>28.939425021718783</c:v>
                </c:pt>
                <c:pt idx="190">
                  <c:v>29.260150856769457</c:v>
                </c:pt>
                <c:pt idx="191">
                  <c:v>29.582614286327395</c:v>
                </c:pt>
                <c:pt idx="192">
                  <c:v>29.906813443089781</c:v>
                </c:pt>
                <c:pt idx="193">
                  <c:v>30.232746444873388</c:v>
                </c:pt>
                <c:pt idx="194">
                  <c:v>30.560411394713984</c:v>
                </c:pt>
                <c:pt idx="195">
                  <c:v>30.889806380964927</c:v>
                </c:pt>
                <c:pt idx="196">
                  <c:v>31.220929477394929</c:v>
                </c:pt>
                <c:pt idx="197">
                  <c:v>31.553778743285026</c:v>
                </c:pt>
                <c:pt idx="198">
                  <c:v>31.888352223524773</c:v>
                </c:pt>
                <c:pt idx="199">
                  <c:v>32.224647948707663</c:v>
                </c:pt>
                <c:pt idx="200">
                  <c:v>32.562663935225821</c:v>
                </c:pt>
                <c:pt idx="201">
                  <c:v>32.902398185363936</c:v>
                </c:pt>
                <c:pt idx="202">
                  <c:v>33.243848687392486</c:v>
                </c:pt>
                <c:pt idx="203">
                  <c:v>33.587013415660302</c:v>
                </c:pt>
                <c:pt idx="204">
                  <c:v>33.931890330686372</c:v>
                </c:pt>
                <c:pt idx="205">
                  <c:v>34.278477379251036</c:v>
                </c:pt>
                <c:pt idx="206">
                  <c:v>34.626772402334907</c:v>
                </c:pt>
                <c:pt idx="207">
                  <c:v>34.976773042816212</c:v>
                </c:pt>
                <c:pt idx="208">
                  <c:v>35.328476837420901</c:v>
                </c:pt>
                <c:pt idx="209">
                  <c:v>35.68188130891734</c:v>
                </c:pt>
                <c:pt idx="210">
                  <c:v>36.036983966212759</c:v>
                </c:pt>
                <c:pt idx="211">
                  <c:v>36.393782304449019</c:v>
                </c:pt>
                <c:pt idx="212">
                  <c:v>36.752273805097779</c:v>
                </c:pt>
                <c:pt idx="213">
                  <c:v>37.112455936054978</c:v>
                </c:pt>
                <c:pt idx="214">
                  <c:v>37.474326151734743</c:v>
                </c:pt>
                <c:pt idx="215">
                  <c:v>37.837881893162667</c:v>
                </c:pt>
                <c:pt idx="216">
                  <c:v>38.203120588068472</c:v>
                </c:pt>
                <c:pt idx="217">
                  <c:v>38.570039650978124</c:v>
                </c:pt>
                <c:pt idx="218">
                  <c:v>38.938636483305331</c:v>
                </c:pt>
                <c:pt idx="219">
                  <c:v>39.308908473442507</c:v>
                </c:pt>
                <c:pt idx="220">
                  <c:v>39.680852996851158</c:v>
                </c:pt>
                <c:pt idx="221">
                  <c:v>40.054467416151738</c:v>
                </c:pt>
                <c:pt idx="222">
                  <c:v>40.42974908121294</c:v>
                </c:pt>
                <c:pt idx="223">
                  <c:v>40.806695329240505</c:v>
                </c:pt>
                <c:pt idx="224">
                  <c:v>41.185303484865464</c:v>
                </c:pt>
                <c:pt idx="225">
                  <c:v>41.565570860231894</c:v>
                </c:pt>
                <c:pt idx="226">
                  <c:v>41.947494755084165</c:v>
                </c:pt>
                <c:pt idx="227">
                  <c:v>42.331072456853711</c:v>
                </c:pt>
                <c:pt idx="228">
                  <c:v>42.716301240745288</c:v>
                </c:pt>
                <c:pt idx="229">
                  <c:v>43.103178369822757</c:v>
                </c:pt>
                <c:pt idx="230">
                  <c:v>43.491701095094427</c:v>
                </c:pt>
                <c:pt idx="231">
                  <c:v>43.881866655597889</c:v>
                </c:pt>
                <c:pt idx="232">
                  <c:v>44.273672278484433</c:v>
                </c:pt>
                <c:pt idx="233">
                  <c:v>44.667115179102993</c:v>
                </c:pt>
                <c:pt idx="234">
                  <c:v>45.062192561083663</c:v>
                </c:pt>
                <c:pt idx="235">
                  <c:v>45.458901616420761</c:v>
                </c:pt>
                <c:pt idx="236">
                  <c:v>45.857239525555471</c:v>
                </c:pt>
                <c:pt idx="237">
                  <c:v>46.257203457458075</c:v>
                </c:pt>
                <c:pt idx="238">
                  <c:v>46.658790569709744</c:v>
                </c:pt>
                <c:pt idx="239">
                  <c:v>47.061998008583927</c:v>
                </c:pt>
                <c:pt idx="240">
                  <c:v>47.466822909127337</c:v>
                </c:pt>
                <c:pt idx="241">
                  <c:v>47.873262395240538</c:v>
                </c:pt>
                <c:pt idx="242">
                  <c:v>48.281313254215775</c:v>
                </c:pt>
                <c:pt idx="243">
                  <c:v>48.690971610569946</c:v>
                </c:pt>
                <c:pt idx="244">
                  <c:v>49.102233250869517</c:v>
                </c:pt>
                <c:pt idx="245">
                  <c:v>49.51509394927308</c:v>
                </c:pt>
                <c:pt idx="246">
                  <c:v>49.92954946763718</c:v>
                </c:pt>
                <c:pt idx="247">
                  <c:v>50.345595555621557</c:v>
                </c:pt>
                <c:pt idx="248">
                  <c:v>50.763227950793855</c:v>
                </c:pt>
                <c:pt idx="249">
                  <c:v>51.182442378733789</c:v>
                </c:pt>
                <c:pt idx="250">
                  <c:v>51.603234553136787</c:v>
                </c:pt>
                <c:pt idx="251">
                  <c:v>52.025600175917084</c:v>
                </c:pt>
                <c:pt idx="252">
                  <c:v>52.449534937310304</c:v>
                </c:pt>
                <c:pt idx="253">
                  <c:v>52.875034515975514</c:v>
                </c:pt>
                <c:pt idx="254">
                  <c:v>53.302094579096789</c:v>
                </c:pt>
                <c:pt idx="255">
                  <c:v>53.73071078248423</c:v>
                </c:pt>
                <c:pt idx="256">
                  <c:v>54.160878770674515</c:v>
                </c:pt>
                <c:pt idx="257">
                  <c:v>54.592594177030911</c:v>
                </c:pt>
                <c:pt idx="258">
                  <c:v>55.02585262384283</c:v>
                </c:pt>
                <c:pt idx="259">
                  <c:v>55.460649722424868</c:v>
                </c:pt>
                <c:pt idx="260">
                  <c:v>55.896981073215365</c:v>
                </c:pt>
                <c:pt idx="261">
                  <c:v>56.334842265874478</c:v>
                </c:pt>
                <c:pt idx="262">
                  <c:v>56.774228879381788</c:v>
                </c:pt>
                <c:pt idx="263">
                  <c:v>57.21513648213341</c:v>
                </c:pt>
                <c:pt idx="264">
                  <c:v>57.657560632038653</c:v>
                </c:pt>
                <c:pt idx="265">
                  <c:v>58.101496876616196</c:v>
                </c:pt>
                <c:pt idx="266">
                  <c:v>58.5469407530898</c:v>
                </c:pt>
                <c:pt idx="267">
                  <c:v>58.993887788483583</c:v>
                </c:pt>
                <c:pt idx="268">
                  <c:v>59.442333499716788</c:v>
                </c:pt>
                <c:pt idx="269">
                  <c:v>59.892273393698147</c:v>
                </c:pt>
                <c:pt idx="270">
                  <c:v>60.343702967419766</c:v>
                </c:pt>
                <c:pt idx="271">
                  <c:v>60.796617708050562</c:v>
                </c:pt>
                <c:pt idx="272">
                  <c:v>61.25101309302925</c:v>
                </c:pt>
                <c:pt idx="273">
                  <c:v>61.706884590156911</c:v>
                </c:pt>
                <c:pt idx="274">
                  <c:v>62.164227657689082</c:v>
                </c:pt>
                <c:pt idx="275">
                  <c:v>62.62303774442745</c:v>
                </c:pt>
                <c:pt idx="276">
                  <c:v>63.083310289811067</c:v>
                </c:pt>
                <c:pt idx="277">
                  <c:v>63.545040724007151</c:v>
                </c:pt>
                <c:pt idx="278">
                  <c:v>64.008224468001472</c:v>
                </c:pt>
                <c:pt idx="279">
                  <c:v>64.472856933688263</c:v>
                </c:pt>
                <c:pt idx="280">
                  <c:v>64.93893352395979</c:v>
                </c:pt>
                <c:pt idx="281">
                  <c:v>65.406449632795386</c:v>
                </c:pt>
                <c:pt idx="282">
                  <c:v>65.87540064535014</c:v>
                </c:pt>
                <c:pt idx="283">
                  <c:v>66.345781938043146</c:v>
                </c:pt>
                <c:pt idx="284">
                  <c:v>66.817589269454729</c:v>
                </c:pt>
                <c:pt idx="285">
                  <c:v>67.290819171882902</c:v>
                </c:pt>
                <c:pt idx="286">
                  <c:v>67.76546856128256</c:v>
                </c:pt>
                <c:pt idx="287">
                  <c:v>68.241534346531154</c:v>
                </c:pt>
                <c:pt idx="288">
                  <c:v>68.719013429487617</c:v>
                </c:pt>
                <c:pt idx="289">
                  <c:v>69.197902705051092</c:v>
                </c:pt>
                <c:pt idx="290">
                  <c:v>69.678199061219445</c:v>
                </c:pt>
                <c:pt idx="291">
                  <c:v>70.159899379147532</c:v>
                </c:pt>
                <c:pt idx="292">
                  <c:v>70.643000533205239</c:v>
                </c:pt>
                <c:pt idx="293">
                  <c:v>71.127499391035315</c:v>
                </c:pt>
                <c:pt idx="294">
                  <c:v>71.613392813610972</c:v>
                </c:pt>
                <c:pt idx="295">
                  <c:v>72.100677655293211</c:v>
                </c:pt>
                <c:pt idx="296">
                  <c:v>72.589350763888021</c:v>
                </c:pt>
                <c:pt idx="297">
                  <c:v>73.079408980703292</c:v>
                </c:pt>
                <c:pt idx="298">
                  <c:v>73.570849140605475</c:v>
                </c:pt>
                <c:pt idx="299">
                  <c:v>74.063668072076112</c:v>
                </c:pt>
                <c:pt idx="300">
                  <c:v>74.557862597268084</c:v>
                </c:pt>
                <c:pt idx="301">
                  <c:v>75.053429532061628</c:v>
                </c:pt>
                <c:pt idx="302">
                  <c:v>75.550365686120202</c:v>
                </c:pt>
                <c:pt idx="303">
                  <c:v>76.048667862946047</c:v>
                </c:pt>
                <c:pt idx="304">
                  <c:v>76.548332859935599</c:v>
                </c:pt>
                <c:pt idx="305">
                  <c:v>77.049357468434636</c:v>
                </c:pt>
                <c:pt idx="306">
                  <c:v>77.551738473793264</c:v>
                </c:pt>
                <c:pt idx="307">
                  <c:v>78.055472655420616</c:v>
                </c:pt>
                <c:pt idx="308">
                  <c:v>78.560556786839399</c:v>
                </c:pt>
                <c:pt idx="309">
                  <c:v>79.06698763574019</c:v>
                </c:pt>
                <c:pt idx="310">
                  <c:v>79.574761964035531</c:v>
                </c:pt>
                <c:pt idx="311">
                  <c:v>80.083876527913816</c:v>
                </c:pt>
                <c:pt idx="312">
                  <c:v>80.594328077892939</c:v>
                </c:pt>
                <c:pt idx="313">
                  <c:v>81.10611335887377</c:v>
                </c:pt>
                <c:pt idx="314">
                  <c:v>81.619229110193373</c:v>
                </c:pt>
                <c:pt idx="315">
                  <c:v>82.133672065678056</c:v>
                </c:pt>
                <c:pt idx="316">
                  <c:v>82.649438953696176</c:v>
                </c:pt>
                <c:pt idx="317">
                  <c:v>83.166526497210754</c:v>
                </c:pt>
                <c:pt idx="318">
                  <c:v>83.684931413831862</c:v>
                </c:pt>
                <c:pt idx="319">
                  <c:v>84.204650415868812</c:v>
                </c:pt>
                <c:pt idx="320">
                  <c:v>84.725680210382151</c:v>
                </c:pt>
                <c:pt idx="321">
                  <c:v>85.248017499235388</c:v>
                </c:pt>
                <c:pt idx="322">
                  <c:v>85.771658979146608</c:v>
                </c:pt>
                <c:pt idx="323">
                  <c:v>86.296601341739773</c:v>
                </c:pt>
                <c:pt idx="324">
                  <c:v>86.822841273595898</c:v>
                </c:pt>
                <c:pt idx="325">
                  <c:v>87.350375456303951</c:v>
                </c:pt>
                <c:pt idx="326">
                  <c:v>87.879200591002871</c:v>
                </c:pt>
                <c:pt idx="327">
                  <c:v>88.409313422956146</c:v>
                </c:pt>
                <c:pt idx="328">
                  <c:v>88.940710717138685</c:v>
                </c:pt>
                <c:pt idx="329">
                  <c:v>89.47338923378986</c:v>
                </c:pt>
                <c:pt idx="330">
                  <c:v>90.007345728462028</c:v>
                </c:pt>
                <c:pt idx="331">
                  <c:v>90.542576952068856</c:v>
                </c:pt>
                <c:pt idx="332">
                  <c:v>91.079079650933437</c:v>
                </c:pt>
                <c:pt idx="333">
                  <c:v>91.616850566836177</c:v>
                </c:pt>
                <c:pt idx="334">
                  <c:v>92.155886437062577</c:v>
                </c:pt>
                <c:pt idx="335">
                  <c:v>92.696183994450735</c:v>
                </c:pt>
                <c:pt idx="336">
                  <c:v>93.237739967438657</c:v>
                </c:pt>
                <c:pt idx="337">
                  <c:v>93.780551080111451</c:v>
                </c:pt>
                <c:pt idx="338">
                  <c:v>94.324614052248236</c:v>
                </c:pt>
                <c:pt idx="339">
                  <c:v>94.869925599368855</c:v>
                </c:pt>
                <c:pt idx="340">
                  <c:v>95.416482432780498</c:v>
                </c:pt>
                <c:pt idx="341">
                  <c:v>95.964281259624002</c:v>
                </c:pt>
                <c:pt idx="342">
                  <c:v>96.513318782920038</c:v>
                </c:pt>
                <c:pt idx="343">
                  <c:v>97.063591701615053</c:v>
                </c:pt>
                <c:pt idx="344">
                  <c:v>97.615096710627071</c:v>
                </c:pt>
                <c:pt idx="345">
                  <c:v>98.167830500891256</c:v>
                </c:pt>
                <c:pt idx="346">
                  <c:v>98.721789759405283</c:v>
                </c:pt>
                <c:pt idx="347">
                  <c:v>99.276971169274532</c:v>
                </c:pt>
                <c:pt idx="348">
                  <c:v>99.833371409757092</c:v>
                </c:pt>
                <c:pt idx="349">
                  <c:v>100.39098715630855</c:v>
                </c:pt>
                <c:pt idx="350">
                  <c:v>100.94981508062662</c:v>
                </c:pt>
                <c:pt idx="351">
                  <c:v>101.5098518506955</c:v>
                </c:pt>
                <c:pt idx="352">
                  <c:v>102.07109413083015</c:v>
                </c:pt>
                <c:pt idx="353">
                  <c:v>102.63353858172027</c:v>
                </c:pt>
                <c:pt idx="354">
                  <c:v>103.19718186047419</c:v>
                </c:pt>
                <c:pt idx="355">
                  <c:v>103.76202062066244</c:v>
                </c:pt>
                <c:pt idx="356">
                  <c:v>104.32805151236123</c:v>
                </c:pt>
                <c:pt idx="357">
                  <c:v>104.8952711821957</c:v>
                </c:pt>
                <c:pt idx="358">
                  <c:v>105.463676273383</c:v>
                </c:pt>
                <c:pt idx="359">
                  <c:v>106.03326342577512</c:v>
                </c:pt>
                <c:pt idx="360">
                  <c:v>106.60402927590155</c:v>
                </c:pt>
                <c:pt idx="361">
                  <c:v>107.17597045701184</c:v>
                </c:pt>
                <c:pt idx="362">
                  <c:v>107.74908359911781</c:v>
                </c:pt>
                <c:pt idx="363">
                  <c:v>108.32336532903568</c:v>
                </c:pt>
                <c:pt idx="364">
                  <c:v>108.89881227042797</c:v>
                </c:pt>
                <c:pt idx="365">
                  <c:v>109.4754210438452</c:v>
                </c:pt>
                <c:pt idx="366">
                  <c:v>110.05318889854975</c:v>
                </c:pt>
                <c:pt idx="367">
                  <c:v>110.63211434500974</c:v>
                </c:pt>
                <c:pt idx="368">
                  <c:v>111.21219652358572</c:v>
                </c:pt>
                <c:pt idx="369">
                  <c:v>111.79343457253319</c:v>
                </c:pt>
                <c:pt idx="370">
                  <c:v>112.37582762801661</c:v>
                </c:pt>
                <c:pt idx="371">
                  <c:v>112.95937482412332</c:v>
                </c:pt>
                <c:pt idx="372">
                  <c:v>113.54407529287742</c:v>
                </c:pt>
                <c:pt idx="373">
                  <c:v>114.12992816425367</c:v>
                </c:pt>
                <c:pt idx="374">
                  <c:v>114.71693256619133</c:v>
                </c:pt>
                <c:pt idx="375">
                  <c:v>115.30508762460799</c:v>
                </c:pt>
                <c:pt idx="376">
                  <c:v>115.89439246341334</c:v>
                </c:pt>
                <c:pt idx="377">
                  <c:v>116.48484620452295</c:v>
                </c:pt>
                <c:pt idx="378">
                  <c:v>117.076447967872</c:v>
                </c:pt>
                <c:pt idx="379">
                  <c:v>117.66919687142898</c:v>
                </c:pt>
                <c:pt idx="380">
                  <c:v>118.26309203120938</c:v>
                </c:pt>
                <c:pt idx="381">
                  <c:v>118.8581318751377</c:v>
                </c:pt>
                <c:pt idx="382">
                  <c:v>119.45431345622654</c:v>
                </c:pt>
                <c:pt idx="383">
                  <c:v>120.05163313835463</c:v>
                </c:pt>
                <c:pt idx="384">
                  <c:v>120.65008728274208</c:v>
                </c:pt>
                <c:pt idx="385">
                  <c:v>121.24967224799249</c:v>
                </c:pt>
                <c:pt idx="386">
                  <c:v>121.85038439013486</c:v>
                </c:pt>
                <c:pt idx="387">
                  <c:v>122.45222006266523</c:v>
                </c:pt>
                <c:pt idx="388">
                  <c:v>123.05517561658813</c:v>
                </c:pt>
                <c:pt idx="389">
                  <c:v>123.65924740045783</c:v>
                </c:pt>
                <c:pt idx="390">
                  <c:v>124.26443176041943</c:v>
                </c:pt>
                <c:pt idx="391">
                  <c:v>124.87072504024961</c:v>
                </c:pt>
                <c:pt idx="392">
                  <c:v>125.47812358139731</c:v>
                </c:pt>
                <c:pt idx="393">
                  <c:v>126.08662372302412</c:v>
                </c:pt>
                <c:pt idx="394">
                  <c:v>126.69622180204446</c:v>
                </c:pt>
                <c:pt idx="395">
                  <c:v>127.30691415316564</c:v>
                </c:pt>
                <c:pt idx="396">
                  <c:v>127.91869710892753</c:v>
                </c:pt>
                <c:pt idx="397">
                  <c:v>128.53156699974224</c:v>
                </c:pt>
                <c:pt idx="398">
                  <c:v>129.14552015393343</c:v>
                </c:pt>
                <c:pt idx="399">
                  <c:v>129.76055289777551</c:v>
                </c:pt>
                <c:pt idx="400">
                  <c:v>130.37666155553248</c:v>
                </c:pt>
                <c:pt idx="401">
                  <c:v>130.99384190657932</c:v>
                </c:pt>
                <c:pt idx="402">
                  <c:v>131.61208864205489</c:v>
                </c:pt>
                <c:pt idx="403">
                  <c:v>132.23139590763139</c:v>
                </c:pt>
                <c:pt idx="404">
                  <c:v>132.85175784676557</c:v>
                </c:pt>
                <c:pt idx="405">
                  <c:v>133.47316860076381</c:v>
                </c:pt>
                <c:pt idx="406">
                  <c:v>134.09562230884686</c:v>
                </c:pt>
                <c:pt idx="407">
                  <c:v>134.71911310821403</c:v>
                </c:pt>
                <c:pt idx="408">
                  <c:v>135.34363513410702</c:v>
                </c:pt>
                <c:pt idx="409">
                  <c:v>135.96918251987333</c:v>
                </c:pt>
                <c:pt idx="410">
                  <c:v>136.59574939702907</c:v>
                </c:pt>
                <c:pt idx="411">
                  <c:v>137.22332688706973</c:v>
                </c:pt>
                <c:pt idx="412">
                  <c:v>137.85190009096527</c:v>
                </c:pt>
                <c:pt idx="413">
                  <c:v>138.48145109692032</c:v>
                </c:pt>
                <c:pt idx="414">
                  <c:v>139.11196199057437</c:v>
                </c:pt>
                <c:pt idx="415">
                  <c:v>139.74341485531102</c:v>
                </c:pt>
                <c:pt idx="416">
                  <c:v>140.37579177256396</c:v>
                </c:pt>
                <c:pt idx="417">
                  <c:v>141.00907482211963</c:v>
                </c:pt>
                <c:pt idx="418">
                  <c:v>141.6432460824166</c:v>
                </c:pt>
                <c:pt idx="419">
                  <c:v>142.2782876308417</c:v>
                </c:pt>
                <c:pt idx="420">
                  <c:v>142.91417982858007</c:v>
                </c:pt>
                <c:pt idx="421">
                  <c:v>143.55089960444428</c:v>
                </c:pt>
                <c:pt idx="422">
                  <c:v>144.1884221707775</c:v>
                </c:pt>
                <c:pt idx="423">
                  <c:v>144.82672274047721</c:v>
                </c:pt>
                <c:pt idx="424">
                  <c:v>145.4657765274855</c:v>
                </c:pt>
                <c:pt idx="425">
                  <c:v>146.10555874727305</c:v>
                </c:pt>
                <c:pt idx="426">
                  <c:v>146.7460446173171</c:v>
                </c:pt>
                <c:pt idx="427">
                  <c:v>147.3872093575732</c:v>
                </c:pt>
                <c:pt idx="428">
                  <c:v>148.02902819094095</c:v>
                </c:pt>
                <c:pt idx="429">
                  <c:v>148.67147634372341</c:v>
                </c:pt>
                <c:pt idx="430">
                  <c:v>149.31452904608062</c:v>
                </c:pt>
                <c:pt idx="431">
                  <c:v>149.95816153247671</c:v>
                </c:pt>
                <c:pt idx="432">
                  <c:v>150.60234626872005</c:v>
                </c:pt>
                <c:pt idx="433">
                  <c:v>151.24705017814543</c:v>
                </c:pt>
                <c:pt idx="434">
                  <c:v>151.89223741696352</c:v>
                </c:pt>
                <c:pt idx="435">
                  <c:v>152.53787215067277</c:v>
                </c:pt>
                <c:pt idx="436">
                  <c:v>153.18391855490523</c:v>
                </c:pt>
                <c:pt idx="437">
                  <c:v>153.83034081626005</c:v>
                </c:pt>
                <c:pt idx="438">
                  <c:v>154.4771031331239</c:v>
                </c:pt>
                <c:pt idx="439">
                  <c:v>155.12416971647883</c:v>
                </c:pt>
                <c:pt idx="440">
                  <c:v>155.77150479069721</c:v>
                </c:pt>
                <c:pt idx="441">
                  <c:v>156.41907259432395</c:v>
                </c:pt>
                <c:pt idx="442">
                  <c:v>157.06683907004532</c:v>
                </c:pt>
                <c:pt idx="443">
                  <c:v>157.71477355464364</c:v>
                </c:pt>
                <c:pt idx="444">
                  <c:v>158.36284708883738</c:v>
                </c:pt>
                <c:pt idx="445">
                  <c:v>159.01103072698115</c:v>
                </c:pt>
                <c:pt idx="446">
                  <c:v>159.65929553752912</c:v>
                </c:pt>
                <c:pt idx="447">
                  <c:v>160.3076126034901</c:v>
                </c:pt>
                <c:pt idx="448">
                  <c:v>160.95595302287424</c:v>
                </c:pt>
                <c:pt idx="449">
                  <c:v>161.60428790913124</c:v>
                </c:pt>
                <c:pt idx="450">
                  <c:v>162.25258839158045</c:v>
                </c:pt>
                <c:pt idx="451">
                  <c:v>162.9008256158323</c:v>
                </c:pt>
                <c:pt idx="452">
                  <c:v>163.54897074420171</c:v>
                </c:pt>
                <c:pt idx="453">
                  <c:v>164.19699738304112</c:v>
                </c:pt>
                <c:pt idx="454">
                  <c:v>164.84488400947851</c:v>
                </c:pt>
                <c:pt idx="455">
                  <c:v>165.49261154160632</c:v>
                </c:pt>
                <c:pt idx="456">
                  <c:v>166.14016090912915</c:v>
                </c:pt>
                <c:pt idx="457">
                  <c:v>166.7875130534984</c:v>
                </c:pt>
                <c:pt idx="458">
                  <c:v>167.43464892804337</c:v>
                </c:pt>
                <c:pt idx="459">
                  <c:v>168.08154949809878</c:v>
                </c:pt>
                <c:pt idx="460">
                  <c:v>168.72819574112879</c:v>
                </c:pt>
                <c:pt idx="461">
                  <c:v>169.37457083648459</c:v>
                </c:pt>
                <c:pt idx="462">
                  <c:v>170.02066235441723</c:v>
                </c:pt>
                <c:pt idx="463">
                  <c:v>170.66646006333565</c:v>
                </c:pt>
                <c:pt idx="464">
                  <c:v>171.31195373775088</c:v>
                </c:pt>
                <c:pt idx="465">
                  <c:v>171.95713315828019</c:v>
                </c:pt>
                <c:pt idx="466">
                  <c:v>172.6019862691258</c:v>
                </c:pt>
                <c:pt idx="467">
                  <c:v>173.24649733623474</c:v>
                </c:pt>
                <c:pt idx="468">
                  <c:v>173.89062825988069</c:v>
                </c:pt>
                <c:pt idx="469">
                  <c:v>174.53432503145848</c:v>
                </c:pt>
                <c:pt idx="470">
                  <c:v>175.17756342364518</c:v>
                </c:pt>
                <c:pt idx="471">
                  <c:v>175.82034437102612</c:v>
                </c:pt>
                <c:pt idx="472">
                  <c:v>176.46266880545994</c:v>
                </c:pt>
                <c:pt idx="473">
                  <c:v>177.10453765608938</c:v>
                </c:pt>
                <c:pt idx="474">
                  <c:v>177.74595184935225</c:v>
                </c:pt>
                <c:pt idx="475">
                  <c:v>178.38691230899212</c:v>
                </c:pt>
                <c:pt idx="476">
                  <c:v>179.02741995606905</c:v>
                </c:pt>
                <c:pt idx="477">
                  <c:v>179.66747570897027</c:v>
                </c:pt>
                <c:pt idx="478">
                  <c:v>180.3070804834208</c:v>
                </c:pt>
                <c:pt idx="479">
                  <c:v>180.94623519249399</c:v>
                </c:pt>
                <c:pt idx="480">
                  <c:v>181.58494074662204</c:v>
                </c:pt>
                <c:pt idx="481">
                  <c:v>182.22319805360647</c:v>
                </c:pt>
                <c:pt idx="482">
                  <c:v>182.8610080186285</c:v>
                </c:pt>
                <c:pt idx="483">
                  <c:v>183.49837154425938</c:v>
                </c:pt>
                <c:pt idx="484">
                  <c:v>184.1352895304708</c:v>
                </c:pt>
                <c:pt idx="485">
                  <c:v>184.77176287464496</c:v>
                </c:pt>
                <c:pt idx="486">
                  <c:v>185.40779247158494</c:v>
                </c:pt>
                <c:pt idx="487">
                  <c:v>186.04337921352473</c:v>
                </c:pt>
                <c:pt idx="488">
                  <c:v>186.67852399013941</c:v>
                </c:pt>
                <c:pt idx="489">
                  <c:v>187.31322768855512</c:v>
                </c:pt>
                <c:pt idx="490">
                  <c:v>187.94749119335916</c:v>
                </c:pt>
                <c:pt idx="491">
                  <c:v>188.58131538660982</c:v>
                </c:pt>
                <c:pt idx="492">
                  <c:v>189.21470114784634</c:v>
                </c:pt>
                <c:pt idx="493">
                  <c:v>189.84764935409879</c:v>
                </c:pt>
                <c:pt idx="494">
                  <c:v>190.48016087989785</c:v>
                </c:pt>
                <c:pt idx="495">
                  <c:v>191.11223659728452</c:v>
                </c:pt>
                <c:pt idx="496">
                  <c:v>191.74387737581989</c:v>
                </c:pt>
                <c:pt idx="497">
                  <c:v>192.37508408259475</c:v>
                </c:pt>
                <c:pt idx="498">
                  <c:v>193.00585758223926</c:v>
                </c:pt>
                <c:pt idx="499">
                  <c:v>193.63619873693244</c:v>
                </c:pt>
                <c:pt idx="500">
                  <c:v>194.26610840641175</c:v>
                </c:pt>
                <c:pt idx="501">
                  <c:v>200.54153982829746</c:v>
                </c:pt>
                <c:pt idx="502">
                  <c:v>206.77437555038082</c:v>
                </c:pt>
                <c:pt idx="503">
                  <c:v>212.96545232950567</c:v>
                </c:pt>
                <c:pt idx="504">
                  <c:v>219.11558373801546</c:v>
                </c:pt>
                <c:pt idx="505">
                  <c:v>225.22556103796336</c:v>
                </c:pt>
                <c:pt idx="506">
                  <c:v>231.29615401419261</c:v>
                </c:pt>
                <c:pt idx="507">
                  <c:v>237.32811176860358</c:v>
                </c:pt>
                <c:pt idx="508">
                  <c:v>243.32216347777245</c:v>
                </c:pt>
                <c:pt idx="509">
                  <c:v>249.2790191159462</c:v>
                </c:pt>
                <c:pt idx="510">
                  <c:v>255.19937014530871</c:v>
                </c:pt>
                <c:pt idx="511">
                  <c:v>261.08389017529197</c:v>
                </c:pt>
                <c:pt idx="512">
                  <c:v>266.93323559259483</c:v>
                </c:pt>
                <c:pt idx="513">
                  <c:v>272.74804616346819</c:v>
                </c:pt>
                <c:pt idx="514">
                  <c:v>278.52894560972851</c:v>
                </c:pt>
                <c:pt idx="515">
                  <c:v>284.27654215987229</c:v>
                </c:pt>
                <c:pt idx="516">
                  <c:v>289.99142907658103</c:v>
                </c:pt>
                <c:pt idx="517">
                  <c:v>295.67418516182778</c:v>
                </c:pt>
                <c:pt idx="518">
                  <c:v>301.3253752407249</c:v>
                </c:pt>
                <c:pt idx="519">
                  <c:v>306.94555062518469</c:v>
                </c:pt>
                <c:pt idx="520">
                  <c:v>312.53524955840203</c:v>
                </c:pt>
                <c:pt idx="521">
                  <c:v>318.09499764110922</c:v>
                </c:pt>
                <c:pt idx="522">
                  <c:v>323.62530824049844</c:v>
                </c:pt>
                <c:pt idx="523">
                  <c:v>329.1266828826565</c:v>
                </c:pt>
                <c:pt idx="524">
                  <c:v>334.59961162930779</c:v>
                </c:pt>
                <c:pt idx="525">
                  <c:v>340.04457343961758</c:v>
                </c:pt>
                <c:pt idx="526">
                  <c:v>345.46203651776494</c:v>
                </c:pt>
                <c:pt idx="527">
                  <c:v>350.85245864695611</c:v>
                </c:pt>
                <c:pt idx="528">
                  <c:v>356.21628751051162</c:v>
                </c:pt>
                <c:pt idx="529">
                  <c:v>361.5539610006266</c:v>
                </c:pt>
                <c:pt idx="530">
                  <c:v>366.86590751537091</c:v>
                </c:pt>
                <c:pt idx="531">
                  <c:v>372.15254624446538</c:v>
                </c:pt>
                <c:pt idx="532">
                  <c:v>377.41428744434251</c:v>
                </c:pt>
                <c:pt idx="533">
                  <c:v>382.65153270297185</c:v>
                </c:pt>
                <c:pt idx="534">
                  <c:v>387.86467519490714</c:v>
                </c:pt>
                <c:pt idx="535">
                  <c:v>393.05409992698594</c:v>
                </c:pt>
                <c:pt idx="536">
                  <c:v>398.22018397509299</c:v>
                </c:pt>
                <c:pt idx="537">
                  <c:v>403.3632967123753</c:v>
                </c:pt>
                <c:pt idx="538">
                  <c:v>408.48380002927843</c:v>
                </c:pt>
                <c:pt idx="539">
                  <c:v>413.58204854575433</c:v>
                </c:pt>
                <c:pt idx="540">
                  <c:v>418.65838981597392</c:v>
                </c:pt>
                <c:pt idx="541">
                  <c:v>423.71316452586018</c:v>
                </c:pt>
                <c:pt idx="542">
                  <c:v>428.74670668374324</c:v>
                </c:pt>
                <c:pt idx="543">
                  <c:v>433.75934380442294</c:v>
                </c:pt>
                <c:pt idx="544">
                  <c:v>438.75139708691074</c:v>
                </c:pt>
                <c:pt idx="545">
                  <c:v>443.72318158611063</c:v>
                </c:pt>
                <c:pt idx="546">
                  <c:v>448.67500637868426</c:v>
                </c:pt>
                <c:pt idx="547">
                  <c:v>453.60717472333636</c:v>
                </c:pt>
                <c:pt idx="548">
                  <c:v>458.51998421574268</c:v>
                </c:pt>
                <c:pt idx="549">
                  <c:v>463.41372693833415</c:v>
                </c:pt>
                <c:pt idx="550">
                  <c:v>468.28868960514001</c:v>
                </c:pt>
                <c:pt idx="551">
                  <c:v>473.14515370188371</c:v>
                </c:pt>
                <c:pt idx="552">
                  <c:v>477.9833956215158</c:v>
                </c:pt>
                <c:pt idx="553">
                  <c:v>482.80368679536014</c:v>
                </c:pt>
                <c:pt idx="554">
                  <c:v>487.6062938200414</c:v>
                </c:pt>
                <c:pt idx="555">
                  <c:v>492.39147858035437</c:v>
                </c:pt>
                <c:pt idx="556">
                  <c:v>497.15949836822813</c:v>
                </c:pt>
                <c:pt idx="557">
                  <c:v>501.91060599793121</c:v>
                </c:pt>
                <c:pt idx="558">
                  <c:v>506.6450499176579</c:v>
                </c:pt>
                <c:pt idx="559">
                  <c:v>511.36307431762873</c:v>
                </c:pt>
                <c:pt idx="560">
                  <c:v>516.06491923483304</c:v>
                </c:pt>
                <c:pt idx="561">
                  <c:v>520.75082065453557</c:v>
                </c:pt>
                <c:pt idx="562">
                  <c:v>525.42101060866344</c:v>
                </c:pt>
                <c:pt idx="563">
                  <c:v>530.07571727118568</c:v>
                </c:pt>
                <c:pt idx="564">
                  <c:v>534.71516505059105</c:v>
                </c:pt>
                <c:pt idx="565">
                  <c:v>539.33957467956759</c:v>
                </c:pt>
                <c:pt idx="566">
                  <c:v>543.94916330197987</c:v>
                </c:pt>
                <c:pt idx="567">
                  <c:v>548.54414455723895</c:v>
                </c:pt>
                <c:pt idx="568">
                  <c:v>553.12472866215387</c:v>
                </c:pt>
                <c:pt idx="569">
                  <c:v>557.69112249034993</c:v>
                </c:pt>
                <c:pt idx="570">
                  <c:v>562.24352964933678</c:v>
                </c:pt>
                <c:pt idx="571">
                  <c:v>566.78215055530382</c:v>
                </c:pt>
                <c:pt idx="572">
                  <c:v>571.30718250571874</c:v>
                </c:pt>
                <c:pt idx="573">
                  <c:v>575.81881974980115</c:v>
                </c:pt>
                <c:pt idx="574">
                  <c:v>580.3172535569397</c:v>
                </c:pt>
                <c:pt idx="575">
                  <c:v>584.80267228311959</c:v>
                </c:pt>
                <c:pt idx="576">
                  <c:v>589.2752614354232</c:v>
                </c:pt>
                <c:pt idx="577">
                  <c:v>593.73520373466431</c:v>
                </c:pt>
                <c:pt idx="578">
                  <c:v>598.18267917621438</c:v>
                </c:pt>
                <c:pt idx="579">
                  <c:v>602.61786508907585</c:v>
                </c:pt>
                <c:pt idx="580">
                  <c:v>607.04093619325624</c:v>
                </c:pt>
                <c:pt idx="581">
                  <c:v>611.45206465549359</c:v>
                </c:pt>
                <c:pt idx="582">
                  <c:v>615.8514201433818</c:v>
                </c:pt>
                <c:pt idx="583">
                  <c:v>620.23916987794314</c:v>
                </c:pt>
                <c:pt idx="584">
                  <c:v>624.61547868469165</c:v>
                </c:pt>
                <c:pt idx="585">
                  <c:v>628.98050904323077</c:v>
                </c:pt>
                <c:pt idx="586">
                  <c:v>633.3344211354256</c:v>
                </c:pt>
                <c:pt idx="587">
                  <c:v>637.67737289218883</c:v>
                </c:pt>
                <c:pt idx="588">
                  <c:v>642.00952003891757</c:v>
                </c:pt>
                <c:pt idx="589">
                  <c:v>646.33101613961639</c:v>
                </c:pt>
                <c:pt idx="590">
                  <c:v>650.64201263974053</c:v>
                </c:pt>
                <c:pt idx="591">
                  <c:v>654.94265890779138</c:v>
                </c:pt>
                <c:pt idx="592">
                  <c:v>659.23310227569516</c:v>
                </c:pt>
                <c:pt idx="593">
                  <c:v>663.51348807799354</c:v>
                </c:pt>
                <c:pt idx="594">
                  <c:v>667.78395968987468</c:v>
                </c:pt>
                <c:pt idx="595">
                  <c:v>672.04465856406955</c:v>
                </c:pt>
                <c:pt idx="596">
                  <c:v>676.29572426664038</c:v>
                </c:pt>
                <c:pt idx="597">
                  <c:v>680.5372945116826</c:v>
                </c:pt>
                <c:pt idx="598">
                  <c:v>684.76950519496438</c:v>
                </c:pt>
                <c:pt idx="599">
                  <c:v>688.99249042652286</c:v>
                </c:pt>
                <c:pt idx="600">
                  <c:v>693.20638256223833</c:v>
                </c:pt>
                <c:pt idx="601">
                  <c:v>697.41131223440323</c:v>
                </c:pt>
                <c:pt idx="602">
                  <c:v>701.6074083813038</c:v>
                </c:pt>
                <c:pt idx="603">
                  <c:v>705.79479827582998</c:v>
                </c:pt>
                <c:pt idx="604">
                  <c:v>709.97360755312843</c:v>
                </c:pt>
                <c:pt idx="605">
                  <c:v>714.14396023731115</c:v>
                </c:pt>
                <c:pt idx="606">
                  <c:v>718.30597876723311</c:v>
                </c:pt>
                <c:pt idx="607">
                  <c:v>722.45978402134915</c:v>
                </c:pt>
                <c:pt idx="608">
                  <c:v>726.60549534165989</c:v>
                </c:pt>
                <c:pt idx="609">
                  <c:v>730.74323055675552</c:v>
                </c:pt>
                <c:pt idx="610">
                  <c:v>734.87310600396472</c:v>
                </c:pt>
                <c:pt idx="611">
                  <c:v>738.99523655061546</c:v>
                </c:pt>
                <c:pt idx="612">
                  <c:v>743.10973561441187</c:v>
                </c:pt>
                <c:pt idx="613">
                  <c:v>747.21671518293147</c:v>
                </c:pt>
                <c:pt idx="614">
                  <c:v>751.31628583224585</c:v>
                </c:pt>
                <c:pt idx="615">
                  <c:v>755.40855674466547</c:v>
                </c:pt>
                <c:pt idx="616">
                  <c:v>759.49363572560935</c:v>
                </c:pt>
                <c:pt idx="617">
                  <c:v>763.57162921959844</c:v>
                </c:pt>
                <c:pt idx="618">
                  <c:v>767.64264232537073</c:v>
                </c:pt>
                <c:pt idx="619">
                  <c:v>771.70677881011443</c:v>
                </c:pt>
                <c:pt idx="620">
                  <c:v>775.76414112281441</c:v>
                </c:pt>
                <c:pt idx="621">
                  <c:v>779.81483040670628</c:v>
                </c:pt>
                <c:pt idx="622">
                  <c:v>783.85894651083117</c:v>
                </c:pt>
                <c:pt idx="623">
                  <c:v>787.89658800068185</c:v>
                </c:pt>
                <c:pt idx="624">
                  <c:v>791.92785216793106</c:v>
                </c:pt>
                <c:pt idx="625">
                  <c:v>795.95283503923167</c:v>
                </c:pt>
                <c:pt idx="626">
                  <c:v>799.97163138407495</c:v>
                </c:pt>
                <c:pt idx="627">
                  <c:v>803.98433472169484</c:v>
                </c:pt>
                <c:pt idx="628">
                  <c:v>807.99103732700269</c:v>
                </c:pt>
                <c:pt idx="629">
                  <c:v>811.99183023553701</c:v>
                </c:pt>
                <c:pt idx="630">
                  <c:v>815.98680324741053</c:v>
                </c:pt>
                <c:pt idx="631">
                  <c:v>819.97604493023755</c:v>
                </c:pt>
                <c:pt idx="632">
                  <c:v>823.95964262102018</c:v>
                </c:pt>
                <c:pt idx="633">
                  <c:v>827.93768242697581</c:v>
                </c:pt>
                <c:pt idx="634">
                  <c:v>831.91024922528197</c:v>
                </c:pt>
                <c:pt idx="635">
                  <c:v>835.8774266617188</c:v>
                </c:pt>
                <c:pt idx="636">
                  <c:v>839.8392971481843</c:v>
                </c:pt>
                <c:pt idx="637">
                  <c:v>843.79594185906137</c:v>
                </c:pt>
                <c:pt idx="638">
                  <c:v>847.74744072641067</c:v>
                </c:pt>
                <c:pt idx="639">
                  <c:v>851.69387243396784</c:v>
                </c:pt>
                <c:pt idx="640">
                  <c:v>855.6353144099196</c:v>
                </c:pt>
                <c:pt idx="641">
                  <c:v>859.57184281843718</c:v>
                </c:pt>
                <c:pt idx="642">
                  <c:v>863.50353254994297</c:v>
                </c:pt>
                <c:pt idx="643">
                  <c:v>867.43045721009116</c:v>
                </c:pt>
                <c:pt idx="644">
                  <c:v>871.3526891074406</c:v>
                </c:pt>
                <c:pt idx="645">
                  <c:v>875.27029923980388</c:v>
                </c:pt>
                <c:pt idx="646">
                  <c:v>879.18335727925648</c:v>
                </c:pt>
                <c:pt idx="647">
                  <c:v>883.09193155579555</c:v>
                </c:pt>
                <c:pt idx="648">
                  <c:v>886.99608903963872</c:v>
                </c:pt>
                <c:pt idx="649">
                  <c:v>890.89589532216166</c:v>
                </c:pt>
                <c:pt idx="650">
                  <c:v>894.79141459547611</c:v>
                </c:pt>
                <c:pt idx="651">
                  <c:v>898.68270963065629</c:v>
                </c:pt>
                <c:pt idx="652">
                  <c:v>902.56984175463197</c:v>
                </c:pt>
                <c:pt idx="653">
                  <c:v>906.45287082577079</c:v>
                </c:pt>
                <c:pt idx="654">
                  <c:v>910.3318552081854</c:v>
                </c:pt>
                <c:pt idx="655">
                  <c:v>914.20685174480957</c:v>
                </c:pt>
                <c:pt idx="656">
                  <c:v>918.07791572929966</c:v>
                </c:pt>
                <c:pt idx="657">
                  <c:v>921.9451008768317</c:v>
                </c:pt>
                <c:pt idx="658">
                  <c:v>925.80845929387624</c:v>
                </c:pt>
                <c:pt idx="659">
                  <c:v>929.66804144705077</c:v>
                </c:pt>
                <c:pt idx="660">
                  <c:v>933.52389613116338</c:v>
                </c:pt>
                <c:pt idx="661">
                  <c:v>937.37607043657977</c:v>
                </c:pt>
                <c:pt idx="662">
                  <c:v>941.22460971606301</c:v>
                </c:pt>
                <c:pt idx="663">
                  <c:v>945.0695575512525</c:v>
                </c:pt>
                <c:pt idx="664">
                  <c:v>948.91095571896847</c:v>
                </c:pt>
                <c:pt idx="665">
                  <c:v>952.74884415754593</c:v>
                </c:pt>
                <c:pt idx="666">
                  <c:v>956.58326093341805</c:v>
                </c:pt>
                <c:pt idx="667">
                  <c:v>960.41424220818863</c:v>
                </c:pt>
                <c:pt idx="668">
                  <c:v>964.24182220644536</c:v>
                </c:pt>
                <c:pt idx="669">
                  <c:v>968.06603318458144</c:v>
                </c:pt>
                <c:pt idx="670">
                  <c:v>971.88690540090124</c:v>
                </c:pt>
                <c:pt idx="671">
                  <c:v>975.70446708729651</c:v>
                </c:pt>
                <c:pt idx="672">
                  <c:v>979.51874442278097</c:v>
                </c:pt>
                <c:pt idx="673">
                  <c:v>983.3297615091733</c:v>
                </c:pt>
                <c:pt idx="674">
                  <c:v>987.13754034921396</c:v>
                </c:pt>
                <c:pt idx="675">
                  <c:v>990.94210082739221</c:v>
                </c:pt>
                <c:pt idx="676">
                  <c:v>994.74346069374599</c:v>
                </c:pt>
                <c:pt idx="677">
                  <c:v>998.54163555087928</c:v>
                </c:pt>
                <c:pt idx="678">
                  <c:v>1002.3366388444177</c:v>
                </c:pt>
                <c:pt idx="679">
                  <c:v>1006.1284818570956</c:v>
                </c:pt>
                <c:pt idx="680">
                  <c:v>1009.9171737066348</c:v>
                </c:pt>
                <c:pt idx="681">
                  <c:v>1013.7027213475407</c:v>
                </c:pt>
                <c:pt idx="682">
                  <c:v>1017.4851295769014</c:v>
                </c:pt>
                <c:pt idx="683">
                  <c:v>1021.264401044237</c:v>
                </c:pt>
                <c:pt idx="684">
                  <c:v>1025.0405362654024</c:v>
                </c:pt>
                <c:pt idx="685">
                  <c:v>1028.8135336405051</c:v>
                </c:pt>
                <c:pt idx="686">
                  <c:v>1032.5833894757618</c:v>
                </c:pt>
                <c:pt idx="687">
                  <c:v>1036.3500980091742</c:v>
                </c:pt>
                <c:pt idx="688">
                  <c:v>1040.1136514398688</c:v>
                </c:pt>
                <c:pt idx="689">
                  <c:v>1043.8740399609144</c:v>
                </c:pt>
                <c:pt idx="690">
                  <c:v>1047.6312517954011</c:v>
                </c:pt>
                <c:pt idx="691">
                  <c:v>1051.3852732355369</c:v>
                </c:pt>
                <c:pt idx="692">
                  <c:v>1055.136088684503</c:v>
                </c:pt>
                <c:pt idx="693">
                  <c:v>1058.8836807007899</c:v>
                </c:pt>
                <c:pt idx="694">
                  <c:v>1062.6280300447313</c:v>
                </c:pt>
                <c:pt idx="695">
                  <c:v>1066.3691157269407</c:v>
                </c:pt>
                <c:pt idx="696">
                  <c:v>1070.1069150583635</c:v>
                </c:pt>
                <c:pt idx="697">
                  <c:v>1073.8414037016544</c:v>
                </c:pt>
                <c:pt idx="698">
                  <c:v>1077.5725557236021</c:v>
                </c:pt>
                <c:pt idx="699">
                  <c:v>1081.30034364833</c:v>
                </c:pt>
                <c:pt idx="700">
                  <c:v>1085.0247385110176</c:v>
                </c:pt>
                <c:pt idx="701">
                  <c:v>1088.7457099119038</c:v>
                </c:pt>
                <c:pt idx="702">
                  <c:v>1092.4632260703443</c:v>
                </c:pt>
                <c:pt idx="703">
                  <c:v>1096.1772538787231</c:v>
                </c:pt>
                <c:pt idx="704">
                  <c:v>1099.8877589560282</c:v>
                </c:pt>
                <c:pt idx="705">
                  <c:v>1103.594705700923</c:v>
                </c:pt>
                <c:pt idx="706">
                  <c:v>1107.2980573441696</c:v>
                </c:pt>
                <c:pt idx="707">
                  <c:v>1110.9977760002682</c:v>
                </c:pt>
                <c:pt idx="708">
                  <c:v>1114.6938227182047</c:v>
                </c:pt>
                <c:pt idx="709">
                  <c:v>1118.3861575312071</c:v>
                </c:pt>
                <c:pt idx="710">
                  <c:v>1122.0747395054359</c:v>
                </c:pt>
                <c:pt idx="711">
                  <c:v>1125.7595267875386</c:v>
                </c:pt>
                <c:pt idx="712">
                  <c:v>1129.4404766510206</c:v>
                </c:pt>
                <c:pt idx="713">
                  <c:v>1133.1175455413938</c:v>
                </c:pt>
                <c:pt idx="714">
                  <c:v>1136.7906891200719</c:v>
                </c:pt>
                <c:pt idx="715">
                  <c:v>1140.459862306999</c:v>
                </c:pt>
                <c:pt idx="716">
                  <c:v>1144.1250193220008</c:v>
                </c:pt>
                <c:pt idx="717">
                  <c:v>1147.7861137248574</c:v>
                </c:pt>
                <c:pt idx="718">
                  <c:v>1151.4430984541052</c:v>
                </c:pt>
                <c:pt idx="719">
                  <c:v>1155.0959258645778</c:v>
                </c:pt>
                <c:pt idx="720">
                  <c:v>1158.7445477637036</c:v>
                </c:pt>
                <c:pt idx="721">
                  <c:v>1162.3889154465826</c:v>
                </c:pt>
                <c:pt idx="722">
                  <c:v>1166.028979729864</c:v>
                </c:pt>
                <c:pt idx="723">
                  <c:v>1169.6646909844551</c:v>
                </c:pt>
                <c:pt idx="724">
                  <c:v>1173.2959991670873</c:v>
                </c:pt>
                <c:pt idx="725">
                  <c:v>1176.9228538507748</c:v>
                </c:pt>
                <c:pt idx="726">
                  <c:v>1180.5452042541947</c:v>
                </c:pt>
                <c:pt idx="727">
                  <c:v>1184.1629992700246</c:v>
                </c:pt>
                <c:pt idx="728">
                  <c:v>1187.7761874922696</c:v>
                </c:pt>
                <c:pt idx="729">
                  <c:v>1191.3847172426154</c:v>
                </c:pt>
                <c:pt idx="730">
                  <c:v>1194.9885365958385</c:v>
                </c:pt>
                <c:pt idx="731">
                  <c:v>1198.5875934043104</c:v>
                </c:pt>
                <c:pt idx="732">
                  <c:v>1202.181835321627</c:v>
                </c:pt>
                <c:pt idx="733">
                  <c:v>1205.7712098253983</c:v>
                </c:pt>
                <c:pt idx="734">
                  <c:v>1209.3556642392282</c:v>
                </c:pt>
                <c:pt idx="735">
                  <c:v>1212.9351457539192</c:v>
                </c:pt>
                <c:pt idx="736">
                  <c:v>1216.5096014479284</c:v>
                </c:pt>
                <c:pt idx="737">
                  <c:v>1220.0789783071093</c:v>
                </c:pt>
                <c:pt idx="738">
                  <c:v>1223.6432232437637</c:v>
                </c:pt>
                <c:pt idx="739">
                  <c:v>1227.2022831150352</c:v>
                </c:pt>
                <c:pt idx="740">
                  <c:v>1230.7561047406687</c:v>
                </c:pt>
                <c:pt idx="741">
                  <c:v>1234.3046349201622</c:v>
                </c:pt>
                <c:pt idx="742">
                  <c:v>1237.8478204493376</c:v>
                </c:pt>
                <c:pt idx="743">
                  <c:v>1241.3856081363501</c:v>
                </c:pt>
                <c:pt idx="744">
                  <c:v>1244.917944817164</c:v>
                </c:pt>
                <c:pt idx="745">
                  <c:v>1248.4447773705133</c:v>
                </c:pt>
                <c:pt idx="746">
                  <c:v>1251.966052732369</c:v>
                </c:pt>
                <c:pt idx="747">
                  <c:v>1255.4817179099327</c:v>
                </c:pt>
                <c:pt idx="748">
                  <c:v>1258.9917199951774</c:v>
                </c:pt>
                <c:pt idx="749">
                  <c:v>1262.4960061779498</c:v>
                </c:pt>
                <c:pt idx="750">
                  <c:v>1265.9945237586564</c:v>
                </c:pt>
                <c:pt idx="751">
                  <c:v>1269.4872201605458</c:v>
                </c:pt>
                <c:pt idx="752">
                  <c:v>1272.9740429416045</c:v>
                </c:pt>
                <c:pt idx="753">
                  <c:v>1276.4549398060824</c:v>
                </c:pt>
                <c:pt idx="754">
                  <c:v>1279.9298586156604</c:v>
                </c:pt>
                <c:pt idx="755">
                  <c:v>1283.3987474002736</c:v>
                </c:pt>
                <c:pt idx="756">
                  <c:v>1286.861554368606</c:v>
                </c:pt>
                <c:pt idx="757">
                  <c:v>1290.3182279182649</c:v>
                </c:pt>
                <c:pt idx="758">
                  <c:v>1293.7687166456494</c:v>
                </c:pt>
                <c:pt idx="759">
                  <c:v>1297.2129693555239</c:v>
                </c:pt>
                <c:pt idx="760">
                  <c:v>1300.6509350703059</c:v>
                </c:pt>
                <c:pt idx="761">
                  <c:v>1304.0825630390793</c:v>
                </c:pt>
                <c:pt idx="762">
                  <c:v>1307.5078027463435</c:v>
                </c:pt>
                <c:pt idx="763">
                  <c:v>1310.926603920504</c:v>
                </c:pt>
                <c:pt idx="764">
                  <c:v>1314.3389165421183</c:v>
                </c:pt>
                <c:pt idx="765">
                  <c:v>1317.7446908519003</c:v>
                </c:pt>
                <c:pt idx="766">
                  <c:v>1321.1438773584944</c:v>
                </c:pt>
                <c:pt idx="767">
                  <c:v>1324.536426846026</c:v>
                </c:pt>
                <c:pt idx="768">
                  <c:v>1327.9222903814341</c:v>
                </c:pt>
                <c:pt idx="769">
                  <c:v>1331.301419321594</c:v>
                </c:pt>
                <c:pt idx="770">
                  <c:v>1334.6737653202372</c:v>
                </c:pt>
                <c:pt idx="771">
                  <c:v>1338.0392803346722</c:v>
                </c:pt>
                <c:pt idx="772">
                  <c:v>1341.3979166323147</c:v>
                </c:pt>
                <c:pt idx="773">
                  <c:v>1344.7496267970309</c:v>
                </c:pt>
                <c:pt idx="774">
                  <c:v>1348.0943637352998</c:v>
                </c:pt>
                <c:pt idx="775">
                  <c:v>1351.4320806821991</c:v>
                </c:pt>
                <c:pt idx="776">
                  <c:v>1354.7627312072204</c:v>
                </c:pt>
                <c:pt idx="777">
                  <c:v>1358.0862692199184</c:v>
                </c:pt>
                <c:pt idx="778">
                  <c:v>1361.4026489753951</c:v>
                </c:pt>
                <c:pt idx="779">
                  <c:v>1364.7118250796286</c:v>
                </c:pt>
                <c:pt idx="780">
                  <c:v>1368.0137524946458</c:v>
                </c:pt>
                <c:pt idx="781">
                  <c:v>1371.3083865435451</c:v>
                </c:pt>
                <c:pt idx="782">
                  <c:v>1374.5956829153724</c:v>
                </c:pt>
                <c:pt idx="783">
                  <c:v>1377.8755976698531</c:v>
                </c:pt>
                <c:pt idx="784">
                  <c:v>1381.1480872419834</c:v>
                </c:pt>
                <c:pt idx="785">
                  <c:v>1384.4131084464855</c:v>
                </c:pt>
                <c:pt idx="786">
                  <c:v>1387.6706184821278</c:v>
                </c:pt>
                <c:pt idx="787">
                  <c:v>1390.9205749359141</c:v>
                </c:pt>
                <c:pt idx="788">
                  <c:v>1394.1629357871443</c:v>
                </c:pt>
                <c:pt idx="789">
                  <c:v>1397.3976594113483</c:v>
                </c:pt>
                <c:pt idx="790">
                  <c:v>1400.6247045840976</c:v>
                </c:pt>
                <c:pt idx="791">
                  <c:v>1403.8440304846952</c:v>
                </c:pt>
                <c:pt idx="792">
                  <c:v>1407.0555966997467</c:v>
                </c:pt>
                <c:pt idx="793">
                  <c:v>1410.2593632266151</c:v>
                </c:pt>
                <c:pt idx="794">
                  <c:v>1413.4552904767609</c:v>
                </c:pt>
                <c:pt idx="795">
                  <c:v>1416.6433392789697</c:v>
                </c:pt>
                <c:pt idx="796">
                  <c:v>1419.8234708824702</c:v>
                </c:pt>
                <c:pt idx="797">
                  <c:v>1422.9956469599424</c:v>
                </c:pt>
                <c:pt idx="798">
                  <c:v>1426.1598296104198</c:v>
                </c:pt>
                <c:pt idx="799">
                  <c:v>1429.3159813620866</c:v>
                </c:pt>
                <c:pt idx="800">
                  <c:v>1432.4640651749714</c:v>
                </c:pt>
                <c:pt idx="801">
                  <c:v>1435.6040444435391</c:v>
                </c:pt>
                <c:pt idx="802">
                  <c:v>1438.7358829991831</c:v>
                </c:pt>
                <c:pt idx="803">
                  <c:v>1441.8595451126184</c:v>
                </c:pt>
                <c:pt idx="804">
                  <c:v>1444.9749954961781</c:v>
                </c:pt>
                <c:pt idx="805">
                  <c:v>1448.0821993060129</c:v>
                </c:pt>
                <c:pt idx="806">
                  <c:v>1451.1811221441985</c:v>
                </c:pt>
                <c:pt idx="807">
                  <c:v>1454.271730060748</c:v>
                </c:pt>
                <c:pt idx="808">
                  <c:v>1457.3539895555334</c:v>
                </c:pt>
                <c:pt idx="809">
                  <c:v>1460.4278675801161</c:v>
                </c:pt>
                <c:pt idx="810">
                  <c:v>1463.4933315394887</c:v>
                </c:pt>
                <c:pt idx="811">
                  <c:v>1466.5503492937291</c:v>
                </c:pt>
                <c:pt idx="812">
                  <c:v>1469.5988891595662</c:v>
                </c:pt>
                <c:pt idx="813">
                  <c:v>1472.638919911861</c:v>
                </c:pt>
                <c:pt idx="814">
                  <c:v>1475.6704107850032</c:v>
                </c:pt>
                <c:pt idx="815">
                  <c:v>1478.6933314742232</c:v>
                </c:pt>
                <c:pt idx="816">
                  <c:v>1481.7076521368222</c:v>
                </c:pt>
                <c:pt idx="817">
                  <c:v>1484.71334339332</c:v>
                </c:pt>
                <c:pt idx="818">
                  <c:v>1487.7103763285238</c:v>
                </c:pt>
                <c:pt idx="819">
                  <c:v>1490.6987224925158</c:v>
                </c:pt>
                <c:pt idx="820">
                  <c:v>1493.6783539015626</c:v>
                </c:pt>
                <c:pt idx="821">
                  <c:v>1496.6492430389474</c:v>
                </c:pt>
                <c:pt idx="822">
                  <c:v>1499.6113628557252</c:v>
                </c:pt>
                <c:pt idx="823">
                  <c:v>1502.5646867714024</c:v>
                </c:pt>
                <c:pt idx="824">
                  <c:v>1505.5091886745408</c:v>
                </c:pt>
                <c:pt idx="825">
                  <c:v>1508.4448429232884</c:v>
                </c:pt>
                <c:pt idx="826">
                  <c:v>1511.3716243458362</c:v>
                </c:pt>
                <c:pt idx="827">
                  <c:v>1514.2895082408031</c:v>
                </c:pt>
                <c:pt idx="828">
                  <c:v>1517.1984703775502</c:v>
                </c:pt>
                <c:pt idx="829">
                  <c:v>1520.0984869964227</c:v>
                </c:pt>
                <c:pt idx="830">
                  <c:v>1522.9895348089231</c:v>
                </c:pt>
                <c:pt idx="831">
                  <c:v>1525.8715909978157</c:v>
                </c:pt>
                <c:pt idx="832">
                  <c:v>1528.7446332171621</c:v>
                </c:pt>
                <c:pt idx="833">
                  <c:v>1531.6086395922896</c:v>
                </c:pt>
                <c:pt idx="834">
                  <c:v>1534.4635887196939</c:v>
                </c:pt>
                <c:pt idx="835">
                  <c:v>1537.3094596668745</c:v>
                </c:pt>
                <c:pt idx="836">
                  <c:v>1540.1462319721063</c:v>
                </c:pt>
                <c:pt idx="837">
                  <c:v>1542.9738856441465</c:v>
                </c:pt>
                <c:pt idx="838">
                  <c:v>1545.7924011618786</c:v>
                </c:pt>
                <c:pt idx="839">
                  <c:v>1548.6017594738926</c:v>
                </c:pt>
                <c:pt idx="840">
                  <c:v>1551.4019419980043</c:v>
                </c:pt>
                <c:pt idx="841">
                  <c:v>1554.1929306207137</c:v>
                </c:pt>
                <c:pt idx="842">
                  <c:v>1556.9747076966019</c:v>
                </c:pt>
                <c:pt idx="843">
                  <c:v>1559.7472560476688</c:v>
                </c:pt>
                <c:pt idx="844">
                  <c:v>1562.5105589626128</c:v>
                </c:pt>
                <c:pt idx="845">
                  <c:v>1565.2646001960513</c:v>
                </c:pt>
                <c:pt idx="846">
                  <c:v>1568.0093639676843</c:v>
                </c:pt>
                <c:pt idx="847">
                  <c:v>1570.7448349614008</c:v>
                </c:pt>
                <c:pt idx="848">
                  <c:v>1573.4709983243301</c:v>
                </c:pt>
                <c:pt idx="849">
                  <c:v>1576.1878396658378</c:v>
                </c:pt>
                <c:pt idx="850">
                  <c:v>1578.895345056467</c:v>
                </c:pt>
                <c:pt idx="851">
                  <c:v>1581.5935010268256</c:v>
                </c:pt>
                <c:pt idx="852">
                  <c:v>1584.2822945664216</c:v>
                </c:pt>
                <c:pt idx="853">
                  <c:v>1586.9617131224454</c:v>
                </c:pt>
                <c:pt idx="854">
                  <c:v>1589.6317445985007</c:v>
                </c:pt>
                <c:pt idx="855">
                  <c:v>1592.292377353285</c:v>
                </c:pt>
                <c:pt idx="856">
                  <c:v>1594.9436001992194</c:v>
                </c:pt>
                <c:pt idx="857">
                  <c:v>1597.58540240103</c:v>
                </c:pt>
                <c:pt idx="858">
                  <c:v>1600.2177736742804</c:v>
                </c:pt>
                <c:pt idx="859">
                  <c:v>1602.8407041838555</c:v>
                </c:pt>
                <c:pt idx="860">
                  <c:v>1605.4541845423998</c:v>
                </c:pt>
                <c:pt idx="861">
                  <c:v>1608.0582058087082</c:v>
                </c:pt>
                <c:pt idx="862">
                  <c:v>1610.6527594860709</c:v>
                </c:pt>
                <c:pt idx="863">
                  <c:v>1613.237837520574</c:v>
                </c:pt>
                <c:pt idx="864">
                  <c:v>1615.8134322993562</c:v>
                </c:pt>
                <c:pt idx="865">
                  <c:v>1618.3795366488214</c:v>
                </c:pt>
                <c:pt idx="866">
                  <c:v>1620.9361438328081</c:v>
                </c:pt>
                <c:pt idx="867">
                  <c:v>1623.483247550718</c:v>
                </c:pt>
                <c:pt idx="868">
                  <c:v>1626.0208419356024</c:v>
                </c:pt>
                <c:pt idx="869">
                  <c:v>1628.548921552208</c:v>
                </c:pt>
                <c:pt idx="870">
                  <c:v>1631.0674813949829</c:v>
                </c:pt>
                <c:pt idx="871">
                  <c:v>1633.5765168860444</c:v>
                </c:pt>
                <c:pt idx="872">
                  <c:v>1636.0760238731064</c:v>
                </c:pt>
                <c:pt idx="873">
                  <c:v>1638.5659986273708</c:v>
                </c:pt>
                <c:pt idx="874">
                  <c:v>1641.0464378413817</c:v>
                </c:pt>
                <c:pt idx="875">
                  <c:v>1643.5173386268416</c:v>
                </c:pt>
                <c:pt idx="876">
                  <c:v>1645.9786985123944</c:v>
                </c:pt>
                <c:pt idx="877">
                  <c:v>1648.4305154413721</c:v>
                </c:pt>
                <c:pt idx="878">
                  <c:v>1650.8727877695078</c:v>
                </c:pt>
                <c:pt idx="879">
                  <c:v>1653.3055142626145</c:v>
                </c:pt>
                <c:pt idx="880">
                  <c:v>1655.7286940942327</c:v>
                </c:pt>
                <c:pt idx="881">
                  <c:v>1658.1423268432443</c:v>
                </c:pt>
                <c:pt idx="882">
                  <c:v>1660.5464124914567</c:v>
                </c:pt>
                <c:pt idx="883">
                  <c:v>1662.9409514211548</c:v>
                </c:pt>
                <c:pt idx="884">
                  <c:v>1665.325944412624</c:v>
                </c:pt>
                <c:pt idx="885">
                  <c:v>1667.7013926416444</c:v>
                </c:pt>
                <c:pt idx="886">
                  <c:v>1670.0672976769547</c:v>
                </c:pt>
                <c:pt idx="887">
                  <c:v>1672.423661477691</c:v>
                </c:pt>
                <c:pt idx="888">
                  <c:v>1674.7704863907959</c:v>
                </c:pt>
                <c:pt idx="889">
                  <c:v>1677.1077751484022</c:v>
                </c:pt>
                <c:pt idx="890">
                  <c:v>1679.4355308651914</c:v>
                </c:pt>
                <c:pt idx="891">
                  <c:v>1681.7537570357267</c:v>
                </c:pt>
                <c:pt idx="892">
                  <c:v>1684.0624575317611</c:v>
                </c:pt>
                <c:pt idx="893">
                  <c:v>1686.3616365995224</c:v>
                </c:pt>
                <c:pt idx="894">
                  <c:v>1688.6512988569759</c:v>
                </c:pt>
                <c:pt idx="895">
                  <c:v>1690.9314492910628</c:v>
                </c:pt>
                <c:pt idx="896">
                  <c:v>1693.2020932549192</c:v>
                </c:pt>
                <c:pt idx="897">
                  <c:v>1695.4632364650724</c:v>
                </c:pt>
                <c:pt idx="898">
                  <c:v>1697.7148849986181</c:v>
                </c:pt>
                <c:pt idx="899">
                  <c:v>1699.957045290377</c:v>
                </c:pt>
                <c:pt idx="900">
                  <c:v>1702.189724130033</c:v>
                </c:pt>
                <c:pt idx="901">
                  <c:v>1704.4129286592536</c:v>
                </c:pt>
                <c:pt idx="902">
                  <c:v>1706.6266663687909</c:v>
                </c:pt>
                <c:pt idx="903">
                  <c:v>1708.8309450955674</c:v>
                </c:pt>
                <c:pt idx="904">
                  <c:v>1711.0257730197445</c:v>
                </c:pt>
                <c:pt idx="905">
                  <c:v>1713.2111586617762</c:v>
                </c:pt>
                <c:pt idx="906">
                  <c:v>1715.3871108794456</c:v>
                </c:pt>
                <c:pt idx="907">
                  <c:v>1717.5536388648898</c:v>
                </c:pt>
                <c:pt idx="908">
                  <c:v>1719.7107521416087</c:v>
                </c:pt>
                <c:pt idx="909">
                  <c:v>1721.8584605614624</c:v>
                </c:pt>
                <c:pt idx="910">
                  <c:v>1723.9967743016541</c:v>
                </c:pt>
                <c:pt idx="911">
                  <c:v>1726.1257038617027</c:v>
                </c:pt>
                <c:pt idx="912">
                  <c:v>1728.2452600604038</c:v>
                </c:pt>
                <c:pt idx="913">
                  <c:v>1730.3554540327789</c:v>
                </c:pt>
                <c:pt idx="914">
                  <c:v>1732.4562972270157</c:v>
                </c:pt>
                <c:pt idx="915">
                  <c:v>1734.5478014013988</c:v>
                </c:pt>
                <c:pt idx="916">
                  <c:v>1736.6299786212303</c:v>
                </c:pt>
                <c:pt idx="917">
                  <c:v>1738.7028412557436</c:v>
                </c:pt>
                <c:pt idx="918">
                  <c:v>1740.7664019750084</c:v>
                </c:pt>
                <c:pt idx="919">
                  <c:v>1742.8206737468297</c:v>
                </c:pt>
                <c:pt idx="920">
                  <c:v>1744.8656698336381</c:v>
                </c:pt>
                <c:pt idx="921">
                  <c:v>1746.9014037893767</c:v>
                </c:pt>
                <c:pt idx="922">
                  <c:v>1748.9278894563802</c:v>
                </c:pt>
                <c:pt idx="923">
                  <c:v>1750.9451409622511</c:v>
                </c:pt>
                <c:pt idx="924">
                  <c:v>1752.9531727167305</c:v>
                </c:pt>
                <c:pt idx="925">
                  <c:v>1754.9519994085645</c:v>
                </c:pt>
                <c:pt idx="926">
                  <c:v>1756.941636002369</c:v>
                </c:pt>
                <c:pt idx="927">
                  <c:v>1758.9220977354905</c:v>
                </c:pt>
                <c:pt idx="928">
                  <c:v>1760.893400114865</c:v>
                </c:pt>
                <c:pt idx="929">
                  <c:v>1762.8555589138755</c:v>
                </c:pt>
                <c:pt idx="930">
                  <c:v>1764.8085901692084</c:v>
                </c:pt>
                <c:pt idx="931">
                  <c:v>1766.7525101777089</c:v>
                </c:pt>
                <c:pt idx="932">
                  <c:v>1768.6873354932363</c:v>
                </c:pt>
                <c:pt idx="933">
                  <c:v>1770.6130829235206</c:v>
                </c:pt>
                <c:pt idx="934">
                  <c:v>1772.5297695270178</c:v>
                </c:pt>
                <c:pt idx="935">
                  <c:v>1774.43741260977</c:v>
                </c:pt>
                <c:pt idx="936">
                  <c:v>1776.3360297222632</c:v>
                </c:pt>
                <c:pt idx="937">
                  <c:v>1778.2256386562913</c:v>
                </c:pt>
                <c:pt idx="938">
                  <c:v>1780.1062574418202</c:v>
                </c:pt>
                <c:pt idx="939">
                  <c:v>1781.9779043438564</c:v>
                </c:pt>
                <c:pt idx="940">
                  <c:v>1783.8405978593189</c:v>
                </c:pt>
                <c:pt idx="941">
                  <c:v>1785.6943567139158</c:v>
                </c:pt>
                <c:pt idx="942">
                  <c:v>1787.5391998590244</c:v>
                </c:pt>
                <c:pt idx="943">
                  <c:v>1789.3751464685777</c:v>
                </c:pt>
                <c:pt idx="944">
                  <c:v>1789.3751464685777</c:v>
                </c:pt>
                <c:pt idx="945">
                  <c:v>1789.3751464685777</c:v>
                </c:pt>
                <c:pt idx="946">
                  <c:v>1789.3751464685777</c:v>
                </c:pt>
                <c:pt idx="947">
                  <c:v>1789.3751464685777</c:v>
                </c:pt>
                <c:pt idx="948">
                  <c:v>1789.3751464685777</c:v>
                </c:pt>
                <c:pt idx="949">
                  <c:v>1789.3751464685777</c:v>
                </c:pt>
                <c:pt idx="950">
                  <c:v>1789.3751464685777</c:v>
                </c:pt>
                <c:pt idx="951">
                  <c:v>1789.3751464685777</c:v>
                </c:pt>
                <c:pt idx="952">
                  <c:v>1789.3751464685777</c:v>
                </c:pt>
                <c:pt idx="953">
                  <c:v>1789.3751464685777</c:v>
                </c:pt>
                <c:pt idx="954">
                  <c:v>1789.3751464685777</c:v>
                </c:pt>
                <c:pt idx="955">
                  <c:v>1789.3751464685777</c:v>
                </c:pt>
                <c:pt idx="956">
                  <c:v>1789.3751464685777</c:v>
                </c:pt>
                <c:pt idx="957">
                  <c:v>1789.3751464685777</c:v>
                </c:pt>
                <c:pt idx="958">
                  <c:v>1789.3751464685777</c:v>
                </c:pt>
                <c:pt idx="959">
                  <c:v>1789.3751464685777</c:v>
                </c:pt>
                <c:pt idx="960">
                  <c:v>1789.3751464685777</c:v>
                </c:pt>
                <c:pt idx="961">
                  <c:v>1789.3751464685777</c:v>
                </c:pt>
                <c:pt idx="962">
                  <c:v>1789.3751464685777</c:v>
                </c:pt>
                <c:pt idx="963">
                  <c:v>1789.3751464685777</c:v>
                </c:pt>
                <c:pt idx="964">
                  <c:v>1789.3751464685777</c:v>
                </c:pt>
                <c:pt idx="965">
                  <c:v>1789.3751464685777</c:v>
                </c:pt>
                <c:pt idx="966">
                  <c:v>1789.3751464685777</c:v>
                </c:pt>
                <c:pt idx="967">
                  <c:v>1789.3751464685777</c:v>
                </c:pt>
                <c:pt idx="968">
                  <c:v>1789.3751464685777</c:v>
                </c:pt>
                <c:pt idx="969">
                  <c:v>1789.3751464685777</c:v>
                </c:pt>
                <c:pt idx="970">
                  <c:v>1789.3751464685777</c:v>
                </c:pt>
                <c:pt idx="971">
                  <c:v>1789.3751464685777</c:v>
                </c:pt>
                <c:pt idx="972">
                  <c:v>1789.3751464685777</c:v>
                </c:pt>
                <c:pt idx="973">
                  <c:v>1789.3751464685777</c:v>
                </c:pt>
                <c:pt idx="974">
                  <c:v>1789.3751464685777</c:v>
                </c:pt>
                <c:pt idx="975">
                  <c:v>1789.3751464685777</c:v>
                </c:pt>
                <c:pt idx="976">
                  <c:v>1789.3751464685777</c:v>
                </c:pt>
                <c:pt idx="977">
                  <c:v>1789.3751464685777</c:v>
                </c:pt>
                <c:pt idx="978">
                  <c:v>1789.3751464685777</c:v>
                </c:pt>
                <c:pt idx="979">
                  <c:v>1789.3751464685777</c:v>
                </c:pt>
                <c:pt idx="980">
                  <c:v>1789.3751464685777</c:v>
                </c:pt>
                <c:pt idx="981">
                  <c:v>1789.3751464685777</c:v>
                </c:pt>
                <c:pt idx="982">
                  <c:v>1789.3751464685777</c:v>
                </c:pt>
                <c:pt idx="983">
                  <c:v>1789.3751464685777</c:v>
                </c:pt>
                <c:pt idx="984">
                  <c:v>1789.3751464685777</c:v>
                </c:pt>
                <c:pt idx="985">
                  <c:v>1789.3751464685777</c:v>
                </c:pt>
                <c:pt idx="986">
                  <c:v>1789.3751464685777</c:v>
                </c:pt>
                <c:pt idx="987">
                  <c:v>1789.3751464685777</c:v>
                </c:pt>
                <c:pt idx="988">
                  <c:v>1789.3751464685777</c:v>
                </c:pt>
                <c:pt idx="989">
                  <c:v>1789.3751464685777</c:v>
                </c:pt>
                <c:pt idx="990">
                  <c:v>1789.3751464685777</c:v>
                </c:pt>
                <c:pt idx="991">
                  <c:v>1789.3751464685777</c:v>
                </c:pt>
                <c:pt idx="992">
                  <c:v>1789.3751464685777</c:v>
                </c:pt>
                <c:pt idx="993">
                  <c:v>1789.3751464685777</c:v>
                </c:pt>
                <c:pt idx="994">
                  <c:v>1789.3751464685777</c:v>
                </c:pt>
                <c:pt idx="995">
                  <c:v>1789.3751464685777</c:v>
                </c:pt>
                <c:pt idx="996">
                  <c:v>1789.3751464685777</c:v>
                </c:pt>
                <c:pt idx="997">
                  <c:v>1789.3751464685777</c:v>
                </c:pt>
                <c:pt idx="998">
                  <c:v>1789.3751464685777</c:v>
                </c:pt>
                <c:pt idx="999">
                  <c:v>1789.3751464685777</c:v>
                </c:pt>
                <c:pt idx="1000">
                  <c:v>1789.3751464685777</c:v>
                </c:pt>
              </c:numCache>
            </c:numRef>
          </c:xVal>
          <c:yVal>
            <c:numRef>
              <c:f>Calculs!$AE$4:$AE$1004</c:f>
              <c:numCache>
                <c:formatCode>0</c:formatCode>
                <c:ptCount val="1001"/>
                <c:pt idx="0">
                  <c:v>0</c:v>
                </c:pt>
                <c:pt idx="1">
                  <c:v>4.4279572656441422E-4</c:v>
                </c:pt>
                <c:pt idx="2">
                  <c:v>2.7845659552549399E-3</c:v>
                </c:pt>
                <c:pt idx="3">
                  <c:v>8.4593506145101884E-3</c:v>
                </c:pt>
                <c:pt idx="4">
                  <c:v>1.8308779906268193E-2</c:v>
                </c:pt>
                <c:pt idx="5">
                  <c:v>3.3175168883948745E-2</c:v>
                </c:pt>
                <c:pt idx="6">
                  <c:v>5.3901621016958577E-2</c:v>
                </c:pt>
                <c:pt idx="7">
                  <c:v>8.1332131042135242E-2</c:v>
                </c:pt>
                <c:pt idx="8">
                  <c:v>0.11631168714046478</c:v>
                </c:pt>
                <c:pt idx="9">
                  <c:v>0.1596863724764486</c:v>
                </c:pt>
                <c:pt idx="10">
                  <c:v>0.21230346613657358</c:v>
                </c:pt>
                <c:pt idx="11">
                  <c:v>0.27476944495113026</c:v>
                </c:pt>
                <c:pt idx="12">
                  <c:v>0.34720740833581992</c:v>
                </c:pt>
                <c:pt idx="13">
                  <c:v>0.429496537796903</c:v>
                </c:pt>
                <c:pt idx="14">
                  <c:v>0.52151208103113078</c:v>
                </c:pt>
                <c:pt idx="15">
                  <c:v>0.62312719351328583</c:v>
                </c:pt>
                <c:pt idx="16">
                  <c:v>0.73421478414008723</c:v>
                </c:pt>
                <c:pt idx="17">
                  <c:v>0.85464751921865045</c:v>
                </c:pt>
                <c:pt idx="18">
                  <c:v>0.9842978264538047</c:v>
                </c:pt>
                <c:pt idx="19">
                  <c:v>1.1230378989337295</c:v>
                </c:pt>
                <c:pt idx="20">
                  <c:v>1.2707396991133766</c:v>
                </c:pt>
                <c:pt idx="21">
                  <c:v>1.4272749627951438</c:v>
                </c:pt>
                <c:pt idx="22">
                  <c:v>1.592515203106273</c:v>
                </c:pt>
                <c:pt idx="23">
                  <c:v>1.7663317144724466</c:v>
                </c:pt>
                <c:pt idx="24">
                  <c:v>1.9485955765870577</c:v>
                </c:pt>
                <c:pt idx="25">
                  <c:v>2.1391776583756372</c:v>
                </c:pt>
                <c:pt idx="26">
                  <c:v>2.3379486219549204</c:v>
                </c:pt>
                <c:pt idx="27">
                  <c:v>2.5448114640407384</c:v>
                </c:pt>
                <c:pt idx="28">
                  <c:v>2.7597341126961408</c:v>
                </c:pt>
                <c:pt idx="29">
                  <c:v>2.9827169737567556</c:v>
                </c:pt>
                <c:pt idx="30">
                  <c:v>3.213760419916297</c:v>
                </c:pt>
                <c:pt idx="31">
                  <c:v>3.4528647906839045</c:v>
                </c:pt>
                <c:pt idx="32">
                  <c:v>3.7000303923421236</c:v>
                </c:pt>
                <c:pt idx="33">
                  <c:v>3.9552574979055302</c:v>
                </c:pt>
                <c:pt idx="34">
                  <c:v>4.2185315499017708</c:v>
                </c:pt>
                <c:pt idx="35">
                  <c:v>4.4898374653202602</c:v>
                </c:pt>
                <c:pt idx="36">
                  <c:v>4.7691744365682753</c:v>
                </c:pt>
                <c:pt idx="37">
                  <c:v>5.0565416370551262</c:v>
                </c:pt>
                <c:pt idx="38">
                  <c:v>5.3519382274349248</c:v>
                </c:pt>
                <c:pt idx="39">
                  <c:v>5.6553633545803503</c:v>
                </c:pt>
                <c:pt idx="40">
                  <c:v>5.9668161506299482</c:v>
                </c:pt>
                <c:pt idx="41">
                  <c:v>6.2862957321018547</c:v>
                </c:pt>
                <c:pt idx="42">
                  <c:v>6.6138011990677033</c:v>
                </c:pt>
                <c:pt idx="43">
                  <c:v>6.9493316343811893</c:v>
                </c:pt>
                <c:pt idx="44">
                  <c:v>7.2928861029564178</c:v>
                </c:pt>
                <c:pt idx="45">
                  <c:v>7.6444636510916872</c:v>
                </c:pt>
                <c:pt idx="46">
                  <c:v>8.0040633058348529</c:v>
                </c:pt>
                <c:pt idx="47">
                  <c:v>8.3716840743868115</c:v>
                </c:pt>
                <c:pt idx="48">
                  <c:v>8.7473249435400202</c:v>
                </c:pt>
                <c:pt idx="49">
                  <c:v>9.1309848791492794</c:v>
                </c:pt>
                <c:pt idx="50">
                  <c:v>9.5226628256322758</c:v>
                </c:pt>
                <c:pt idx="51">
                  <c:v>9.9223577054976317</c:v>
                </c:pt>
                <c:pt idx="52">
                  <c:v>10.33006841889844</c:v>
                </c:pt>
                <c:pt idx="53">
                  <c:v>10.745793843209418</c:v>
                </c:pt>
                <c:pt idx="54">
                  <c:v>11.169532832626027</c:v>
                </c:pt>
                <c:pt idx="55">
                  <c:v>11.601284217784031</c:v>
                </c:pt>
                <c:pt idx="56">
                  <c:v>12.041046805398096</c:v>
                </c:pt>
                <c:pt idx="57">
                  <c:v>12.488819377918182</c:v>
                </c:pt>
                <c:pt idx="58">
                  <c:v>12.944600693202551</c:v>
                </c:pt>
                <c:pt idx="59">
                  <c:v>13.40838948420636</c:v>
                </c:pt>
                <c:pt idx="60">
                  <c:v>13.880184458684836</c:v>
                </c:pt>
                <c:pt idx="61">
                  <c:v>14.359984298910158</c:v>
                </c:pt>
                <c:pt idx="62">
                  <c:v>14.847787661401227</c:v>
                </c:pt>
                <c:pt idx="63">
                  <c:v>15.343593176665555</c:v>
                </c:pt>
                <c:pt idx="64">
                  <c:v>15.847399448952586</c:v>
                </c:pt>
                <c:pt idx="65">
                  <c:v>16.3592050560178</c:v>
                </c:pt>
                <c:pt idx="66">
                  <c:v>16.879008548897001</c:v>
                </c:pt>
                <c:pt idx="67">
                  <c:v>17.406808451690249</c:v>
                </c:pt>
                <c:pt idx="68">
                  <c:v>17.942603261354897</c:v>
                </c:pt>
                <c:pt idx="69">
                  <c:v>18.486391447507291</c:v>
                </c:pt>
                <c:pt idx="70">
                  <c:v>19.038171452232671</c:v>
                </c:pt>
                <c:pt idx="71">
                  <c:v>19.597941689902861</c:v>
                </c:pt>
                <c:pt idx="72">
                  <c:v>20.165700175768404</c:v>
                </c:pt>
                <c:pt idx="73">
                  <c:v>20.741444154050047</c:v>
                </c:pt>
                <c:pt idx="74">
                  <c:v>21.325170468296179</c:v>
                </c:pt>
                <c:pt idx="75">
                  <c:v>21.91687593226121</c:v>
                </c:pt>
                <c:pt idx="76">
                  <c:v>22.516557329770823</c:v>
                </c:pt>
                <c:pt idx="77">
                  <c:v>23.124211414593258</c:v>
                </c:pt>
                <c:pt idx="78">
                  <c:v>23.739834910316418</c:v>
                </c:pt>
                <c:pt idx="79">
                  <c:v>24.363424510230509</c:v>
                </c:pt>
                <c:pt idx="80">
                  <c:v>24.994976877216001</c:v>
                </c:pt>
                <c:pt idx="81">
                  <c:v>25.63448864363669</c:v>
                </c:pt>
                <c:pt idx="82">
                  <c:v>26.281956411237637</c:v>
                </c:pt>
                <c:pt idx="83">
                  <c:v>26.937376751047807</c:v>
                </c:pt>
                <c:pt idx="84">
                  <c:v>27.600746203287237</c:v>
                </c:pt>
                <c:pt idx="85">
                  <c:v>28.272061277278503</c:v>
                </c:pt>
                <c:pt idx="86">
                  <c:v>28.951318451362411</c:v>
                </c:pt>
                <c:pt idx="87">
                  <c:v>29.638514172817686</c:v>
                </c:pt>
                <c:pt idx="88">
                  <c:v>30.333644857784545</c:v>
                </c:pt>
                <c:pt idx="89">
                  <c:v>31.036706891192008</c:v>
                </c:pt>
                <c:pt idx="90">
                  <c:v>31.747696626688839</c:v>
                </c:pt>
                <c:pt idx="91">
                  <c:v>32.466610386577962</c:v>
                </c:pt>
                <c:pt idx="92">
                  <c:v>33.193444461754254</c:v>
                </c:pt>
                <c:pt idx="93">
                  <c:v>33.928195111645628</c:v>
                </c:pt>
                <c:pt idx="94">
                  <c:v>34.670858564157228</c:v>
                </c:pt>
                <c:pt idx="95">
                  <c:v>35.42143101561873</c:v>
                </c:pt>
                <c:pt idx="96">
                  <c:v>36.179908630734609</c:v>
                </c:pt>
                <c:pt idx="97">
                  <c:v>36.946287542537256</c:v>
                </c:pt>
                <c:pt idx="98">
                  <c:v>37.72056385234292</c:v>
                </c:pt>
                <c:pt idx="99">
                  <c:v>38.502733629710349</c:v>
                </c:pt>
                <c:pt idx="100">
                  <c:v>39.292792912402064</c:v>
                </c:pt>
                <c:pt idx="101">
                  <c:v>40.090737706348229</c:v>
                </c:pt>
                <c:pt idx="102">
                  <c:v>40.896563985612978</c:v>
                </c:pt>
                <c:pt idx="103">
                  <c:v>41.710267692363189</c:v>
                </c:pt>
                <c:pt idx="104">
                  <c:v>42.531844736839631</c:v>
                </c:pt>
                <c:pt idx="105">
                  <c:v>43.361290997330386</c:v>
                </c:pt>
                <c:pt idx="106">
                  <c:v>44.198602320146563</c:v>
                </c:pt>
                <c:pt idx="107">
                  <c:v>45.043774519600177</c:v>
                </c:pt>
                <c:pt idx="108">
                  <c:v>45.896803377984163</c:v>
                </c:pt>
                <c:pt idx="109">
                  <c:v>46.757684645554498</c:v>
                </c:pt>
                <c:pt idx="110">
                  <c:v>47.626414040514348</c:v>
                </c:pt>
                <c:pt idx="111">
                  <c:v>48.502987249000228</c:v>
                </c:pt>
                <c:pt idx="112">
                  <c:v>49.387399925070085</c:v>
                </c:pt>
                <c:pt idx="113">
                  <c:v>50.279647690693338</c:v>
                </c:pt>
                <c:pt idx="114">
                  <c:v>51.179726135742719</c:v>
                </c:pt>
                <c:pt idx="115">
                  <c:v>52.087630817988</c:v>
                </c:pt>
                <c:pt idx="116">
                  <c:v>53.003357263091495</c:v>
                </c:pt>
                <c:pt idx="117">
                  <c:v>53.926900964605295</c:v>
                </c:pt>
                <c:pt idx="118">
                  <c:v>54.858257383970262</c:v>
                </c:pt>
                <c:pt idx="119">
                  <c:v>55.797421950516672</c:v>
                </c:pt>
                <c:pt idx="120">
                  <c:v>56.74439006146654</c:v>
                </c:pt>
                <c:pt idx="121">
                  <c:v>57.699157081937571</c:v>
                </c:pt>
                <c:pt idx="122">
                  <c:v>58.661718344948689</c:v>
                </c:pt>
                <c:pt idx="123">
                  <c:v>59.632069151427139</c:v>
                </c:pt>
                <c:pt idx="124">
                  <c:v>60.610204770217138</c:v>
                </c:pt>
                <c:pt idx="125">
                  <c:v>61.596120438090033</c:v>
                </c:pt>
                <c:pt idx="126">
                  <c:v>62.589811359755934</c:v>
                </c:pt>
                <c:pt idx="127">
                  <c:v>63.591272707876847</c:v>
                </c:pt>
                <c:pt idx="128">
                  <c:v>64.600499623081177</c:v>
                </c:pt>
                <c:pt idx="129">
                  <c:v>65.617485503560786</c:v>
                </c:pt>
                <c:pt idx="130">
                  <c:v>66.642220292654955</c:v>
                </c:pt>
                <c:pt idx="131">
                  <c:v>67.674692186725679</c:v>
                </c:pt>
                <c:pt idx="132">
                  <c:v>68.714889345092374</c:v>
                </c:pt>
                <c:pt idx="133">
                  <c:v>69.762799890141025</c:v>
                </c:pt>
                <c:pt idx="134">
                  <c:v>70.818411907434822</c:v>
                </c:pt>
                <c:pt idx="135">
                  <c:v>71.881713445826264</c:v>
                </c:pt>
                <c:pt idx="136">
                  <c:v>72.952692517570782</c:v>
                </c:pt>
                <c:pt idx="137">
                  <c:v>74.031337098441824</c:v>
                </c:pt>
                <c:pt idx="138">
                  <c:v>75.117635127847279</c:v>
                </c:pt>
                <c:pt idx="139">
                  <c:v>76.211574508947365</c:v>
                </c:pt>
                <c:pt idx="140">
                  <c:v>77.313143108773858</c:v>
                </c:pt>
                <c:pt idx="141">
                  <c:v>78.422328758350659</c:v>
                </c:pt>
                <c:pt idx="142">
                  <c:v>79.539119252815667</c:v>
                </c:pt>
                <c:pt idx="143">
                  <c:v>80.663502351543983</c:v>
                </c:pt>
                <c:pt idx="144">
                  <c:v>81.795465778272359</c:v>
                </c:pt>
                <c:pt idx="145">
                  <c:v>82.934997221224876</c:v>
                </c:pt>
                <c:pt idx="146">
                  <c:v>84.082084333239891</c:v>
                </c:pt>
                <c:pt idx="147">
                  <c:v>85.236714731898161</c:v>
                </c:pt>
                <c:pt idx="148">
                  <c:v>86.398875999652148</c:v>
                </c:pt>
                <c:pt idx="149">
                  <c:v>87.568555683956518</c:v>
                </c:pt>
                <c:pt idx="150">
                  <c:v>88.745741297399718</c:v>
                </c:pt>
                <c:pt idx="151">
                  <c:v>89.930420317836763</c:v>
                </c:pt>
                <c:pt idx="152">
                  <c:v>91.12258018852306</c:v>
                </c:pt>
                <c:pt idx="153">
                  <c:v>92.322208318249324</c:v>
                </c:pt>
                <c:pt idx="154">
                  <c:v>93.529292081477607</c:v>
                </c:pt>
                <c:pt idx="155">
                  <c:v>94.743818818478303</c:v>
                </c:pt>
                <c:pt idx="156">
                  <c:v>95.965775835468264</c:v>
                </c:pt>
                <c:pt idx="157">
                  <c:v>97.195150404749867</c:v>
                </c:pt>
                <c:pt idx="158">
                  <c:v>98.431929764851077</c:v>
                </c:pt>
                <c:pt idx="159">
                  <c:v>99.676101120666544</c:v>
                </c:pt>
                <c:pt idx="160">
                  <c:v>100.92765164359959</c:v>
                </c:pt>
                <c:pt idx="161">
                  <c:v>102.18656847170519</c:v>
                </c:pt>
                <c:pt idx="162">
                  <c:v>103.45283870983388</c:v>
                </c:pt>
                <c:pt idx="163">
                  <c:v>104.72644942977657</c:v>
                </c:pt>
                <c:pt idx="164">
                  <c:v>106.0073876704102</c:v>
                </c:pt>
                <c:pt idx="165">
                  <c:v>107.2956404378444</c:v>
                </c:pt>
                <c:pt idx="166">
                  <c:v>108.5911947055689</c:v>
                </c:pt>
                <c:pt idx="167">
                  <c:v>109.89403741460185</c:v>
                </c:pt>
                <c:pt idx="168">
                  <c:v>111.20415547363901</c:v>
                </c:pt>
                <c:pt idx="169">
                  <c:v>112.5215357592036</c:v>
                </c:pt>
                <c:pt idx="170">
                  <c:v>113.84616511579723</c:v>
                </c:pt>
                <c:pt idx="171">
                  <c:v>115.17803035605138</c:v>
                </c:pt>
                <c:pt idx="172">
                  <c:v>116.51711826087977</c:v>
                </c:pt>
                <c:pt idx="173">
                  <c:v>117.86341557963149</c:v>
                </c:pt>
                <c:pt idx="174">
                  <c:v>119.21690903024488</c:v>
                </c:pt>
                <c:pt idx="175">
                  <c:v>120.57758529940213</c:v>
                </c:pt>
                <c:pt idx="176">
                  <c:v>121.94543104268463</c:v>
                </c:pt>
                <c:pt idx="177">
                  <c:v>123.32043288472903</c:v>
                </c:pt>
                <c:pt idx="178">
                  <c:v>124.70257741938399</c:v>
                </c:pt>
                <c:pt idx="179">
                  <c:v>126.09185120986761</c:v>
                </c:pt>
                <c:pt idx="180">
                  <c:v>127.48824078892561</c:v>
                </c:pt>
                <c:pt idx="181">
                  <c:v>128.89173265899001</c:v>
                </c:pt>
                <c:pt idx="182">
                  <c:v>130.30231329233868</c:v>
                </c:pt>
                <c:pt idx="183">
                  <c:v>131.71996913125531</c:v>
                </c:pt>
                <c:pt idx="184">
                  <c:v>133.14468658819018</c:v>
                </c:pt>
                <c:pt idx="185">
                  <c:v>134.5764520459214</c:v>
                </c:pt>
                <c:pt idx="186">
                  <c:v>136.01525185771692</c:v>
                </c:pt>
                <c:pt idx="187">
                  <c:v>137.46107234749695</c:v>
                </c:pt>
                <c:pt idx="188">
                  <c:v>138.91389980999708</c:v>
                </c:pt>
                <c:pt idx="189">
                  <c:v>140.37372051093192</c:v>
                </c:pt>
                <c:pt idx="190">
                  <c:v>141.84052068715931</c:v>
                </c:pt>
                <c:pt idx="191">
                  <c:v>143.3142865468451</c:v>
                </c:pt>
                <c:pt idx="192">
                  <c:v>144.79500426962835</c:v>
                </c:pt>
                <c:pt idx="193">
                  <c:v>146.28266000678727</c:v>
                </c:pt>
                <c:pt idx="194">
                  <c:v>147.77723988140539</c:v>
                </c:pt>
                <c:pt idx="195">
                  <c:v>149.27872998853849</c:v>
                </c:pt>
                <c:pt idx="196">
                  <c:v>150.78711639538182</c:v>
                </c:pt>
                <c:pt idx="197">
                  <c:v>152.30238514143795</c:v>
                </c:pt>
                <c:pt idx="198">
                  <c:v>153.82452223868503</c:v>
                </c:pt>
                <c:pt idx="199">
                  <c:v>155.35351367174545</c:v>
                </c:pt>
                <c:pt idx="200">
                  <c:v>156.88934539805496</c:v>
                </c:pt>
                <c:pt idx="201">
                  <c:v>158.43200334803237</c:v>
                </c:pt>
                <c:pt idx="202">
                  <c:v>159.9814734252495</c:v>
                </c:pt>
                <c:pt idx="203">
                  <c:v>161.53774150660163</c:v>
                </c:pt>
                <c:pt idx="204">
                  <c:v>163.10079344247833</c:v>
                </c:pt>
                <c:pt idx="205">
                  <c:v>164.67061505693471</c:v>
                </c:pt>
                <c:pt idx="206">
                  <c:v>166.24719173060396</c:v>
                </c:pt>
                <c:pt idx="207">
                  <c:v>167.83050798329563</c:v>
                </c:pt>
                <c:pt idx="208">
                  <c:v>169.42054789113925</c:v>
                </c:pt>
                <c:pt idx="209">
                  <c:v>171.01729550405503</c:v>
                </c:pt>
                <c:pt idx="210">
                  <c:v>172.62073484595024</c:v>
                </c:pt>
                <c:pt idx="211">
                  <c:v>174.23084991491604</c:v>
                </c:pt>
                <c:pt idx="212">
                  <c:v>175.84762468342444</c:v>
                </c:pt>
                <c:pt idx="213">
                  <c:v>177.47104309852568</c:v>
                </c:pt>
                <c:pt idx="214">
                  <c:v>179.10108908204572</c:v>
                </c:pt>
                <c:pt idx="215">
                  <c:v>180.73774653078399</c:v>
                </c:pt>
                <c:pt idx="216">
                  <c:v>182.38099931671158</c:v>
                </c:pt>
                <c:pt idx="217">
                  <c:v>184.03083128716938</c:v>
                </c:pt>
                <c:pt idx="218">
                  <c:v>185.68722626506656</c:v>
                </c:pt>
                <c:pt idx="219">
                  <c:v>187.35016804907931</c:v>
                </c:pt>
                <c:pt idx="220">
                  <c:v>189.01964041384969</c:v>
                </c:pt>
                <c:pt idx="221">
                  <c:v>190.69562711018463</c:v>
                </c:pt>
                <c:pt idx="222">
                  <c:v>192.37811186525525</c:v>
                </c:pt>
                <c:pt idx="223">
                  <c:v>194.06707838279615</c:v>
                </c:pt>
                <c:pt idx="224">
                  <c:v>195.76251034330505</c:v>
                </c:pt>
                <c:pt idx="225">
                  <c:v>197.46439140424241</c:v>
                </c:pt>
                <c:pt idx="226">
                  <c:v>199.17270520023123</c:v>
                </c:pt>
                <c:pt idx="227">
                  <c:v>200.8874353432571</c:v>
                </c:pt>
                <c:pt idx="228">
                  <c:v>202.60856542286811</c:v>
                </c:pt>
                <c:pt idx="229">
                  <c:v>204.33607900637509</c:v>
                </c:pt>
                <c:pt idx="230">
                  <c:v>206.0699596390518</c:v>
                </c:pt>
                <c:pt idx="231">
                  <c:v>207.81019084433535</c:v>
                </c:pt>
                <c:pt idx="232">
                  <c:v>209.55675612402646</c:v>
                </c:pt>
                <c:pt idx="233">
                  <c:v>211.30963895849001</c:v>
                </c:pt>
                <c:pt idx="234">
                  <c:v>213.06882280685559</c:v>
                </c:pt>
                <c:pt idx="235">
                  <c:v>214.83429110721798</c:v>
                </c:pt>
                <c:pt idx="236">
                  <c:v>216.60602727683781</c:v>
                </c:pt>
                <c:pt idx="237">
                  <c:v>218.38401471234209</c:v>
                </c:pt>
                <c:pt idx="238">
                  <c:v>220.168236789925</c:v>
                </c:pt>
                <c:pt idx="239">
                  <c:v>221.9586768655484</c:v>
                </c:pt>
                <c:pt idx="240">
                  <c:v>223.75531827514251</c:v>
                </c:pt>
                <c:pt idx="241">
                  <c:v>225.55814433480657</c:v>
                </c:pt>
                <c:pt idx="242">
                  <c:v>227.36713689740657</c:v>
                </c:pt>
                <c:pt idx="243">
                  <c:v>229.18227490839107</c:v>
                </c:pt>
                <c:pt idx="244">
                  <c:v>231.00353584916806</c:v>
                </c:pt>
                <c:pt idx="245">
                  <c:v>232.83089718130574</c:v>
                </c:pt>
                <c:pt idx="246">
                  <c:v>234.66433634681687</c:v>
                </c:pt>
                <c:pt idx="247">
                  <c:v>236.50383076844264</c:v>
                </c:pt>
                <c:pt idx="248">
                  <c:v>238.34935784993638</c:v>
                </c:pt>
                <c:pt idx="249">
                  <c:v>240.2008949763466</c:v>
                </c:pt>
                <c:pt idx="250">
                  <c:v>242.0584195142998</c:v>
                </c:pt>
                <c:pt idx="251">
                  <c:v>243.92190881228277</c:v>
                </c:pt>
                <c:pt idx="252">
                  <c:v>245.79134020092451</c:v>
                </c:pt>
                <c:pt idx="253">
                  <c:v>247.66669099327771</c:v>
                </c:pt>
                <c:pt idx="254">
                  <c:v>249.54793848509965</c:v>
                </c:pt>
                <c:pt idx="255">
                  <c:v>251.4350599551328</c:v>
                </c:pt>
                <c:pt idx="256">
                  <c:v>253.32803266538477</c:v>
                </c:pt>
                <c:pt idx="257">
                  <c:v>255.2268338614079</c:v>
                </c:pt>
                <c:pt idx="258">
                  <c:v>257.13144077257829</c:v>
                </c:pt>
                <c:pt idx="259">
                  <c:v>259.04183061237421</c:v>
                </c:pt>
                <c:pt idx="260">
                  <c:v>260.9579805786542</c:v>
                </c:pt>
                <c:pt idx="261">
                  <c:v>262.8798678539344</c:v>
                </c:pt>
                <c:pt idx="262">
                  <c:v>264.80746960566546</c:v>
                </c:pt>
                <c:pt idx="263">
                  <c:v>266.74076298650891</c:v>
                </c:pt>
                <c:pt idx="264">
                  <c:v>268.67972513461274</c:v>
                </c:pt>
                <c:pt idx="265">
                  <c:v>270.62433317388667</c:v>
                </c:pt>
                <c:pt idx="266">
                  <c:v>272.57456421427668</c:v>
                </c:pt>
                <c:pt idx="267">
                  <c:v>274.53039535203885</c:v>
                </c:pt>
                <c:pt idx="268">
                  <c:v>276.49180367001287</c:v>
                </c:pt>
                <c:pt idx="269">
                  <c:v>278.45876623789445</c:v>
                </c:pt>
                <c:pt idx="270">
                  <c:v>280.43126011250763</c:v>
                </c:pt>
                <c:pt idx="271">
                  <c:v>282.40926233807602</c:v>
                </c:pt>
                <c:pt idx="272">
                  <c:v>284.3927499464935</c:v>
                </c:pt>
                <c:pt idx="273">
                  <c:v>286.38169995759444</c:v>
                </c:pt>
                <c:pt idx="274">
                  <c:v>288.37608937942298</c:v>
                </c:pt>
                <c:pt idx="275">
                  <c:v>290.37589520850162</c:v>
                </c:pt>
                <c:pt idx="276">
                  <c:v>292.38109443009938</c:v>
                </c:pt>
                <c:pt idx="277">
                  <c:v>294.39166401849894</c:v>
                </c:pt>
                <c:pt idx="278">
                  <c:v>296.40758093726328</c:v>
                </c:pt>
                <c:pt idx="279">
                  <c:v>298.42882213950139</c:v>
                </c:pt>
                <c:pt idx="280">
                  <c:v>300.45536456813352</c:v>
                </c:pt>
                <c:pt idx="281">
                  <c:v>302.48718515615536</c:v>
                </c:pt>
                <c:pt idx="282">
                  <c:v>304.52426082690164</c:v>
                </c:pt>
                <c:pt idx="283">
                  <c:v>306.56656849430897</c:v>
                </c:pt>
                <c:pt idx="284">
                  <c:v>308.61408675959296</c:v>
                </c:pt>
                <c:pt idx="285">
                  <c:v>310.6667976083549</c:v>
                </c:pt>
                <c:pt idx="286">
                  <c:v>312.72468471406745</c:v>
                </c:pt>
                <c:pt idx="287">
                  <c:v>314.78773174108568</c:v>
                </c:pt>
                <c:pt idx="288">
                  <c:v>316.85592234481788</c:v>
                </c:pt>
                <c:pt idx="289">
                  <c:v>318.92924017189574</c:v>
                </c:pt>
                <c:pt idx="290">
                  <c:v>321.00766886034449</c:v>
                </c:pt>
                <c:pt idx="291">
                  <c:v>323.09119203975251</c:v>
                </c:pt>
                <c:pt idx="292">
                  <c:v>325.17979333144058</c:v>
                </c:pt>
                <c:pt idx="293">
                  <c:v>327.2734563486307</c:v>
                </c:pt>
                <c:pt idx="294">
                  <c:v>329.37216469661479</c:v>
                </c:pt>
                <c:pt idx="295">
                  <c:v>331.47590197292254</c:v>
                </c:pt>
                <c:pt idx="296">
                  <c:v>333.58465176748928</c:v>
                </c:pt>
                <c:pt idx="297">
                  <c:v>335.69839766282314</c:v>
                </c:pt>
                <c:pt idx="298">
                  <c:v>337.81712323417213</c:v>
                </c:pt>
                <c:pt idx="299">
                  <c:v>339.94081204969046</c:v>
                </c:pt>
                <c:pt idx="300">
                  <c:v>342.06944767060475</c:v>
                </c:pt>
                <c:pt idx="301">
                  <c:v>344.20301365137954</c:v>
                </c:pt>
                <c:pt idx="302">
                  <c:v>346.34149353988255</c:v>
                </c:pt>
                <c:pt idx="303">
                  <c:v>348.48487087754961</c:v>
                </c:pt>
                <c:pt idx="304">
                  <c:v>350.63312919954882</c:v>
                </c:pt>
                <c:pt idx="305">
                  <c:v>352.7862520349446</c:v>
                </c:pt>
                <c:pt idx="306">
                  <c:v>354.94422290686106</c:v>
                </c:pt>
                <c:pt idx="307">
                  <c:v>357.10702533264521</c:v>
                </c:pt>
                <c:pt idx="308">
                  <c:v>359.27464282402934</c:v>
                </c:pt>
                <c:pt idx="309">
                  <c:v>361.44705888729322</c:v>
                </c:pt>
                <c:pt idx="310">
                  <c:v>363.62425702342574</c:v>
                </c:pt>
                <c:pt idx="311">
                  <c:v>365.80622072828618</c:v>
                </c:pt>
                <c:pt idx="312">
                  <c:v>367.99293349276485</c:v>
                </c:pt>
                <c:pt idx="313">
                  <c:v>370.18437880294334</c:v>
                </c:pt>
                <c:pt idx="314">
                  <c:v>372.38054014025431</c:v>
                </c:pt>
                <c:pt idx="315">
                  <c:v>374.5814009816408</c:v>
                </c:pt>
                <c:pt idx="316">
                  <c:v>376.78694479971506</c:v>
                </c:pt>
                <c:pt idx="317">
                  <c:v>378.99715506291682</c:v>
                </c:pt>
                <c:pt idx="318">
                  <c:v>381.212015235671</c:v>
                </c:pt>
                <c:pt idx="319">
                  <c:v>383.43150877854532</c:v>
                </c:pt>
                <c:pt idx="320">
                  <c:v>385.65561914840691</c:v>
                </c:pt>
                <c:pt idx="321">
                  <c:v>387.88432979857862</c:v>
                </c:pt>
                <c:pt idx="322">
                  <c:v>390.1176241789949</c:v>
                </c:pt>
                <c:pt idx="323">
                  <c:v>392.35548573635714</c:v>
                </c:pt>
                <c:pt idx="324">
                  <c:v>394.59789791428835</c:v>
                </c:pt>
                <c:pt idx="325">
                  <c:v>396.84484415348749</c:v>
                </c:pt>
                <c:pt idx="326">
                  <c:v>399.09630799617696</c:v>
                </c:pt>
                <c:pt idx="327">
                  <c:v>401.35227319055349</c:v>
                </c:pt>
                <c:pt idx="328">
                  <c:v>403.61272358658442</c:v>
                </c:pt>
                <c:pt idx="329">
                  <c:v>405.87764303179728</c:v>
                </c:pt>
                <c:pt idx="330">
                  <c:v>408.14701537142707</c:v>
                </c:pt>
                <c:pt idx="331">
                  <c:v>410.42082444856277</c:v>
                </c:pt>
                <c:pt idx="332">
                  <c:v>412.69905410429345</c:v>
                </c:pt>
                <c:pt idx="333">
                  <c:v>414.98168817785404</c:v>
                </c:pt>
                <c:pt idx="334">
                  <c:v>417.26871050677016</c:v>
                </c:pt>
                <c:pt idx="335">
                  <c:v>419.56010492700295</c:v>
                </c:pt>
                <c:pt idx="336">
                  <c:v>421.8558552730928</c:v>
                </c:pt>
                <c:pt idx="337">
                  <c:v>424.15594537830304</c:v>
                </c:pt>
                <c:pt idx="338">
                  <c:v>426.46035907476289</c:v>
                </c:pt>
                <c:pt idx="339">
                  <c:v>428.76908019360974</c:v>
                </c:pt>
                <c:pt idx="340">
                  <c:v>431.08209256513118</c:v>
                </c:pt>
                <c:pt idx="341">
                  <c:v>433.39938001890624</c:v>
                </c:pt>
                <c:pt idx="342">
                  <c:v>435.72092638394628</c:v>
                </c:pt>
                <c:pt idx="343">
                  <c:v>438.04671548883516</c:v>
                </c:pt>
                <c:pt idx="344">
                  <c:v>440.37673116186897</c:v>
                </c:pt>
                <c:pt idx="345">
                  <c:v>442.71095723119515</c:v>
                </c:pt>
                <c:pt idx="346">
                  <c:v>445.04937752495101</c:v>
                </c:pt>
                <c:pt idx="347">
                  <c:v>447.39197587140194</c:v>
                </c:pt>
                <c:pt idx="348">
                  <c:v>449.73873609907872</c:v>
                </c:pt>
                <c:pt idx="349">
                  <c:v>452.08964203691443</c:v>
                </c:pt>
                <c:pt idx="350">
                  <c:v>454.44467751438094</c:v>
                </c:pt>
                <c:pt idx="351">
                  <c:v>456.80382636162449</c:v>
                </c:pt>
                <c:pt idx="352">
                  <c:v>459.16707240960096</c:v>
                </c:pt>
                <c:pt idx="353">
                  <c:v>461.53439949021055</c:v>
                </c:pt>
                <c:pt idx="354">
                  <c:v>463.9057914364318</c:v>
                </c:pt>
                <c:pt idx="355">
                  <c:v>466.28123208245512</c:v>
                </c:pt>
                <c:pt idx="356">
                  <c:v>468.66070526381549</c:v>
                </c:pt>
                <c:pt idx="357">
                  <c:v>471.04419481752507</c:v>
                </c:pt>
                <c:pt idx="358">
                  <c:v>473.4316845822047</c:v>
                </c:pt>
                <c:pt idx="359">
                  <c:v>475.82315839821513</c:v>
                </c:pt>
                <c:pt idx="360">
                  <c:v>478.21860010778767</c:v>
                </c:pt>
                <c:pt idx="361">
                  <c:v>480.61799355515399</c:v>
                </c:pt>
                <c:pt idx="362">
                  <c:v>483.02132258667564</c:v>
                </c:pt>
                <c:pt idx="363">
                  <c:v>485.42857105097283</c:v>
                </c:pt>
                <c:pt idx="364">
                  <c:v>487.83972279905254</c:v>
                </c:pt>
                <c:pt idx="365">
                  <c:v>490.25476168443623</c:v>
                </c:pt>
                <c:pt idx="366">
                  <c:v>492.67367420887518</c:v>
                </c:pt>
                <c:pt idx="367">
                  <c:v>495.09645216765875</c:v>
                </c:pt>
                <c:pt idx="368">
                  <c:v>497.52309000166952</c:v>
                </c:pt>
                <c:pt idx="369">
                  <c:v>499.95358214980331</c:v>
                </c:pt>
                <c:pt idx="370">
                  <c:v>502.38792304901108</c:v>
                </c:pt>
                <c:pt idx="371">
                  <c:v>504.82610713434059</c:v>
                </c:pt>
                <c:pt idx="372">
                  <c:v>507.26812883897844</c:v>
                </c:pt>
                <c:pt idx="373">
                  <c:v>509.71398259429139</c:v>
                </c:pt>
                <c:pt idx="374">
                  <c:v>512.16366282986826</c:v>
                </c:pt>
                <c:pt idx="375">
                  <c:v>514.61716397356111</c:v>
                </c:pt>
                <c:pt idx="376">
                  <c:v>517.07448045152682</c:v>
                </c:pt>
                <c:pt idx="377">
                  <c:v>519.53560668826844</c:v>
                </c:pt>
                <c:pt idx="378">
                  <c:v>522.00053710667646</c:v>
                </c:pt>
                <c:pt idx="379">
                  <c:v>524.46926612806988</c:v>
                </c:pt>
                <c:pt idx="380">
                  <c:v>526.94178817223735</c:v>
                </c:pt>
                <c:pt idx="381">
                  <c:v>529.41809480143672</c:v>
                </c:pt>
                <c:pt idx="382">
                  <c:v>531.89817186494156</c:v>
                </c:pt>
                <c:pt idx="383">
                  <c:v>534.38200235801844</c:v>
                </c:pt>
                <c:pt idx="384">
                  <c:v>536.86956928040161</c:v>
                </c:pt>
                <c:pt idx="385">
                  <c:v>539.36085563642223</c:v>
                </c:pt>
                <c:pt idx="386">
                  <c:v>541.85584443513699</c:v>
                </c:pt>
                <c:pt idx="387">
                  <c:v>544.35451869045528</c:v>
                </c:pt>
                <c:pt idx="388">
                  <c:v>546.85686142126667</c:v>
                </c:pt>
                <c:pt idx="389">
                  <c:v>549.36285565156709</c:v>
                </c:pt>
                <c:pt idx="390">
                  <c:v>551.87248441058443</c:v>
                </c:pt>
                <c:pt idx="391">
                  <c:v>554.38573073290354</c:v>
                </c:pt>
                <c:pt idx="392">
                  <c:v>556.9025776585903</c:v>
                </c:pt>
                <c:pt idx="393">
                  <c:v>559.42300823331561</c:v>
                </c:pt>
                <c:pt idx="394">
                  <c:v>561.94700550847767</c:v>
                </c:pt>
                <c:pt idx="395">
                  <c:v>564.47455254132467</c:v>
                </c:pt>
                <c:pt idx="396">
                  <c:v>567.00563239507608</c:v>
                </c:pt>
                <c:pt idx="397">
                  <c:v>569.54022813904328</c:v>
                </c:pt>
                <c:pt idx="398">
                  <c:v>572.07832284874985</c:v>
                </c:pt>
                <c:pt idx="399">
                  <c:v>574.61989960605081</c:v>
                </c:pt>
                <c:pt idx="400">
                  <c:v>577.16494149925143</c:v>
                </c:pt>
                <c:pt idx="401">
                  <c:v>579.7134293809554</c:v>
                </c:pt>
                <c:pt idx="402">
                  <c:v>582.26533962656458</c:v>
                </c:pt>
                <c:pt idx="403">
                  <c:v>584.82064637933536</c:v>
                </c:pt>
                <c:pt idx="404">
                  <c:v>587.37932379482743</c:v>
                </c:pt>
                <c:pt idx="405">
                  <c:v>589.94134604110957</c:v>
                </c:pt>
                <c:pt idx="406">
                  <c:v>592.50668729896449</c:v>
                </c:pt>
                <c:pt idx="407">
                  <c:v>595.07532176209168</c:v>
                </c:pt>
                <c:pt idx="408">
                  <c:v>597.64722363730891</c:v>
                </c:pt>
                <c:pt idx="409">
                  <c:v>600.2223671447523</c:v>
                </c:pt>
                <c:pt idx="410">
                  <c:v>602.80072651807461</c:v>
                </c:pt>
                <c:pt idx="411">
                  <c:v>605.38226362786168</c:v>
                </c:pt>
                <c:pt idx="412">
                  <c:v>607.96691560961267</c:v>
                </c:pt>
                <c:pt idx="413">
                  <c:v>610.55460725718456</c:v>
                </c:pt>
                <c:pt idx="414">
                  <c:v>613.14526341212638</c:v>
                </c:pt>
                <c:pt idx="415">
                  <c:v>615.73880896478317</c:v>
                </c:pt>
                <c:pt idx="416">
                  <c:v>618.33516885538825</c:v>
                </c:pt>
                <c:pt idx="417">
                  <c:v>620.93426807514436</c:v>
                </c:pt>
                <c:pt idx="418">
                  <c:v>623.53603166729283</c:v>
                </c:pt>
                <c:pt idx="419">
                  <c:v>626.14038472817185</c:v>
                </c:pt>
                <c:pt idx="420">
                  <c:v>628.74724537442728</c:v>
                </c:pt>
                <c:pt idx="421">
                  <c:v>631.35651771397045</c:v>
                </c:pt>
                <c:pt idx="422">
                  <c:v>633.96809889210795</c:v>
                </c:pt>
                <c:pt idx="423">
                  <c:v>636.58188613430775</c:v>
                </c:pt>
                <c:pt idx="424">
                  <c:v>639.19777674801162</c:v>
                </c:pt>
                <c:pt idx="425">
                  <c:v>641.8156681244252</c:v>
                </c:pt>
                <c:pt idx="426">
                  <c:v>644.43545774028735</c:v>
                </c:pt>
                <c:pt idx="427">
                  <c:v>647.05704315961793</c:v>
                </c:pt>
                <c:pt idx="428">
                  <c:v>649.68032203544362</c:v>
                </c:pt>
                <c:pt idx="429">
                  <c:v>652.30519211150329</c:v>
                </c:pt>
                <c:pt idx="430">
                  <c:v>654.93155122393091</c:v>
                </c:pt>
                <c:pt idx="431">
                  <c:v>657.5592973029178</c:v>
                </c:pt>
                <c:pt idx="432">
                  <c:v>660.18831705355319</c:v>
                </c:pt>
                <c:pt idx="433">
                  <c:v>662.81847464582984</c:v>
                </c:pt>
                <c:pt idx="434">
                  <c:v>665.44962306010348</c:v>
                </c:pt>
                <c:pt idx="435">
                  <c:v>668.08161542419873</c:v>
                </c:pt>
                <c:pt idx="436">
                  <c:v>670.71430501665748</c:v>
                </c:pt>
                <c:pt idx="437">
                  <c:v>673.34754526994288</c:v>
                </c:pt>
                <c:pt idx="438">
                  <c:v>675.98118977359934</c:v>
                </c:pt>
                <c:pt idx="439">
                  <c:v>678.6150922773669</c:v>
                </c:pt>
                <c:pt idx="440">
                  <c:v>681.24910669425208</c:v>
                </c:pt>
                <c:pt idx="441">
                  <c:v>683.88308710355341</c:v>
                </c:pt>
                <c:pt idx="442">
                  <c:v>686.51689462337754</c:v>
                </c:pt>
                <c:pt idx="443">
                  <c:v>689.15040427543317</c:v>
                </c:pt>
                <c:pt idx="444">
                  <c:v>691.78349810123439</c:v>
                </c:pt>
                <c:pt idx="445">
                  <c:v>694.41605828542538</c:v>
                </c:pt>
                <c:pt idx="446">
                  <c:v>697.04796715756731</c:v>
                </c:pt>
                <c:pt idx="447">
                  <c:v>699.67910719389579</c:v>
                </c:pt>
                <c:pt idx="448">
                  <c:v>702.30936101904945</c:v>
                </c:pt>
                <c:pt idx="449">
                  <c:v>704.93861140777028</c:v>
                </c:pt>
                <c:pt idx="450">
                  <c:v>707.56674128657414</c:v>
                </c:pt>
                <c:pt idx="451">
                  <c:v>710.19363373539363</c:v>
                </c:pt>
                <c:pt idx="452">
                  <c:v>712.81917198919189</c:v>
                </c:pt>
                <c:pt idx="453">
                  <c:v>715.44324926883144</c:v>
                </c:pt>
                <c:pt idx="454">
                  <c:v>718.06577859851507</c:v>
                </c:pt>
                <c:pt idx="455">
                  <c:v>720.68668295008877</c:v>
                </c:pt>
                <c:pt idx="456">
                  <c:v>723.30588540023746</c:v>
                </c:pt>
                <c:pt idx="457">
                  <c:v>725.92330913100648</c:v>
                </c:pt>
                <c:pt idx="458">
                  <c:v>728.53887743031214</c:v>
                </c:pt>
                <c:pt idx="459">
                  <c:v>731.15251369243992</c:v>
                </c:pt>
                <c:pt idx="460">
                  <c:v>733.76414141853127</c:v>
                </c:pt>
                <c:pt idx="461">
                  <c:v>736.37369305874404</c:v>
                </c:pt>
                <c:pt idx="462">
                  <c:v>738.98111884143589</c:v>
                </c:pt>
                <c:pt idx="463">
                  <c:v>741.58637790564012</c:v>
                </c:pt>
                <c:pt idx="464">
                  <c:v>744.18942944628725</c:v>
                </c:pt>
                <c:pt idx="465">
                  <c:v>746.79023271422307</c:v>
                </c:pt>
                <c:pt idx="466">
                  <c:v>749.38873959016667</c:v>
                </c:pt>
                <c:pt idx="467">
                  <c:v>751.98488716982456</c:v>
                </c:pt>
                <c:pt idx="468">
                  <c:v>754.57852252038674</c:v>
                </c:pt>
                <c:pt idx="469">
                  <c:v>757.16942874812855</c:v>
                </c:pt>
                <c:pt idx="470">
                  <c:v>759.75750897956016</c:v>
                </c:pt>
                <c:pt idx="471">
                  <c:v>762.34276767407391</c:v>
                </c:pt>
                <c:pt idx="472">
                  <c:v>764.92520927774012</c:v>
                </c:pt>
                <c:pt idx="473">
                  <c:v>767.50483822336014</c:v>
                </c:pt>
                <c:pt idx="474">
                  <c:v>770.08165893051876</c:v>
                </c:pt>
                <c:pt idx="475">
                  <c:v>772.65567580563686</c:v>
                </c:pt>
                <c:pt idx="476">
                  <c:v>775.22689324202315</c:v>
                </c:pt>
                <c:pt idx="477">
                  <c:v>777.79531561992633</c:v>
                </c:pt>
                <c:pt idx="478">
                  <c:v>780.36094730658658</c:v>
                </c:pt>
                <c:pt idx="479">
                  <c:v>782.92379265628688</c:v>
                </c:pt>
                <c:pt idx="480">
                  <c:v>785.48385601040411</c:v>
                </c:pt>
                <c:pt idx="481">
                  <c:v>788.04114169745981</c:v>
                </c:pt>
                <c:pt idx="482">
                  <c:v>790.59565403317083</c:v>
                </c:pt>
                <c:pt idx="483">
                  <c:v>793.14739732049964</c:v>
                </c:pt>
                <c:pt idx="484">
                  <c:v>795.69637584970417</c:v>
                </c:pt>
                <c:pt idx="485">
                  <c:v>798.24259389838801</c:v>
                </c:pt>
                <c:pt idx="486">
                  <c:v>800.78605573154982</c:v>
                </c:pt>
                <c:pt idx="487">
                  <c:v>803.32676560163247</c:v>
                </c:pt>
                <c:pt idx="488">
                  <c:v>805.86472774857225</c:v>
                </c:pt>
                <c:pt idx="489">
                  <c:v>808.39994639984786</c:v>
                </c:pt>
                <c:pt idx="490">
                  <c:v>810.93242577052888</c:v>
                </c:pt>
                <c:pt idx="491">
                  <c:v>813.46217006332404</c:v>
                </c:pt>
                <c:pt idx="492">
                  <c:v>815.98918346862934</c:v>
                </c:pt>
                <c:pt idx="493">
                  <c:v>818.51347016457623</c:v>
                </c:pt>
                <c:pt idx="494">
                  <c:v>821.03503431707884</c:v>
                </c:pt>
                <c:pt idx="495">
                  <c:v>823.55388007988165</c:v>
                </c:pt>
                <c:pt idx="496">
                  <c:v>826.07001159460663</c:v>
                </c:pt>
                <c:pt idx="497">
                  <c:v>828.58343299080002</c:v>
                </c:pt>
                <c:pt idx="498">
                  <c:v>831.09414838597945</c:v>
                </c:pt>
                <c:pt idx="499">
                  <c:v>833.60216188567995</c:v>
                </c:pt>
                <c:pt idx="500">
                  <c:v>836.10747758350044</c:v>
                </c:pt>
                <c:pt idx="501">
                  <c:v>861.01257165723757</c:v>
                </c:pt>
                <c:pt idx="502">
                  <c:v>885.65051542412959</c:v>
                </c:pt>
                <c:pt idx="503">
                  <c:v>910.02528700209302</c:v>
                </c:pt>
                <c:pt idx="504">
                  <c:v>934.14075123234056</c:v>
                </c:pt>
                <c:pt idx="505">
                  <c:v>958.0006639235088</c:v>
                </c:pt>
                <c:pt idx="506">
                  <c:v>981.60867589596035</c:v>
                </c:pt>
                <c:pt idx="507">
                  <c:v>1004.9683368375148</c:v>
                </c:pt>
                <c:pt idx="508">
                  <c:v>1028.0830989811241</c:v>
                </c:pt>
                <c:pt idx="509">
                  <c:v>1050.9563206143273</c:v>
                </c:pt>
                <c:pt idx="510">
                  <c:v>1073.5912694296894</c:v>
                </c:pt>
                <c:pt idx="511">
                  <c:v>1095.9911257248414</c:v>
                </c:pt>
                <c:pt idx="512">
                  <c:v>1118.1589854601978</c:v>
                </c:pt>
                <c:pt idx="513">
                  <c:v>1140.0978631819232</c:v>
                </c:pt>
                <c:pt idx="514">
                  <c:v>1161.8106948172513</c:v>
                </c:pt>
                <c:pt idx="515">
                  <c:v>1183.3003403488226</c:v>
                </c:pt>
                <c:pt idx="516">
                  <c:v>1204.5695863743065</c:v>
                </c:pt>
                <c:pt idx="517">
                  <c:v>1225.6211485571914</c:v>
                </c:pt>
                <c:pt idx="518">
                  <c:v>1246.4576739742779</c:v>
                </c:pt>
                <c:pt idx="519">
                  <c:v>1267.0817433650823</c:v>
                </c:pt>
                <c:pt idx="520">
                  <c:v>1287.4958732880539</c:v>
                </c:pt>
                <c:pt idx="521">
                  <c:v>1307.7025181882202</c:v>
                </c:pt>
                <c:pt idx="522">
                  <c:v>1327.7040723806124</c:v>
                </c:pt>
                <c:pt idx="523">
                  <c:v>1347.5028719535737</c:v>
                </c:pt>
                <c:pt idx="524">
                  <c:v>1367.1011965958194</c:v>
                </c:pt>
                <c:pt idx="525">
                  <c:v>1386.5012713508995</c:v>
                </c:pt>
                <c:pt idx="526">
                  <c:v>1405.7052683025154</c:v>
                </c:pt>
                <c:pt idx="527">
                  <c:v>1424.7153081939452</c:v>
                </c:pt>
                <c:pt idx="528">
                  <c:v>1443.5334619846592</c:v>
                </c:pt>
                <c:pt idx="529">
                  <c:v>1462.161752347035</c:v>
                </c:pt>
                <c:pt idx="530">
                  <c:v>1480.602155105928</c:v>
                </c:pt>
                <c:pt idx="531">
                  <c:v>1498.8566006237045</c:v>
                </c:pt>
                <c:pt idx="532">
                  <c:v>1516.9269751332042</c:v>
                </c:pt>
                <c:pt idx="533">
                  <c:v>1534.815122020972</c:v>
                </c:pt>
                <c:pt idx="534">
                  <c:v>1552.5228430629732</c:v>
                </c:pt>
                <c:pt idx="535">
                  <c:v>1570.0518996148946</c:v>
                </c:pt>
                <c:pt idx="536">
                  <c:v>1587.4040137590243</c:v>
                </c:pt>
                <c:pt idx="537">
                  <c:v>1604.5808694095983</c:v>
                </c:pt>
                <c:pt idx="538">
                  <c:v>1621.5841133784127</c:v>
                </c:pt>
                <c:pt idx="539">
                  <c:v>1638.4153564024016</c:v>
                </c:pt>
                <c:pt idx="540">
                  <c:v>1655.076174134804</c:v>
                </c:pt>
                <c:pt idx="541">
                  <c:v>1671.5681081014545</c:v>
                </c:pt>
                <c:pt idx="542">
                  <c:v>1687.8926666236644</c:v>
                </c:pt>
                <c:pt idx="543">
                  <c:v>1704.0513257090809</c:v>
                </c:pt>
                <c:pt idx="544">
                  <c:v>1720.0455299118523</c:v>
                </c:pt>
                <c:pt idx="545">
                  <c:v>1735.8766931633552</c:v>
                </c:pt>
                <c:pt idx="546">
                  <c:v>1751.5461995746853</c:v>
                </c:pt>
                <c:pt idx="547">
                  <c:v>1767.0554042120552</c:v>
                </c:pt>
                <c:pt idx="548">
                  <c:v>1782.4056338461851</c:v>
                </c:pt>
                <c:pt idx="549">
                  <c:v>1797.5981876767262</c:v>
                </c:pt>
                <c:pt idx="550">
                  <c:v>1812.634338032706</c:v>
                </c:pt>
                <c:pt idx="551">
                  <c:v>1827.5153310499368</c:v>
                </c:pt>
                <c:pt idx="552">
                  <c:v>1842.2423873262906</c:v>
                </c:pt>
                <c:pt idx="553">
                  <c:v>1856.8167025556961</c:v>
                </c:pt>
                <c:pt idx="554">
                  <c:v>1871.2394481416814</c:v>
                </c:pt>
                <c:pt idx="555">
                  <c:v>1885.5117717912422</c:v>
                </c:pt>
                <c:pt idx="556">
                  <c:v>1899.6347980897863</c:v>
                </c:pt>
                <c:pt idx="557">
                  <c:v>1913.6096290578682</c:v>
                </c:pt>
                <c:pt idx="558">
                  <c:v>1927.4373446903965</c:v>
                </c:pt>
                <c:pt idx="559">
                  <c:v>1941.1190034789684</c:v>
                </c:pt>
                <c:pt idx="560">
                  <c:v>1954.6556429179564</c:v>
                </c:pt>
                <c:pt idx="561">
                  <c:v>1968.0482799949443</c:v>
                </c:pt>
                <c:pt idx="562">
                  <c:v>1981.2979116660854</c:v>
                </c:pt>
                <c:pt idx="563">
                  <c:v>1994.4055153169286</c:v>
                </c:pt>
                <c:pt idx="564">
                  <c:v>2007.3720492092409</c:v>
                </c:pt>
                <c:pt idx="565">
                  <c:v>2020.198452914324</c:v>
                </c:pt>
                <c:pt idx="566">
                  <c:v>2032.8856477333097</c:v>
                </c:pt>
                <c:pt idx="567">
                  <c:v>2045.4345371048933</c:v>
                </c:pt>
                <c:pt idx="568">
                  <c:v>2057.8460070009473</c:v>
                </c:pt>
                <c:pt idx="569">
                  <c:v>2070.1209263104424</c:v>
                </c:pt>
                <c:pt idx="570">
                  <c:v>2082.2601472120764</c:v>
                </c:pt>
                <c:pt idx="571">
                  <c:v>2094.2645055360067</c:v>
                </c:pt>
                <c:pt idx="572">
                  <c:v>2106.1348211150585</c:v>
                </c:pt>
                <c:pt idx="573">
                  <c:v>2117.8718981257671</c:v>
                </c:pt>
                <c:pt idx="574">
                  <c:v>2129.4765254196027</c:v>
                </c:pt>
                <c:pt idx="575">
                  <c:v>2140.9494768447034</c:v>
                </c:pt>
                <c:pt idx="576">
                  <c:v>2152.2915115584415</c:v>
                </c:pt>
                <c:pt idx="577">
                  <c:v>2163.5033743311242</c:v>
                </c:pt>
                <c:pt idx="578">
                  <c:v>2174.5857958411243</c:v>
                </c:pt>
                <c:pt idx="579">
                  <c:v>2185.5394929617232</c:v>
                </c:pt>
                <c:pt idx="580">
                  <c:v>2196.3651690399392</c:v>
                </c:pt>
                <c:pt idx="581">
                  <c:v>2207.0635141676021</c:v>
                </c:pt>
                <c:pt idx="582">
                  <c:v>2217.6352054449248</c:v>
                </c:pt>
                <c:pt idx="583">
                  <c:v>2228.0809072368152</c:v>
                </c:pt>
                <c:pt idx="584">
                  <c:v>2238.4012714221617</c:v>
                </c:pt>
                <c:pt idx="585">
                  <c:v>2248.5969376363159</c:v>
                </c:pt>
                <c:pt idx="586">
                  <c:v>2258.6685335069915</c:v>
                </c:pt>
                <c:pt idx="587">
                  <c:v>2268.6166748837823</c:v>
                </c:pt>
                <c:pt idx="588">
                  <c:v>2278.4419660615085</c:v>
                </c:pt>
                <c:pt idx="589">
                  <c:v>2288.1449999975775</c:v>
                </c:pt>
                <c:pt idx="590">
                  <c:v>2297.7263585235505</c:v>
                </c:pt>
                <c:pt idx="591">
                  <c:v>2307.1866125510933</c:v>
                </c:pt>
                <c:pt idx="592">
                  <c:v>2316.5263222724875</c:v>
                </c:pt>
                <c:pt idx="593">
                  <c:v>2325.7460373558683</c:v>
                </c:pt>
                <c:pt idx="594">
                  <c:v>2334.8462971353511</c:v>
                </c:pt>
                <c:pt idx="595">
                  <c:v>2343.8276307962055</c:v>
                </c:pt>
                <c:pt idx="596">
                  <c:v>2352.6905575552287</c:v>
                </c:pt>
                <c:pt idx="597">
                  <c:v>2361.4355868364614</c:v>
                </c:pt>
                <c:pt idx="598">
                  <c:v>2370.0632184423944</c:v>
                </c:pt>
                <c:pt idx="599">
                  <c:v>2378.5739427207955</c:v>
                </c:pt>
                <c:pt idx="600">
                  <c:v>2386.9682407272971</c:v>
                </c:pt>
                <c:pt idx="601">
                  <c:v>2395.2465843838718</c:v>
                </c:pt>
                <c:pt idx="602">
                  <c:v>2403.4094366333156</c:v>
                </c:pt>
                <c:pt idx="603">
                  <c:v>2411.4572515898699</c:v>
                </c:pt>
                <c:pt idx="604">
                  <c:v>2419.3904746860908</c:v>
                </c:pt>
                <c:pt idx="605">
                  <c:v>2427.2095428160878</c:v>
                </c:pt>
                <c:pt idx="606">
                  <c:v>2434.9148844752381</c:v>
                </c:pt>
                <c:pt idx="607">
                  <c:v>2442.5069198964884</c:v>
                </c:pt>
                <c:pt idx="608">
                  <c:v>2449.9860611833487</c:v>
                </c:pt>
                <c:pt idx="609">
                  <c:v>2457.3527124396824</c:v>
                </c:pt>
                <c:pt idx="610">
                  <c:v>2464.6072698963894</c:v>
                </c:pt>
                <c:pt idx="611">
                  <c:v>2471.7501220350878</c:v>
                </c:pt>
                <c:pt idx="612">
                  <c:v>2478.7816497088838</c:v>
                </c:pt>
                <c:pt idx="613">
                  <c:v>2485.7022262603282</c:v>
                </c:pt>
                <c:pt idx="614">
                  <c:v>2492.5122176366513</c:v>
                </c:pt>
                <c:pt idx="615">
                  <c:v>2499.2119825023656</c:v>
                </c:pt>
                <c:pt idx="616">
                  <c:v>2505.8018723493301</c:v>
                </c:pt>
                <c:pt idx="617">
                  <c:v>2512.2822316043594</c:v>
                </c:pt>
                <c:pt idx="618">
                  <c:v>2518.6533977344707</c:v>
                </c:pt>
                <c:pt idx="619">
                  <c:v>2524.9157013498484</c:v>
                </c:pt>
                <c:pt idx="620">
                  <c:v>2531.0694663046202</c:v>
                </c:pt>
                <c:pt idx="621">
                  <c:v>2537.1150097955228</c:v>
                </c:pt>
                <c:pt idx="622">
                  <c:v>2543.0526424585464</c:v>
                </c:pt>
                <c:pt idx="623">
                  <c:v>2548.8826684636415</c:v>
                </c:pt>
                <c:pt idx="624">
                  <c:v>2554.6053856075737</c:v>
                </c:pt>
                <c:pt idx="625">
                  <c:v>2560.221085405009</c:v>
                </c:pt>
                <c:pt idx="626">
                  <c:v>2565.730053177921</c:v>
                </c:pt>
                <c:pt idx="627">
                  <c:v>2571.1325681433991</c:v>
                </c:pt>
                <c:pt idx="628">
                  <c:v>2576.428903499951</c:v>
                </c:pt>
                <c:pt idx="629">
                  <c:v>2581.6193265123866</c:v>
                </c:pt>
                <c:pt idx="630">
                  <c:v>2586.7040985953699</c:v>
                </c:pt>
                <c:pt idx="631">
                  <c:v>2591.683475395736</c:v>
                </c:pt>
                <c:pt idx="632">
                  <c:v>2596.5577068736634</c:v>
                </c:pt>
                <c:pt idx="633">
                  <c:v>2601.3270373827982</c:v>
                </c:pt>
                <c:pt idx="634">
                  <c:v>2605.9917057494276</c:v>
                </c:pt>
                <c:pt idx="635">
                  <c:v>2610.5519453508077</c:v>
                </c:pt>
                <c:pt idx="636">
                  <c:v>2615.0079841927441</c:v>
                </c:pt>
                <c:pt idx="637">
                  <c:v>2619.3600449865385</c:v>
                </c:pt>
                <c:pt idx="638">
                  <c:v>2623.6083452254079</c:v>
                </c:pt>
                <c:pt idx="639">
                  <c:v>2627.7530972604955</c:v>
                </c:pt>
                <c:pt idx="640">
                  <c:v>2631.7945083765894</c:v>
                </c:pt>
                <c:pt idx="641">
                  <c:v>2635.7327808676755</c:v>
                </c:pt>
                <c:pt idx="642">
                  <c:v>2639.5681121124526</c:v>
                </c:pt>
                <c:pt idx="643">
                  <c:v>2643.3006946499436</c:v>
                </c:pt>
                <c:pt idx="644">
                  <c:v>2646.9307162553405</c:v>
                </c:pt>
                <c:pt idx="645">
                  <c:v>2650.45836001623</c:v>
                </c:pt>
                <c:pt idx="646">
                  <c:v>2653.8838044093472</c:v>
                </c:pt>
                <c:pt idx="647">
                  <c:v>2657.2072233780164</c:v>
                </c:pt>
                <c:pt idx="648">
                  <c:v>2660.4287864104344</c:v>
                </c:pt>
                <c:pt idx="649">
                  <c:v>2663.5486586189718</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yVal>
          <c:smooth val="0"/>
          <c:extLst>
            <c:ext xmlns:c16="http://schemas.microsoft.com/office/drawing/2014/chart" uri="{C3380CC4-5D6E-409C-BE32-E72D297353CC}">
              <c16:uniqueId val="{00000005-3E62-4C97-96C4-8569A9DB8ECB}"/>
            </c:ext>
          </c:extLst>
        </c:ser>
        <c:ser>
          <c:idx val="6"/>
          <c:order val="5"/>
          <c:tx>
            <c:strRef>
              <c:f>Trajecto!$B$106</c:f>
              <c:strCache>
                <c:ptCount val="1"/>
                <c:pt idx="0">
                  <c:v>Phase ascendante</c:v>
                </c:pt>
              </c:strCache>
            </c:strRef>
          </c:tx>
          <c:spPr>
            <a:ln w="28575">
              <a:noFill/>
            </a:ln>
          </c:spPr>
          <c:marker>
            <c:symbol val="none"/>
          </c:marker>
          <c:dLbls>
            <c:spPr>
              <a:noFill/>
              <a:ln w="25400">
                <a:noFill/>
              </a:ln>
            </c:spPr>
            <c:txPr>
              <a:bodyPr/>
              <a:lstStyle/>
              <a:p>
                <a:pPr>
                  <a:defRPr sz="700" b="1" i="0" u="none" strike="noStrike" baseline="0">
                    <a:solidFill>
                      <a:srgbClr val="000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Trajecto!$D$155</c:f>
              <c:numCache>
                <c:formatCode>0</c:formatCode>
                <c:ptCount val="1"/>
                <c:pt idx="0">
                  <c:v>223.69785364886903</c:v>
                </c:pt>
              </c:numCache>
            </c:numRef>
          </c:xVal>
          <c:yVal>
            <c:numRef>
              <c:f>Trajecto!$C$155</c:f>
              <c:numCache>
                <c:formatCode>0</c:formatCode>
                <c:ptCount val="1"/>
                <c:pt idx="0">
                  <c:v>1333.2835004103281</c:v>
                </c:pt>
              </c:numCache>
            </c:numRef>
          </c:yVal>
          <c:smooth val="0"/>
          <c:extLst>
            <c:ext xmlns:c16="http://schemas.microsoft.com/office/drawing/2014/chart" uri="{C3380CC4-5D6E-409C-BE32-E72D297353CC}">
              <c16:uniqueId val="{00000006-3E62-4C97-96C4-8569A9DB8ECB}"/>
            </c:ext>
          </c:extLst>
        </c:ser>
        <c:ser>
          <c:idx val="7"/>
          <c:order val="6"/>
          <c:tx>
            <c:strRef>
              <c:f>Trajecto!$B$107</c:f>
              <c:strCache>
                <c:ptCount val="1"/>
                <c:pt idx="0">
                  <c:v>Descente balistique</c:v>
                </c:pt>
              </c:strCache>
            </c:strRef>
          </c:tx>
          <c:spPr>
            <a:ln w="28575">
              <a:noFill/>
            </a:ln>
          </c:spPr>
          <c:marker>
            <c:symbol val="none"/>
          </c:marker>
          <c:dLbls>
            <c:spPr>
              <a:noFill/>
              <a:ln w="25400">
                <a:noFill/>
              </a:ln>
            </c:spPr>
            <c:txPr>
              <a:bodyPr/>
              <a:lstStyle/>
              <a:p>
                <a:pPr>
                  <a:defRPr sz="700" b="1" i="0" u="none" strike="noStrike" baseline="0">
                    <a:solidFill>
                      <a:srgbClr val="808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Trajecto!$D$156</c:f>
              <c:numCache>
                <c:formatCode>0</c:formatCode>
                <c:ptCount val="1"/>
                <c:pt idx="0">
                  <c:v>1528.292924931417</c:v>
                </c:pt>
              </c:numCache>
            </c:numRef>
          </c:xVal>
          <c:yVal>
            <c:numRef>
              <c:f>Trajecto!$C$156</c:f>
              <c:numCache>
                <c:formatCode>0</c:formatCode>
                <c:ptCount val="1"/>
                <c:pt idx="0">
                  <c:v>1355.2618517305357</c:v>
                </c:pt>
              </c:numCache>
            </c:numRef>
          </c:yVal>
          <c:smooth val="0"/>
          <c:extLst>
            <c:ext xmlns:c16="http://schemas.microsoft.com/office/drawing/2014/chart" uri="{C3380CC4-5D6E-409C-BE32-E72D297353CC}">
              <c16:uniqueId val="{00000007-3E62-4C97-96C4-8569A9DB8ECB}"/>
            </c:ext>
          </c:extLst>
        </c:ser>
        <c:ser>
          <c:idx val="8"/>
          <c:order val="7"/>
          <c:tx>
            <c:strRef>
              <c:f>Trajecto!$D$158</c:f>
              <c:strCache>
                <c:ptCount val="1"/>
                <c:pt idx="0">
                  <c:v>Arc de triomphe</c:v>
                </c:pt>
              </c:strCache>
            </c:strRef>
          </c:tx>
          <c:spPr>
            <a:ln>
              <a:solidFill>
                <a:srgbClr val="C0C0C0"/>
              </a:solidFill>
            </a:ln>
          </c:spPr>
          <c:marker>
            <c:symbol val="none"/>
          </c:marker>
          <c:dLbls>
            <c:dLbl>
              <c:idx val="8"/>
              <c:tx>
                <c:strRef>
                  <c:f>Trajecto!$D$158</c:f>
                  <c:strCache>
                    <c:ptCount val="1"/>
                    <c:pt idx="0">
                      <c:v>Arc de triomphe</c:v>
                    </c:pt>
                  </c:strCache>
                </c:strRef>
              </c:tx>
              <c:spPr/>
              <c:txPr>
                <a:bodyPr/>
                <a:lstStyle/>
                <a:p>
                  <a:pPr>
                    <a:defRPr sz="700" b="0" i="0" u="none" strike="noStrike" baseline="0">
                      <a:solidFill>
                        <a:srgbClr val="C0C0C0"/>
                      </a:solidFill>
                      <a:latin typeface="Arial"/>
                      <a:ea typeface="Arial"/>
                      <a:cs typeface="Arial"/>
                    </a:defRPr>
                  </a:pPr>
                  <a:endParaRPr lang="fr-FR"/>
                </a:p>
              </c:txPr>
              <c:showLegendKey val="0"/>
              <c:showVal val="0"/>
              <c:showCatName val="0"/>
              <c:showSerName val="0"/>
              <c:showPercent val="0"/>
              <c:showBubbleSize val="0"/>
              <c:extLst>
                <c:ext xmlns:c15="http://schemas.microsoft.com/office/drawing/2012/chart" uri="{CE6537A1-D6FC-4f65-9D91-7224C49458BB}">
                  <c15:dlblFieldTable>
                    <c15:dlblFTEntry>
                      <c15:txfldGUID>{A610BB66-0226-469C-B251-67A6712E91F8}</c15:txfldGUID>
                      <c15:f>Trajecto!$D$158</c15:f>
                      <c15:dlblFieldTableCache>
                        <c:ptCount val="1"/>
                        <c:pt idx="0">
                          <c:v>Arc de triomphe</c:v>
                        </c:pt>
                      </c15:dlblFieldTableCache>
                    </c15:dlblFTEntry>
                  </c15:dlblFieldTable>
                  <c15:showDataLabelsRange val="0"/>
                </c:ext>
                <c:ext xmlns:c16="http://schemas.microsoft.com/office/drawing/2014/chart" uri="{C3380CC4-5D6E-409C-BE32-E72D297353CC}">
                  <c16:uniqueId val="{00000008-3E62-4C97-96C4-8569A9DB8ECB}"/>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Trajecto!$D$159:$D$174</c:f>
              <c:numCache>
                <c:formatCode>0</c:formatCode>
                <c:ptCount val="16"/>
                <c:pt idx="0">
                  <c:v>1006.1284818570956</c:v>
                </c:pt>
                <c:pt idx="1">
                  <c:v>1029.1284818570957</c:v>
                </c:pt>
                <c:pt idx="2">
                  <c:v>1029.1284818570957</c:v>
                </c:pt>
                <c:pt idx="3">
                  <c:v>1006.1284818570956</c:v>
                </c:pt>
                <c:pt idx="4">
                  <c:v>1029.1284818570957</c:v>
                </c:pt>
                <c:pt idx="5">
                  <c:v>1029.1284818570957</c:v>
                </c:pt>
                <c:pt idx="6">
                  <c:v>1014.1284818570956</c:v>
                </c:pt>
                <c:pt idx="7">
                  <c:v>1014.1284818570956</c:v>
                </c:pt>
                <c:pt idx="8">
                  <c:v>1029.1284818570957</c:v>
                </c:pt>
                <c:pt idx="9">
                  <c:v>1014.1284818570956</c:v>
                </c:pt>
                <c:pt idx="10">
                  <c:v>1013.7284818570956</c:v>
                </c:pt>
                <c:pt idx="11">
                  <c:v>1012.9284818570956</c:v>
                </c:pt>
                <c:pt idx="12">
                  <c:v>1012.1284818570956</c:v>
                </c:pt>
                <c:pt idx="13">
                  <c:v>1011.1284818570956</c:v>
                </c:pt>
                <c:pt idx="14">
                  <c:v>1009.9284818570956</c:v>
                </c:pt>
                <c:pt idx="15">
                  <c:v>1006.1284818570956</c:v>
                </c:pt>
              </c:numCache>
            </c:numRef>
          </c:xVal>
          <c:yVal>
            <c:numRef>
              <c:f>Trajecto!$B$161:$B$176</c:f>
              <c:numCache>
                <c:formatCode>General</c:formatCode>
                <c:ptCount val="1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numCache>
            </c:numRef>
          </c:yVal>
          <c:smooth val="0"/>
          <c:extLst>
            <c:ext xmlns:c16="http://schemas.microsoft.com/office/drawing/2014/chart" uri="{C3380CC4-5D6E-409C-BE32-E72D297353CC}">
              <c16:uniqueId val="{00000009-3E62-4C97-96C4-8569A9DB8ECB}"/>
            </c:ext>
          </c:extLst>
        </c:ser>
        <c:ser>
          <c:idx val="9"/>
          <c:order val="8"/>
          <c:tx>
            <c:strRef>
              <c:f>Trajecto!$F$158</c:f>
              <c:strCache>
                <c:ptCount val="1"/>
                <c:pt idx="0">
                  <c:v>Arc de triomphe</c:v>
                </c:pt>
              </c:strCache>
            </c:strRef>
          </c:tx>
          <c:spPr>
            <a:ln>
              <a:solidFill>
                <a:srgbClr val="C0C0C0"/>
              </a:solidFill>
            </a:ln>
          </c:spPr>
          <c:marker>
            <c:symbol val="none"/>
          </c:marker>
          <c:xVal>
            <c:numRef>
              <c:f>Trajecto!$F$159:$F$174</c:f>
              <c:numCache>
                <c:formatCode>0</c:formatCode>
                <c:ptCount val="16"/>
                <c:pt idx="0">
                  <c:v>1006.1284818570956</c:v>
                </c:pt>
                <c:pt idx="1">
                  <c:v>983.12848185709561</c:v>
                </c:pt>
                <c:pt idx="2">
                  <c:v>983.12848185709561</c:v>
                </c:pt>
                <c:pt idx="3">
                  <c:v>1006.1284818570956</c:v>
                </c:pt>
                <c:pt idx="4">
                  <c:v>983.12848185709561</c:v>
                </c:pt>
                <c:pt idx="5">
                  <c:v>983.12848185709561</c:v>
                </c:pt>
                <c:pt idx="6">
                  <c:v>998.12848185709561</c:v>
                </c:pt>
                <c:pt idx="7">
                  <c:v>998.12848185709561</c:v>
                </c:pt>
                <c:pt idx="8">
                  <c:v>983.12848185709561</c:v>
                </c:pt>
                <c:pt idx="9">
                  <c:v>998.12848185709561</c:v>
                </c:pt>
                <c:pt idx="10">
                  <c:v>998.52848185709558</c:v>
                </c:pt>
                <c:pt idx="11">
                  <c:v>999.32848185709565</c:v>
                </c:pt>
                <c:pt idx="12">
                  <c:v>1000.1284818570956</c:v>
                </c:pt>
                <c:pt idx="13">
                  <c:v>1001.1284818570956</c:v>
                </c:pt>
                <c:pt idx="14">
                  <c:v>1002.3284818570957</c:v>
                </c:pt>
                <c:pt idx="15">
                  <c:v>1006.1284818570956</c:v>
                </c:pt>
              </c:numCache>
            </c:numRef>
          </c:xVal>
          <c:yVal>
            <c:numRef>
              <c:f>Trajecto!$B$161:$B$176</c:f>
              <c:numCache>
                <c:formatCode>General</c:formatCode>
                <c:ptCount val="1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numCache>
            </c:numRef>
          </c:yVal>
          <c:smooth val="0"/>
          <c:extLst>
            <c:ext xmlns:c16="http://schemas.microsoft.com/office/drawing/2014/chart" uri="{C3380CC4-5D6E-409C-BE32-E72D297353CC}">
              <c16:uniqueId val="{0000000A-3E62-4C97-96C4-8569A9DB8ECB}"/>
            </c:ext>
          </c:extLst>
        </c:ser>
        <c:ser>
          <c:idx val="10"/>
          <c:order val="9"/>
          <c:tx>
            <c:strRef>
              <c:f>Trajecto!$D$176</c:f>
              <c:strCache>
                <c:ptCount val="1"/>
                <c:pt idx="0">
                  <c:v>Tour Eiffel</c:v>
                </c:pt>
              </c:strCache>
            </c:strRef>
          </c:tx>
          <c:spPr>
            <a:ln>
              <a:solidFill>
                <a:srgbClr val="C0C0C0"/>
              </a:solidFill>
            </a:ln>
          </c:spPr>
          <c:marker>
            <c:symbol val="none"/>
          </c:marker>
          <c:dLbls>
            <c:dLbl>
              <c:idx val="6"/>
              <c:tx>
                <c:strRef>
                  <c:f>Trajecto!$D$176</c:f>
                  <c:strCache>
                    <c:ptCount val="1"/>
                    <c:pt idx="0">
                      <c:v>Tour Eiffel</c:v>
                    </c:pt>
                  </c:strCache>
                </c:strRef>
              </c:tx>
              <c:spPr/>
              <c:txPr>
                <a:bodyPr/>
                <a:lstStyle/>
                <a:p>
                  <a:pPr>
                    <a:defRPr sz="700" b="0" i="0" u="none" strike="noStrike" baseline="0">
                      <a:solidFill>
                        <a:srgbClr val="C0C0C0"/>
                      </a:solidFill>
                      <a:latin typeface="Arial"/>
                      <a:ea typeface="Arial"/>
                      <a:cs typeface="Arial"/>
                    </a:defRPr>
                  </a:pPr>
                  <a:endParaRPr lang="fr-FR"/>
                </a:p>
              </c:txPr>
              <c:showLegendKey val="0"/>
              <c:showVal val="0"/>
              <c:showCatName val="0"/>
              <c:showSerName val="0"/>
              <c:showPercent val="0"/>
              <c:showBubbleSize val="0"/>
              <c:extLst>
                <c:ext xmlns:c15="http://schemas.microsoft.com/office/drawing/2012/chart" uri="{CE6537A1-D6FC-4f65-9D91-7224C49458BB}">
                  <c15:dlblFieldTable>
                    <c15:dlblFTEntry>
                      <c15:txfldGUID>{6D0EB4D8-764D-4CFC-9819-DF766C18A6CF}</c15:txfldGUID>
                      <c15:f>Trajecto!$D$176</c15:f>
                      <c15:dlblFieldTableCache>
                        <c:ptCount val="1"/>
                        <c:pt idx="0">
                          <c:v>Tour Eiffel</c:v>
                        </c:pt>
                      </c15:dlblFieldTableCache>
                    </c15:dlblFTEntry>
                  </c15:dlblFieldTable>
                  <c15:showDataLabelsRange val="0"/>
                </c:ext>
                <c:ext xmlns:c16="http://schemas.microsoft.com/office/drawing/2014/chart" uri="{C3380CC4-5D6E-409C-BE32-E72D297353CC}">
                  <c16:uniqueId val="{0000000B-3E62-4C97-96C4-8569A9DB8ECB}"/>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Trajecto!$D$177:$D$193</c:f>
              <c:numCache>
                <c:formatCode>0</c:formatCode>
                <c:ptCount val="17"/>
                <c:pt idx="0">
                  <c:v>1006.1284818570956</c:v>
                </c:pt>
                <c:pt idx="1">
                  <c:v>1006.1284818570956</c:v>
                </c:pt>
                <c:pt idx="2">
                  <c:v>1016.1284818570956</c:v>
                </c:pt>
                <c:pt idx="3">
                  <c:v>1006.1284818570956</c:v>
                </c:pt>
                <c:pt idx="4">
                  <c:v>1016.1284818570956</c:v>
                </c:pt>
                <c:pt idx="5">
                  <c:v>1019.1284818570956</c:v>
                </c:pt>
                <c:pt idx="6">
                  <c:v>1023.1284818570956</c:v>
                </c:pt>
                <c:pt idx="7">
                  <c:v>1026.1284818570957</c:v>
                </c:pt>
                <c:pt idx="8">
                  <c:v>1031.1284818570957</c:v>
                </c:pt>
                <c:pt idx="9">
                  <c:v>1036.1284818570957</c:v>
                </c:pt>
                <c:pt idx="10">
                  <c:v>1042.1284818570957</c:v>
                </c:pt>
                <c:pt idx="11">
                  <c:v>1054.1284818570957</c:v>
                </c:pt>
                <c:pt idx="12">
                  <c:v>1068.1284818570957</c:v>
                </c:pt>
                <c:pt idx="13">
                  <c:v>1043.1284818570957</c:v>
                </c:pt>
                <c:pt idx="14">
                  <c:v>1036.1284818570957</c:v>
                </c:pt>
                <c:pt idx="15">
                  <c:v>1021.1284818570956</c:v>
                </c:pt>
                <c:pt idx="16">
                  <c:v>1006.1284818570956</c:v>
                </c:pt>
              </c:numCache>
            </c:numRef>
          </c:xVal>
          <c:yVal>
            <c:numRef>
              <c:f>Trajecto!$B$179:$B$195</c:f>
              <c:numCache>
                <c:formatCode>General</c:formatCode>
                <c:ptCount val="17"/>
                <c:pt idx="0">
                  <c:v>324</c:v>
                </c:pt>
                <c:pt idx="1">
                  <c:v>300</c:v>
                </c:pt>
                <c:pt idx="2">
                  <c:v>280</c:v>
                </c:pt>
                <c:pt idx="3">
                  <c:v>280</c:v>
                </c:pt>
                <c:pt idx="4">
                  <c:v>280</c:v>
                </c:pt>
                <c:pt idx="5">
                  <c:v>200</c:v>
                </c:pt>
                <c:pt idx="6">
                  <c:v>160</c:v>
                </c:pt>
                <c:pt idx="7">
                  <c:v>115</c:v>
                </c:pt>
                <c:pt idx="8">
                  <c:v>90</c:v>
                </c:pt>
                <c:pt idx="9">
                  <c:v>57</c:v>
                </c:pt>
                <c:pt idx="10">
                  <c:v>40</c:v>
                </c:pt>
                <c:pt idx="11">
                  <c:v>20</c:v>
                </c:pt>
                <c:pt idx="12">
                  <c:v>0.5</c:v>
                </c:pt>
                <c:pt idx="13">
                  <c:v>0.5</c:v>
                </c:pt>
                <c:pt idx="14">
                  <c:v>15</c:v>
                </c:pt>
                <c:pt idx="15">
                  <c:v>30</c:v>
                </c:pt>
                <c:pt idx="16">
                  <c:v>37</c:v>
                </c:pt>
              </c:numCache>
            </c:numRef>
          </c:yVal>
          <c:smooth val="0"/>
          <c:extLst>
            <c:ext xmlns:c16="http://schemas.microsoft.com/office/drawing/2014/chart" uri="{C3380CC4-5D6E-409C-BE32-E72D297353CC}">
              <c16:uniqueId val="{0000000C-3E62-4C97-96C4-8569A9DB8ECB}"/>
            </c:ext>
          </c:extLst>
        </c:ser>
        <c:ser>
          <c:idx val="11"/>
          <c:order val="10"/>
          <c:tx>
            <c:strRef>
              <c:f>Trajecto!$F$176</c:f>
              <c:strCache>
                <c:ptCount val="1"/>
                <c:pt idx="0">
                  <c:v>Tour Eiffel</c:v>
                </c:pt>
              </c:strCache>
            </c:strRef>
          </c:tx>
          <c:spPr>
            <a:ln>
              <a:solidFill>
                <a:srgbClr val="C0C0C0"/>
              </a:solidFill>
            </a:ln>
          </c:spPr>
          <c:marker>
            <c:symbol val="none"/>
          </c:marker>
          <c:xVal>
            <c:numRef>
              <c:f>Trajecto!$F$177:$F$193</c:f>
              <c:numCache>
                <c:formatCode>0</c:formatCode>
                <c:ptCount val="17"/>
                <c:pt idx="0">
                  <c:v>1006.1284818570956</c:v>
                </c:pt>
                <c:pt idx="1">
                  <c:v>1006.1284818570956</c:v>
                </c:pt>
                <c:pt idx="2">
                  <c:v>996.12848185709561</c:v>
                </c:pt>
                <c:pt idx="3">
                  <c:v>1006.1284818570956</c:v>
                </c:pt>
                <c:pt idx="4">
                  <c:v>996.12848185709561</c:v>
                </c:pt>
                <c:pt idx="5">
                  <c:v>993.12848185709561</c:v>
                </c:pt>
                <c:pt idx="6">
                  <c:v>989.12848185709561</c:v>
                </c:pt>
                <c:pt idx="7">
                  <c:v>986.12848185709561</c:v>
                </c:pt>
                <c:pt idx="8">
                  <c:v>981.12848185709561</c:v>
                </c:pt>
                <c:pt idx="9">
                  <c:v>976.12848185709561</c:v>
                </c:pt>
                <c:pt idx="10">
                  <c:v>970.12848185709561</c:v>
                </c:pt>
                <c:pt idx="11">
                  <c:v>958.12848185709561</c:v>
                </c:pt>
                <c:pt idx="12">
                  <c:v>944.12848185709561</c:v>
                </c:pt>
                <c:pt idx="13">
                  <c:v>969.12848185709561</c:v>
                </c:pt>
                <c:pt idx="14">
                  <c:v>976.12848185709561</c:v>
                </c:pt>
                <c:pt idx="15">
                  <c:v>991.12848185709561</c:v>
                </c:pt>
                <c:pt idx="16">
                  <c:v>1006.1284818570956</c:v>
                </c:pt>
              </c:numCache>
            </c:numRef>
          </c:xVal>
          <c:yVal>
            <c:numRef>
              <c:f>Trajecto!$B$179:$B$195</c:f>
              <c:numCache>
                <c:formatCode>General</c:formatCode>
                <c:ptCount val="17"/>
                <c:pt idx="0">
                  <c:v>324</c:v>
                </c:pt>
                <c:pt idx="1">
                  <c:v>300</c:v>
                </c:pt>
                <c:pt idx="2">
                  <c:v>280</c:v>
                </c:pt>
                <c:pt idx="3">
                  <c:v>280</c:v>
                </c:pt>
                <c:pt idx="4">
                  <c:v>280</c:v>
                </c:pt>
                <c:pt idx="5">
                  <c:v>200</c:v>
                </c:pt>
                <c:pt idx="6">
                  <c:v>160</c:v>
                </c:pt>
                <c:pt idx="7">
                  <c:v>115</c:v>
                </c:pt>
                <c:pt idx="8">
                  <c:v>90</c:v>
                </c:pt>
                <c:pt idx="9">
                  <c:v>57</c:v>
                </c:pt>
                <c:pt idx="10">
                  <c:v>40</c:v>
                </c:pt>
                <c:pt idx="11">
                  <c:v>20</c:v>
                </c:pt>
                <c:pt idx="12">
                  <c:v>0.5</c:v>
                </c:pt>
                <c:pt idx="13">
                  <c:v>0.5</c:v>
                </c:pt>
                <c:pt idx="14">
                  <c:v>15</c:v>
                </c:pt>
                <c:pt idx="15">
                  <c:v>30</c:v>
                </c:pt>
                <c:pt idx="16">
                  <c:v>37</c:v>
                </c:pt>
              </c:numCache>
            </c:numRef>
          </c:yVal>
          <c:smooth val="0"/>
          <c:extLst>
            <c:ext xmlns:c16="http://schemas.microsoft.com/office/drawing/2014/chart" uri="{C3380CC4-5D6E-409C-BE32-E72D297353CC}">
              <c16:uniqueId val="{0000000D-3E62-4C97-96C4-8569A9DB8ECB}"/>
            </c:ext>
          </c:extLst>
        </c:ser>
        <c:ser>
          <c:idx val="12"/>
          <c:order val="11"/>
          <c:tx>
            <c:strRef>
              <c:f>Trajecto!$D$176</c:f>
              <c:strCache>
                <c:ptCount val="1"/>
                <c:pt idx="0">
                  <c:v>Tour Eiffel</c:v>
                </c:pt>
              </c:strCache>
            </c:strRef>
          </c:tx>
          <c:spPr>
            <a:ln>
              <a:solidFill>
                <a:srgbClr val="C0C0C0"/>
              </a:solidFill>
            </a:ln>
          </c:spPr>
          <c:marker>
            <c:symbol val="none"/>
          </c:marker>
          <c:xVal>
            <c:numRef>
              <c:f>Trajecto!$D$194:$D$197</c:f>
              <c:numCache>
                <c:formatCode>0</c:formatCode>
                <c:ptCount val="4"/>
                <c:pt idx="0">
                  <c:v>1006.1284818570956</c:v>
                </c:pt>
                <c:pt idx="1">
                  <c:v>1023.1284818570956</c:v>
                </c:pt>
                <c:pt idx="2">
                  <c:v>1017.1284818570956</c:v>
                </c:pt>
                <c:pt idx="3">
                  <c:v>1006.1284818570956</c:v>
                </c:pt>
              </c:numCache>
            </c:numRef>
          </c:xVal>
          <c:yVal>
            <c:numRef>
              <c:f>Trajecto!$B$196:$B$199</c:f>
              <c:numCache>
                <c:formatCode>General</c:formatCode>
                <c:ptCount val="4"/>
                <c:pt idx="0">
                  <c:v>67</c:v>
                </c:pt>
                <c:pt idx="1">
                  <c:v>67</c:v>
                </c:pt>
                <c:pt idx="2">
                  <c:v>100</c:v>
                </c:pt>
                <c:pt idx="3">
                  <c:v>100</c:v>
                </c:pt>
              </c:numCache>
            </c:numRef>
          </c:yVal>
          <c:smooth val="0"/>
          <c:extLst>
            <c:ext xmlns:c16="http://schemas.microsoft.com/office/drawing/2014/chart" uri="{C3380CC4-5D6E-409C-BE32-E72D297353CC}">
              <c16:uniqueId val="{0000000E-3E62-4C97-96C4-8569A9DB8ECB}"/>
            </c:ext>
          </c:extLst>
        </c:ser>
        <c:ser>
          <c:idx val="13"/>
          <c:order val="12"/>
          <c:tx>
            <c:strRef>
              <c:f>Trajecto!$F$176</c:f>
              <c:strCache>
                <c:ptCount val="1"/>
                <c:pt idx="0">
                  <c:v>Tour Eiffel</c:v>
                </c:pt>
              </c:strCache>
            </c:strRef>
          </c:tx>
          <c:spPr>
            <a:ln>
              <a:solidFill>
                <a:srgbClr val="C0C0C0"/>
              </a:solidFill>
            </a:ln>
          </c:spPr>
          <c:marker>
            <c:symbol val="none"/>
          </c:marker>
          <c:xVal>
            <c:numRef>
              <c:f>Trajecto!$F$194:$F$197</c:f>
              <c:numCache>
                <c:formatCode>0</c:formatCode>
                <c:ptCount val="4"/>
                <c:pt idx="0">
                  <c:v>1006.1284818570956</c:v>
                </c:pt>
                <c:pt idx="1">
                  <c:v>989.12848185709561</c:v>
                </c:pt>
                <c:pt idx="2">
                  <c:v>995.12848185709561</c:v>
                </c:pt>
                <c:pt idx="3">
                  <c:v>1006.1284818570956</c:v>
                </c:pt>
              </c:numCache>
            </c:numRef>
          </c:xVal>
          <c:yVal>
            <c:numRef>
              <c:f>Trajecto!$B$196:$B$199</c:f>
              <c:numCache>
                <c:formatCode>General</c:formatCode>
                <c:ptCount val="4"/>
                <c:pt idx="0">
                  <c:v>67</c:v>
                </c:pt>
                <c:pt idx="1">
                  <c:v>67</c:v>
                </c:pt>
                <c:pt idx="2">
                  <c:v>100</c:v>
                </c:pt>
                <c:pt idx="3">
                  <c:v>100</c:v>
                </c:pt>
              </c:numCache>
            </c:numRef>
          </c:yVal>
          <c:smooth val="0"/>
          <c:extLst>
            <c:ext xmlns:c16="http://schemas.microsoft.com/office/drawing/2014/chart" uri="{C3380CC4-5D6E-409C-BE32-E72D297353CC}">
              <c16:uniqueId val="{0000000F-3E62-4C97-96C4-8569A9DB8ECB}"/>
            </c:ext>
          </c:extLst>
        </c:ser>
        <c:ser>
          <c:idx val="3"/>
          <c:order val="13"/>
          <c:tx>
            <c:strRef>
              <c:f>Trajecto!$B$108</c:f>
              <c:strCache>
                <c:ptCount val="1"/>
                <c:pt idx="0">
                  <c:v>Fusée sous parachute</c:v>
                </c:pt>
              </c:strCache>
            </c:strRef>
          </c:tx>
          <c:spPr>
            <a:ln>
              <a:solidFill>
                <a:srgbClr val="008000"/>
              </a:solidFill>
            </a:ln>
          </c:spPr>
          <c:marker>
            <c:symbol val="none"/>
          </c:marker>
          <c:dLbls>
            <c:dLbl>
              <c:idx val="1"/>
              <c:tx>
                <c:strRef>
                  <c:f>Trajecto!$B$108</c:f>
                  <c:strCache>
                    <c:ptCount val="1"/>
                    <c:pt idx="0">
                      <c:v>Fusée sous parachute</c:v>
                    </c:pt>
                  </c:strCache>
                </c:strRef>
              </c:tx>
              <c:spPr/>
              <c:txPr>
                <a:bodyPr/>
                <a:lstStyle/>
                <a:p>
                  <a:pPr>
                    <a:defRPr sz="700" b="1" i="0" u="none" strike="noStrike" baseline="0">
                      <a:solidFill>
                        <a:srgbClr val="008000"/>
                      </a:solidFill>
                      <a:latin typeface="Arial"/>
                      <a:ea typeface="Arial"/>
                      <a:cs typeface="Arial"/>
                    </a:defRPr>
                  </a:pPr>
                  <a:endParaRPr lang="fr-FR"/>
                </a:p>
              </c:txPr>
              <c:showLegendKey val="0"/>
              <c:showVal val="0"/>
              <c:showCatName val="0"/>
              <c:showSerName val="0"/>
              <c:showPercent val="0"/>
              <c:showBubbleSize val="0"/>
              <c:extLst>
                <c:ext xmlns:c15="http://schemas.microsoft.com/office/drawing/2012/chart" uri="{CE6537A1-D6FC-4f65-9D91-7224C49458BB}">
                  <c15:dlblFieldTable>
                    <c15:dlblFTEntry>
                      <c15:txfldGUID>{788978D0-9404-45BD-B171-70C51227E36A}</c15:txfldGUID>
                      <c15:f>Trajecto!$B$108</c15:f>
                      <c15:dlblFieldTableCache>
                        <c:ptCount val="1"/>
                        <c:pt idx="0">
                          <c:v>Fusée sous parachute</c:v>
                        </c:pt>
                      </c15:dlblFieldTableCache>
                    </c15:dlblFTEntry>
                  </c15:dlblFieldTable>
                  <c15:showDataLabelsRange val="0"/>
                </c:ext>
                <c:ext xmlns:c16="http://schemas.microsoft.com/office/drawing/2014/chart" uri="{C3380CC4-5D6E-409C-BE32-E72D297353CC}">
                  <c16:uniqueId val="{00000010-3E62-4C97-96C4-8569A9DB8ECB}"/>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Trajecto!$B$123:$B$129</c:f>
              <c:numCache>
                <c:formatCode>0</c:formatCode>
                <c:ptCount val="7"/>
                <c:pt idx="0">
                  <c:v>894.79141459547611</c:v>
                </c:pt>
                <c:pt idx="1">
                  <c:v>894.79141459547611</c:v>
                </c:pt>
                <c:pt idx="2">
                  <c:v>894.79141459547611</c:v>
                </c:pt>
                <c:pt idx="3">
                  <c:v>961.45558961599249</c:v>
                </c:pt>
                <c:pt idx="4">
                  <c:v>894.79141459547611</c:v>
                </c:pt>
                <c:pt idx="5">
                  <c:v>828.12723957495973</c:v>
                </c:pt>
                <c:pt idx="6">
                  <c:v>894.79141459547611</c:v>
                </c:pt>
              </c:numCache>
            </c:numRef>
          </c:xVal>
          <c:yVal>
            <c:numRef>
              <c:f>Trajecto!$C$121:$C$127</c:f>
              <c:numCache>
                <c:formatCode>0</c:formatCode>
                <c:ptCount val="7"/>
                <c:pt idx="0">
                  <c:v>2666.5670008206562</c:v>
                </c:pt>
                <c:pt idx="1">
                  <c:v>1333.2835004103281</c:v>
                </c:pt>
                <c:pt idx="2">
                  <c:v>0</c:v>
                </c:pt>
                <c:pt idx="3">
                  <c:v>133.32835004103282</c:v>
                </c:pt>
                <c:pt idx="4">
                  <c:v>0</c:v>
                </c:pt>
                <c:pt idx="5">
                  <c:v>133.32835004103282</c:v>
                </c:pt>
                <c:pt idx="6" formatCode="General">
                  <c:v>0</c:v>
                </c:pt>
              </c:numCache>
            </c:numRef>
          </c:yVal>
          <c:smooth val="0"/>
          <c:extLst>
            <c:ext xmlns:c16="http://schemas.microsoft.com/office/drawing/2014/chart" uri="{C3380CC4-5D6E-409C-BE32-E72D297353CC}">
              <c16:uniqueId val="{00000011-3E62-4C97-96C4-8569A9DB8ECB}"/>
            </c:ext>
          </c:extLst>
        </c:ser>
        <c:dLbls>
          <c:showLegendKey val="0"/>
          <c:showVal val="0"/>
          <c:showCatName val="0"/>
          <c:showSerName val="0"/>
          <c:showPercent val="0"/>
          <c:showBubbleSize val="0"/>
        </c:dLbls>
        <c:axId val="148241024"/>
        <c:axId val="149054208"/>
      </c:scatterChart>
      <c:valAx>
        <c:axId val="148241024"/>
        <c:scaling>
          <c:orientation val="minMax"/>
          <c:min val="0"/>
        </c:scaling>
        <c:delete val="0"/>
        <c:axPos val="b"/>
        <c:majorGridlines>
          <c:spPr>
            <a:ln w="3175">
              <a:solidFill>
                <a:srgbClr val="000000"/>
              </a:solidFill>
              <a:prstDash val="sysDash"/>
            </a:ln>
          </c:spPr>
        </c:majorGridlines>
        <c:title>
          <c:tx>
            <c:strRef>
              <c:f>Trajecto!$B$111</c:f>
              <c:strCache>
                <c:ptCount val="1"/>
                <c:pt idx="0">
                  <c:v>Portée x [m]</c:v>
                </c:pt>
              </c:strCache>
            </c:strRef>
          </c:tx>
          <c:layout>
            <c:manualLayout>
              <c:xMode val="edge"/>
              <c:yMode val="edge"/>
              <c:x val="0.56464627732344286"/>
              <c:y val="0.84829693458129063"/>
            </c:manualLayout>
          </c:layout>
          <c:overlay val="0"/>
          <c:spPr>
            <a:solidFill>
              <a:srgbClr val="FFFFFF"/>
            </a:solidFill>
            <a:ln w="25400">
              <a:noFill/>
            </a:ln>
          </c:spPr>
          <c:txPr>
            <a:bodyPr/>
            <a:lstStyle/>
            <a:p>
              <a:pPr>
                <a:defRPr sz="800" b="1" i="0" u="none" strike="noStrike" baseline="0">
                  <a:solidFill>
                    <a:srgbClr val="0000FF"/>
                  </a:solidFill>
                  <a:latin typeface="Arial"/>
                  <a:ea typeface="Arial"/>
                  <a:cs typeface="Arial"/>
                </a:defRPr>
              </a:pPr>
              <a:endParaRPr lang="fr-FR"/>
            </a:p>
          </c:tx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9054208"/>
        <c:crosses val="autoZero"/>
        <c:crossBetween val="midCat"/>
      </c:valAx>
      <c:valAx>
        <c:axId val="149054208"/>
        <c:scaling>
          <c:orientation val="minMax"/>
          <c:min val="0"/>
        </c:scaling>
        <c:delete val="0"/>
        <c:axPos val="l"/>
        <c:majorGridlines>
          <c:spPr>
            <a:ln w="3175">
              <a:solidFill>
                <a:srgbClr val="000000"/>
              </a:solidFill>
              <a:prstDash val="sysDash"/>
            </a:ln>
          </c:spPr>
        </c:majorGridlines>
        <c:title>
          <c:tx>
            <c:rich>
              <a:bodyPr/>
              <a:lstStyle/>
              <a:p>
                <a:pPr>
                  <a:defRPr sz="800" b="1" i="0" u="none" strike="noStrike" baseline="0">
                    <a:solidFill>
                      <a:srgbClr val="0000FF"/>
                    </a:solidFill>
                    <a:latin typeface="Arial"/>
                    <a:ea typeface="Arial"/>
                    <a:cs typeface="Arial"/>
                  </a:defRPr>
                </a:pPr>
                <a:r>
                  <a:rPr lang="fr-FR"/>
                  <a:t>Altitude z [m]</a:t>
                </a:r>
              </a:p>
            </c:rich>
          </c:tx>
          <c:layout>
            <c:manualLayout>
              <c:xMode val="edge"/>
              <c:yMode val="edge"/>
              <c:x val="8.1818320007296413E-2"/>
              <c:y val="6.8111391736410315E-2"/>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8241024"/>
        <c:crosses val="autoZero"/>
        <c:crossBetween val="midCat"/>
      </c:valAx>
      <c:spPr>
        <a:gradFill rotWithShape="0">
          <a:gsLst>
            <a:gs pos="0">
              <a:srgbClr val="99CCFF"/>
            </a:gs>
            <a:gs pos="100000">
              <a:srgbClr val="FFFFFF"/>
            </a:gs>
          </a:gsLst>
          <a:lin ang="5400000" scaled="1"/>
        </a:gradFill>
        <a:ln w="12700">
          <a:solidFill>
            <a:srgbClr val="80808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paperSize="9" firstPageNumber="0"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Trajecto!$B$113</c:f>
          <c:strCache>
            <c:ptCount val="1"/>
            <c:pt idx="0">
              <c:v>Altitude z  /  Temps</c:v>
            </c:pt>
          </c:strCache>
        </c:strRef>
      </c:tx>
      <c:layout>
        <c:manualLayout>
          <c:xMode val="edge"/>
          <c:yMode val="edge"/>
          <c:x val="0.57666688909649"/>
          <c:y val="3.7151818286865097E-2"/>
        </c:manualLayout>
      </c:layout>
      <c:overlay val="0"/>
      <c:spPr>
        <a:noFill/>
        <a:ln w="25400">
          <a:noFill/>
        </a:ln>
      </c:spPr>
      <c:txPr>
        <a:bodyPr/>
        <a:lstStyle/>
        <a:p>
          <a:pPr>
            <a:defRPr sz="800" b="1" i="0" u="none" strike="noStrike" baseline="0">
              <a:solidFill>
                <a:srgbClr val="0000FF"/>
              </a:solidFill>
              <a:latin typeface="Arial"/>
              <a:ea typeface="Arial"/>
              <a:cs typeface="Arial"/>
            </a:defRPr>
          </a:pPr>
          <a:endParaRPr lang="fr-FR"/>
        </a:p>
      </c:txPr>
    </c:title>
    <c:autoTitleDeleted val="0"/>
    <c:plotArea>
      <c:layout>
        <c:manualLayout>
          <c:layoutTarget val="inner"/>
          <c:xMode val="edge"/>
          <c:yMode val="edge"/>
          <c:x val="7.6666916233451413E-2"/>
          <c:y val="3.5608360198500402E-2"/>
          <c:w val="0.89333624132890843"/>
          <c:h val="0.89614373166225958"/>
        </c:manualLayout>
      </c:layout>
      <c:scatterChart>
        <c:scatterStyle val="lineMarker"/>
        <c:varyColors val="0"/>
        <c:ser>
          <c:idx val="4"/>
          <c:order val="0"/>
          <c:tx>
            <c:v>Point invisible pour mise à l'echelle</c:v>
          </c:tx>
          <c:spPr>
            <a:ln w="28575">
              <a:noFill/>
            </a:ln>
          </c:spPr>
          <c:marker>
            <c:symbol val="none"/>
          </c:marker>
          <c:xVal>
            <c:numLit>
              <c:formatCode>General</c:formatCode>
              <c:ptCount val="1"/>
              <c:pt idx="0">
                <c:v>0</c:v>
              </c:pt>
            </c:numLit>
          </c:xVal>
          <c:yVal>
            <c:numRef>
              <c:f>Trajecto!$B$120</c:f>
              <c:numCache>
                <c:formatCode>0</c:formatCode>
                <c:ptCount val="1"/>
                <c:pt idx="0">
                  <c:v>2710.5237034610714</c:v>
                </c:pt>
              </c:numCache>
            </c:numRef>
          </c:yVal>
          <c:smooth val="0"/>
          <c:extLst>
            <c:ext xmlns:c16="http://schemas.microsoft.com/office/drawing/2014/chart" uri="{C3380CC4-5D6E-409C-BE32-E72D297353CC}">
              <c16:uniqueId val="{00000000-AEC5-4DB4-900B-02E79FDE56EC}"/>
            </c:ext>
          </c:extLst>
        </c:ser>
        <c:ser>
          <c:idx val="0"/>
          <c:order val="1"/>
          <c:tx>
            <c:v>1 point par seconde</c:v>
          </c:tx>
          <c:spPr>
            <a:ln w="28575">
              <a:noFill/>
            </a:ln>
          </c:spPr>
          <c:marker>
            <c:symbol val="plus"/>
            <c:size val="7"/>
            <c:spPr>
              <a:noFill/>
              <a:ln>
                <a:solidFill>
                  <a:srgbClr val="000000"/>
                </a:solidFill>
                <a:prstDash val="solid"/>
              </a:ln>
            </c:spPr>
          </c:marker>
          <c:xVal>
            <c:numRef>
              <c:f>Calculs!$AC$4:$AC$1004</c:f>
              <c:numCache>
                <c:formatCode>0</c:formatCode>
                <c:ptCount val="1001"/>
                <c:pt idx="0">
                  <c:v>0</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1.0000000000000007</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2.0000000000000013</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2.99999999999998</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3.9999999999999587</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4.9999999999999378</c:v>
                </c:pt>
                <c:pt idx="501">
                  <c:v>#N/A</c:v>
                </c:pt>
                <c:pt idx="502">
                  <c:v>#N/A</c:v>
                </c:pt>
                <c:pt idx="503">
                  <c:v>#N/A</c:v>
                </c:pt>
                <c:pt idx="504">
                  <c:v>#N/A</c:v>
                </c:pt>
                <c:pt idx="505">
                  <c:v>#N/A</c:v>
                </c:pt>
                <c:pt idx="506">
                  <c:v>#N/A</c:v>
                </c:pt>
                <c:pt idx="507">
                  <c:v>#N/A</c:v>
                </c:pt>
                <c:pt idx="508">
                  <c:v>#N/A</c:v>
                </c:pt>
                <c:pt idx="509">
                  <c:v>#N/A</c:v>
                </c:pt>
                <c:pt idx="510">
                  <c:v>5.9999999999999343</c:v>
                </c:pt>
                <c:pt idx="511">
                  <c:v>#N/A</c:v>
                </c:pt>
                <c:pt idx="512">
                  <c:v>#N/A</c:v>
                </c:pt>
                <c:pt idx="513">
                  <c:v>#N/A</c:v>
                </c:pt>
                <c:pt idx="514">
                  <c:v>#N/A</c:v>
                </c:pt>
                <c:pt idx="515">
                  <c:v>#N/A</c:v>
                </c:pt>
                <c:pt idx="516">
                  <c:v>#N/A</c:v>
                </c:pt>
                <c:pt idx="517">
                  <c:v>#N/A</c:v>
                </c:pt>
                <c:pt idx="518">
                  <c:v>#N/A</c:v>
                </c:pt>
                <c:pt idx="519">
                  <c:v>#N/A</c:v>
                </c:pt>
                <c:pt idx="520">
                  <c:v>6.9999999999999307</c:v>
                </c:pt>
                <c:pt idx="521">
                  <c:v>#N/A</c:v>
                </c:pt>
                <c:pt idx="522">
                  <c:v>#N/A</c:v>
                </c:pt>
                <c:pt idx="523">
                  <c:v>#N/A</c:v>
                </c:pt>
                <c:pt idx="524">
                  <c:v>#N/A</c:v>
                </c:pt>
                <c:pt idx="525">
                  <c:v>#N/A</c:v>
                </c:pt>
                <c:pt idx="526">
                  <c:v>#N/A</c:v>
                </c:pt>
                <c:pt idx="527">
                  <c:v>#N/A</c:v>
                </c:pt>
                <c:pt idx="528">
                  <c:v>#N/A</c:v>
                </c:pt>
                <c:pt idx="529">
                  <c:v>#N/A</c:v>
                </c:pt>
                <c:pt idx="530">
                  <c:v>7.9999999999999272</c:v>
                </c:pt>
                <c:pt idx="531">
                  <c:v>#N/A</c:v>
                </c:pt>
                <c:pt idx="532">
                  <c:v>#N/A</c:v>
                </c:pt>
                <c:pt idx="533">
                  <c:v>#N/A</c:v>
                </c:pt>
                <c:pt idx="534">
                  <c:v>#N/A</c:v>
                </c:pt>
                <c:pt idx="535">
                  <c:v>#N/A</c:v>
                </c:pt>
                <c:pt idx="536">
                  <c:v>#N/A</c:v>
                </c:pt>
                <c:pt idx="537">
                  <c:v>#N/A</c:v>
                </c:pt>
                <c:pt idx="538">
                  <c:v>#N/A</c:v>
                </c:pt>
                <c:pt idx="539">
                  <c:v>#N/A</c:v>
                </c:pt>
                <c:pt idx="540">
                  <c:v>8.9999999999999236</c:v>
                </c:pt>
                <c:pt idx="541">
                  <c:v>#N/A</c:v>
                </c:pt>
                <c:pt idx="542">
                  <c:v>#N/A</c:v>
                </c:pt>
                <c:pt idx="543">
                  <c:v>#N/A</c:v>
                </c:pt>
                <c:pt idx="544">
                  <c:v>#N/A</c:v>
                </c:pt>
                <c:pt idx="545">
                  <c:v>#N/A</c:v>
                </c:pt>
                <c:pt idx="546">
                  <c:v>#N/A</c:v>
                </c:pt>
                <c:pt idx="547">
                  <c:v>#N/A</c:v>
                </c:pt>
                <c:pt idx="548">
                  <c:v>#N/A</c:v>
                </c:pt>
                <c:pt idx="549">
                  <c:v>#N/A</c:v>
                </c:pt>
                <c:pt idx="550">
                  <c:v>9.9999999999999201</c:v>
                </c:pt>
                <c:pt idx="551">
                  <c:v>#N/A</c:v>
                </c:pt>
                <c:pt idx="552">
                  <c:v>#N/A</c:v>
                </c:pt>
                <c:pt idx="553">
                  <c:v>#N/A</c:v>
                </c:pt>
                <c:pt idx="554">
                  <c:v>#N/A</c:v>
                </c:pt>
                <c:pt idx="555">
                  <c:v>#N/A</c:v>
                </c:pt>
                <c:pt idx="556">
                  <c:v>#N/A</c:v>
                </c:pt>
                <c:pt idx="557">
                  <c:v>#N/A</c:v>
                </c:pt>
                <c:pt idx="558">
                  <c:v>#N/A</c:v>
                </c:pt>
                <c:pt idx="559">
                  <c:v>#N/A</c:v>
                </c:pt>
                <c:pt idx="560">
                  <c:v>10.999999999999917</c:v>
                </c:pt>
                <c:pt idx="561">
                  <c:v>#N/A</c:v>
                </c:pt>
                <c:pt idx="562">
                  <c:v>#N/A</c:v>
                </c:pt>
                <c:pt idx="563">
                  <c:v>#N/A</c:v>
                </c:pt>
                <c:pt idx="564">
                  <c:v>#N/A</c:v>
                </c:pt>
                <c:pt idx="565">
                  <c:v>#N/A</c:v>
                </c:pt>
                <c:pt idx="566">
                  <c:v>#N/A</c:v>
                </c:pt>
                <c:pt idx="567">
                  <c:v>#N/A</c:v>
                </c:pt>
                <c:pt idx="568">
                  <c:v>#N/A</c:v>
                </c:pt>
                <c:pt idx="569">
                  <c:v>#N/A</c:v>
                </c:pt>
                <c:pt idx="570">
                  <c:v>11.999999999999913</c:v>
                </c:pt>
                <c:pt idx="571">
                  <c:v>#N/A</c:v>
                </c:pt>
                <c:pt idx="572">
                  <c:v>#N/A</c:v>
                </c:pt>
                <c:pt idx="573">
                  <c:v>#N/A</c:v>
                </c:pt>
                <c:pt idx="574">
                  <c:v>#N/A</c:v>
                </c:pt>
                <c:pt idx="575">
                  <c:v>#N/A</c:v>
                </c:pt>
                <c:pt idx="576">
                  <c:v>#N/A</c:v>
                </c:pt>
                <c:pt idx="577">
                  <c:v>#N/A</c:v>
                </c:pt>
                <c:pt idx="578">
                  <c:v>#N/A</c:v>
                </c:pt>
                <c:pt idx="579">
                  <c:v>#N/A</c:v>
                </c:pt>
                <c:pt idx="580">
                  <c:v>12.999999999999909</c:v>
                </c:pt>
                <c:pt idx="581">
                  <c:v>#N/A</c:v>
                </c:pt>
                <c:pt idx="582">
                  <c:v>#N/A</c:v>
                </c:pt>
                <c:pt idx="583">
                  <c:v>#N/A</c:v>
                </c:pt>
                <c:pt idx="584">
                  <c:v>#N/A</c:v>
                </c:pt>
                <c:pt idx="585">
                  <c:v>#N/A</c:v>
                </c:pt>
                <c:pt idx="586">
                  <c:v>#N/A</c:v>
                </c:pt>
                <c:pt idx="587">
                  <c:v>#N/A</c:v>
                </c:pt>
                <c:pt idx="588">
                  <c:v>#N/A</c:v>
                </c:pt>
                <c:pt idx="589">
                  <c:v>#N/A</c:v>
                </c:pt>
                <c:pt idx="590">
                  <c:v>13.999999999999906</c:v>
                </c:pt>
                <c:pt idx="591">
                  <c:v>#N/A</c:v>
                </c:pt>
                <c:pt idx="592">
                  <c:v>#N/A</c:v>
                </c:pt>
                <c:pt idx="593">
                  <c:v>#N/A</c:v>
                </c:pt>
                <c:pt idx="594">
                  <c:v>#N/A</c:v>
                </c:pt>
                <c:pt idx="595">
                  <c:v>#N/A</c:v>
                </c:pt>
                <c:pt idx="596">
                  <c:v>#N/A</c:v>
                </c:pt>
                <c:pt idx="597">
                  <c:v>#N/A</c:v>
                </c:pt>
                <c:pt idx="598">
                  <c:v>#N/A</c:v>
                </c:pt>
                <c:pt idx="599">
                  <c:v>#N/A</c:v>
                </c:pt>
                <c:pt idx="600">
                  <c:v>14.999999999999902</c:v>
                </c:pt>
                <c:pt idx="601">
                  <c:v>#N/A</c:v>
                </c:pt>
                <c:pt idx="602">
                  <c:v>#N/A</c:v>
                </c:pt>
                <c:pt idx="603">
                  <c:v>#N/A</c:v>
                </c:pt>
                <c:pt idx="604">
                  <c:v>#N/A</c:v>
                </c:pt>
                <c:pt idx="605">
                  <c:v>#N/A</c:v>
                </c:pt>
                <c:pt idx="606">
                  <c:v>#N/A</c:v>
                </c:pt>
                <c:pt idx="607">
                  <c:v>#N/A</c:v>
                </c:pt>
                <c:pt idx="608">
                  <c:v>#N/A</c:v>
                </c:pt>
                <c:pt idx="609">
                  <c:v>#N/A</c:v>
                </c:pt>
                <c:pt idx="610">
                  <c:v>15.999999999999899</c:v>
                </c:pt>
                <c:pt idx="611">
                  <c:v>#N/A</c:v>
                </c:pt>
                <c:pt idx="612">
                  <c:v>#N/A</c:v>
                </c:pt>
                <c:pt idx="613">
                  <c:v>#N/A</c:v>
                </c:pt>
                <c:pt idx="614">
                  <c:v>#N/A</c:v>
                </c:pt>
                <c:pt idx="615">
                  <c:v>#N/A</c:v>
                </c:pt>
                <c:pt idx="616">
                  <c:v>#N/A</c:v>
                </c:pt>
                <c:pt idx="617">
                  <c:v>#N/A</c:v>
                </c:pt>
                <c:pt idx="618">
                  <c:v>#N/A</c:v>
                </c:pt>
                <c:pt idx="619">
                  <c:v>#N/A</c:v>
                </c:pt>
                <c:pt idx="620">
                  <c:v>16.999999999999911</c:v>
                </c:pt>
                <c:pt idx="621">
                  <c:v>#N/A</c:v>
                </c:pt>
                <c:pt idx="622">
                  <c:v>#N/A</c:v>
                </c:pt>
                <c:pt idx="623">
                  <c:v>#N/A</c:v>
                </c:pt>
                <c:pt idx="624">
                  <c:v>#N/A</c:v>
                </c:pt>
                <c:pt idx="625">
                  <c:v>#N/A</c:v>
                </c:pt>
                <c:pt idx="626">
                  <c:v>#N/A</c:v>
                </c:pt>
                <c:pt idx="627">
                  <c:v>#N/A</c:v>
                </c:pt>
                <c:pt idx="628">
                  <c:v>#N/A</c:v>
                </c:pt>
                <c:pt idx="629">
                  <c:v>#N/A</c:v>
                </c:pt>
                <c:pt idx="630">
                  <c:v>17.999999999999925</c:v>
                </c:pt>
                <c:pt idx="631">
                  <c:v>#N/A</c:v>
                </c:pt>
                <c:pt idx="632">
                  <c:v>#N/A</c:v>
                </c:pt>
                <c:pt idx="633">
                  <c:v>#N/A</c:v>
                </c:pt>
                <c:pt idx="634">
                  <c:v>#N/A</c:v>
                </c:pt>
                <c:pt idx="635">
                  <c:v>#N/A</c:v>
                </c:pt>
                <c:pt idx="636">
                  <c:v>#N/A</c:v>
                </c:pt>
                <c:pt idx="637">
                  <c:v>#N/A</c:v>
                </c:pt>
                <c:pt idx="638">
                  <c:v>#N/A</c:v>
                </c:pt>
                <c:pt idx="639">
                  <c:v>#N/A</c:v>
                </c:pt>
                <c:pt idx="640">
                  <c:v>18.99999999999994</c:v>
                </c:pt>
                <c:pt idx="641">
                  <c:v>#N/A</c:v>
                </c:pt>
                <c:pt idx="642">
                  <c:v>#N/A</c:v>
                </c:pt>
                <c:pt idx="643">
                  <c:v>#N/A</c:v>
                </c:pt>
                <c:pt idx="644">
                  <c:v>#N/A</c:v>
                </c:pt>
                <c:pt idx="645">
                  <c:v>#N/A</c:v>
                </c:pt>
                <c:pt idx="646">
                  <c:v>#N/A</c:v>
                </c:pt>
                <c:pt idx="647">
                  <c:v>#N/A</c:v>
                </c:pt>
                <c:pt idx="648">
                  <c:v>#N/A</c:v>
                </c:pt>
                <c:pt idx="649">
                  <c:v>#N/A</c:v>
                </c:pt>
                <c:pt idx="650">
                  <c:v>19.999999999999954</c:v>
                </c:pt>
                <c:pt idx="651">
                  <c:v>#N/A</c:v>
                </c:pt>
                <c:pt idx="652">
                  <c:v>#N/A</c:v>
                </c:pt>
                <c:pt idx="653">
                  <c:v>#N/A</c:v>
                </c:pt>
                <c:pt idx="654">
                  <c:v>#N/A</c:v>
                </c:pt>
                <c:pt idx="655">
                  <c:v>#N/A</c:v>
                </c:pt>
                <c:pt idx="656">
                  <c:v>#N/A</c:v>
                </c:pt>
                <c:pt idx="657">
                  <c:v>#N/A</c:v>
                </c:pt>
                <c:pt idx="658">
                  <c:v>#N/A</c:v>
                </c:pt>
                <c:pt idx="659">
                  <c:v>#N/A</c:v>
                </c:pt>
                <c:pt idx="660">
                  <c:v>20.999999999999968</c:v>
                </c:pt>
                <c:pt idx="661">
                  <c:v>#N/A</c:v>
                </c:pt>
                <c:pt idx="662">
                  <c:v>#N/A</c:v>
                </c:pt>
                <c:pt idx="663">
                  <c:v>#N/A</c:v>
                </c:pt>
                <c:pt idx="664">
                  <c:v>#N/A</c:v>
                </c:pt>
                <c:pt idx="665">
                  <c:v>#N/A</c:v>
                </c:pt>
                <c:pt idx="666">
                  <c:v>#N/A</c:v>
                </c:pt>
                <c:pt idx="667">
                  <c:v>#N/A</c:v>
                </c:pt>
                <c:pt idx="668">
                  <c:v>#N/A</c:v>
                </c:pt>
                <c:pt idx="669">
                  <c:v>#N/A</c:v>
                </c:pt>
                <c:pt idx="670">
                  <c:v>21.999999999999982</c:v>
                </c:pt>
                <c:pt idx="671">
                  <c:v>#N/A</c:v>
                </c:pt>
                <c:pt idx="672">
                  <c:v>#N/A</c:v>
                </c:pt>
                <c:pt idx="673">
                  <c:v>#N/A</c:v>
                </c:pt>
                <c:pt idx="674">
                  <c:v>#N/A</c:v>
                </c:pt>
                <c:pt idx="675">
                  <c:v>#N/A</c:v>
                </c:pt>
                <c:pt idx="676">
                  <c:v>#N/A</c:v>
                </c:pt>
                <c:pt idx="677">
                  <c:v>#N/A</c:v>
                </c:pt>
                <c:pt idx="678">
                  <c:v>#N/A</c:v>
                </c:pt>
                <c:pt idx="679">
                  <c:v>#N/A</c:v>
                </c:pt>
                <c:pt idx="680">
                  <c:v>22.999999999999996</c:v>
                </c:pt>
                <c:pt idx="681">
                  <c:v>#N/A</c:v>
                </c:pt>
                <c:pt idx="682">
                  <c:v>#N/A</c:v>
                </c:pt>
                <c:pt idx="683">
                  <c:v>#N/A</c:v>
                </c:pt>
                <c:pt idx="684">
                  <c:v>#N/A</c:v>
                </c:pt>
                <c:pt idx="685">
                  <c:v>#N/A</c:v>
                </c:pt>
                <c:pt idx="686">
                  <c:v>#N/A</c:v>
                </c:pt>
                <c:pt idx="687">
                  <c:v>#N/A</c:v>
                </c:pt>
                <c:pt idx="688">
                  <c:v>#N/A</c:v>
                </c:pt>
                <c:pt idx="689">
                  <c:v>#N/A</c:v>
                </c:pt>
                <c:pt idx="690">
                  <c:v>24.000000000000011</c:v>
                </c:pt>
                <c:pt idx="691">
                  <c:v>#N/A</c:v>
                </c:pt>
                <c:pt idx="692">
                  <c:v>#N/A</c:v>
                </c:pt>
                <c:pt idx="693">
                  <c:v>#N/A</c:v>
                </c:pt>
                <c:pt idx="694">
                  <c:v>#N/A</c:v>
                </c:pt>
                <c:pt idx="695">
                  <c:v>#N/A</c:v>
                </c:pt>
                <c:pt idx="696">
                  <c:v>#N/A</c:v>
                </c:pt>
                <c:pt idx="697">
                  <c:v>#N/A</c:v>
                </c:pt>
                <c:pt idx="698">
                  <c:v>#N/A</c:v>
                </c:pt>
                <c:pt idx="699">
                  <c:v>#N/A</c:v>
                </c:pt>
                <c:pt idx="700">
                  <c:v>25.000000000000025</c:v>
                </c:pt>
                <c:pt idx="701">
                  <c:v>#N/A</c:v>
                </c:pt>
                <c:pt idx="702">
                  <c:v>#N/A</c:v>
                </c:pt>
                <c:pt idx="703">
                  <c:v>#N/A</c:v>
                </c:pt>
                <c:pt idx="704">
                  <c:v>#N/A</c:v>
                </c:pt>
                <c:pt idx="705">
                  <c:v>#N/A</c:v>
                </c:pt>
                <c:pt idx="706">
                  <c:v>#N/A</c:v>
                </c:pt>
                <c:pt idx="707">
                  <c:v>#N/A</c:v>
                </c:pt>
                <c:pt idx="708">
                  <c:v>#N/A</c:v>
                </c:pt>
                <c:pt idx="709">
                  <c:v>#N/A</c:v>
                </c:pt>
                <c:pt idx="710">
                  <c:v>26.000000000000039</c:v>
                </c:pt>
                <c:pt idx="711">
                  <c:v>#N/A</c:v>
                </c:pt>
                <c:pt idx="712">
                  <c:v>#N/A</c:v>
                </c:pt>
                <c:pt idx="713">
                  <c:v>#N/A</c:v>
                </c:pt>
                <c:pt idx="714">
                  <c:v>#N/A</c:v>
                </c:pt>
                <c:pt idx="715">
                  <c:v>#N/A</c:v>
                </c:pt>
                <c:pt idx="716">
                  <c:v>#N/A</c:v>
                </c:pt>
                <c:pt idx="717">
                  <c:v>#N/A</c:v>
                </c:pt>
                <c:pt idx="718">
                  <c:v>#N/A</c:v>
                </c:pt>
                <c:pt idx="719">
                  <c:v>#N/A</c:v>
                </c:pt>
                <c:pt idx="720">
                  <c:v>27.000000000000053</c:v>
                </c:pt>
                <c:pt idx="721">
                  <c:v>#N/A</c:v>
                </c:pt>
                <c:pt idx="722">
                  <c:v>#N/A</c:v>
                </c:pt>
                <c:pt idx="723">
                  <c:v>#N/A</c:v>
                </c:pt>
                <c:pt idx="724">
                  <c:v>#N/A</c:v>
                </c:pt>
                <c:pt idx="725">
                  <c:v>#N/A</c:v>
                </c:pt>
                <c:pt idx="726">
                  <c:v>#N/A</c:v>
                </c:pt>
                <c:pt idx="727">
                  <c:v>#N/A</c:v>
                </c:pt>
                <c:pt idx="728">
                  <c:v>#N/A</c:v>
                </c:pt>
                <c:pt idx="729">
                  <c:v>#N/A</c:v>
                </c:pt>
                <c:pt idx="730">
                  <c:v>28.000000000000068</c:v>
                </c:pt>
                <c:pt idx="731">
                  <c:v>#N/A</c:v>
                </c:pt>
                <c:pt idx="732">
                  <c:v>#N/A</c:v>
                </c:pt>
                <c:pt idx="733">
                  <c:v>#N/A</c:v>
                </c:pt>
                <c:pt idx="734">
                  <c:v>#N/A</c:v>
                </c:pt>
                <c:pt idx="735">
                  <c:v>#N/A</c:v>
                </c:pt>
                <c:pt idx="736">
                  <c:v>#N/A</c:v>
                </c:pt>
                <c:pt idx="737">
                  <c:v>#N/A</c:v>
                </c:pt>
                <c:pt idx="738">
                  <c:v>#N/A</c:v>
                </c:pt>
                <c:pt idx="739">
                  <c:v>#N/A</c:v>
                </c:pt>
                <c:pt idx="740">
                  <c:v>29.000000000000082</c:v>
                </c:pt>
                <c:pt idx="741">
                  <c:v>#N/A</c:v>
                </c:pt>
                <c:pt idx="742">
                  <c:v>#N/A</c:v>
                </c:pt>
                <c:pt idx="743">
                  <c:v>#N/A</c:v>
                </c:pt>
                <c:pt idx="744">
                  <c:v>#N/A</c:v>
                </c:pt>
                <c:pt idx="745">
                  <c:v>#N/A</c:v>
                </c:pt>
                <c:pt idx="746">
                  <c:v>#N/A</c:v>
                </c:pt>
                <c:pt idx="747">
                  <c:v>#N/A</c:v>
                </c:pt>
                <c:pt idx="748">
                  <c:v>#N/A</c:v>
                </c:pt>
                <c:pt idx="749">
                  <c:v>#N/A</c:v>
                </c:pt>
                <c:pt idx="750">
                  <c:v>30.000000000000096</c:v>
                </c:pt>
                <c:pt idx="751">
                  <c:v>#N/A</c:v>
                </c:pt>
                <c:pt idx="752">
                  <c:v>#N/A</c:v>
                </c:pt>
                <c:pt idx="753">
                  <c:v>#N/A</c:v>
                </c:pt>
                <c:pt idx="754">
                  <c:v>#N/A</c:v>
                </c:pt>
                <c:pt idx="755">
                  <c:v>#N/A</c:v>
                </c:pt>
                <c:pt idx="756">
                  <c:v>#N/A</c:v>
                </c:pt>
                <c:pt idx="757">
                  <c:v>#N/A</c:v>
                </c:pt>
                <c:pt idx="758">
                  <c:v>#N/A</c:v>
                </c:pt>
                <c:pt idx="759">
                  <c:v>#N/A</c:v>
                </c:pt>
                <c:pt idx="760">
                  <c:v>31.00000000000011</c:v>
                </c:pt>
                <c:pt idx="761">
                  <c:v>#N/A</c:v>
                </c:pt>
                <c:pt idx="762">
                  <c:v>#N/A</c:v>
                </c:pt>
                <c:pt idx="763">
                  <c:v>#N/A</c:v>
                </c:pt>
                <c:pt idx="764">
                  <c:v>#N/A</c:v>
                </c:pt>
                <c:pt idx="765">
                  <c:v>#N/A</c:v>
                </c:pt>
                <c:pt idx="766">
                  <c:v>#N/A</c:v>
                </c:pt>
                <c:pt idx="767">
                  <c:v>#N/A</c:v>
                </c:pt>
                <c:pt idx="768">
                  <c:v>#N/A</c:v>
                </c:pt>
                <c:pt idx="769">
                  <c:v>#N/A</c:v>
                </c:pt>
                <c:pt idx="770">
                  <c:v>32.000000000000121</c:v>
                </c:pt>
                <c:pt idx="771">
                  <c:v>#N/A</c:v>
                </c:pt>
                <c:pt idx="772">
                  <c:v>#N/A</c:v>
                </c:pt>
                <c:pt idx="773">
                  <c:v>#N/A</c:v>
                </c:pt>
                <c:pt idx="774">
                  <c:v>#N/A</c:v>
                </c:pt>
                <c:pt idx="775">
                  <c:v>#N/A</c:v>
                </c:pt>
                <c:pt idx="776">
                  <c:v>#N/A</c:v>
                </c:pt>
                <c:pt idx="777">
                  <c:v>#N/A</c:v>
                </c:pt>
                <c:pt idx="778">
                  <c:v>#N/A</c:v>
                </c:pt>
                <c:pt idx="779">
                  <c:v>#N/A</c:v>
                </c:pt>
                <c:pt idx="780">
                  <c:v>33.000000000000135</c:v>
                </c:pt>
                <c:pt idx="781">
                  <c:v>#N/A</c:v>
                </c:pt>
                <c:pt idx="782">
                  <c:v>#N/A</c:v>
                </c:pt>
                <c:pt idx="783">
                  <c:v>#N/A</c:v>
                </c:pt>
                <c:pt idx="784">
                  <c:v>#N/A</c:v>
                </c:pt>
                <c:pt idx="785">
                  <c:v>#N/A</c:v>
                </c:pt>
                <c:pt idx="786">
                  <c:v>#N/A</c:v>
                </c:pt>
                <c:pt idx="787">
                  <c:v>#N/A</c:v>
                </c:pt>
                <c:pt idx="788">
                  <c:v>#N/A</c:v>
                </c:pt>
                <c:pt idx="789">
                  <c:v>#N/A</c:v>
                </c:pt>
                <c:pt idx="790">
                  <c:v>34.000000000000149</c:v>
                </c:pt>
                <c:pt idx="791">
                  <c:v>#N/A</c:v>
                </c:pt>
                <c:pt idx="792">
                  <c:v>#N/A</c:v>
                </c:pt>
                <c:pt idx="793">
                  <c:v>#N/A</c:v>
                </c:pt>
                <c:pt idx="794">
                  <c:v>#N/A</c:v>
                </c:pt>
                <c:pt idx="795">
                  <c:v>#N/A</c:v>
                </c:pt>
                <c:pt idx="796">
                  <c:v>#N/A</c:v>
                </c:pt>
                <c:pt idx="797">
                  <c:v>#N/A</c:v>
                </c:pt>
                <c:pt idx="798">
                  <c:v>#N/A</c:v>
                </c:pt>
                <c:pt idx="799">
                  <c:v>#N/A</c:v>
                </c:pt>
                <c:pt idx="800">
                  <c:v>35.000000000000163</c:v>
                </c:pt>
                <c:pt idx="801">
                  <c:v>#N/A</c:v>
                </c:pt>
                <c:pt idx="802">
                  <c:v>#N/A</c:v>
                </c:pt>
                <c:pt idx="803">
                  <c:v>#N/A</c:v>
                </c:pt>
                <c:pt idx="804">
                  <c:v>#N/A</c:v>
                </c:pt>
                <c:pt idx="805">
                  <c:v>#N/A</c:v>
                </c:pt>
                <c:pt idx="806">
                  <c:v>#N/A</c:v>
                </c:pt>
                <c:pt idx="807">
                  <c:v>#N/A</c:v>
                </c:pt>
                <c:pt idx="808">
                  <c:v>#N/A</c:v>
                </c:pt>
                <c:pt idx="809">
                  <c:v>#N/A</c:v>
                </c:pt>
                <c:pt idx="810">
                  <c:v>36.000000000000178</c:v>
                </c:pt>
                <c:pt idx="811">
                  <c:v>#N/A</c:v>
                </c:pt>
                <c:pt idx="812">
                  <c:v>#N/A</c:v>
                </c:pt>
                <c:pt idx="813">
                  <c:v>#N/A</c:v>
                </c:pt>
                <c:pt idx="814">
                  <c:v>#N/A</c:v>
                </c:pt>
                <c:pt idx="815">
                  <c:v>#N/A</c:v>
                </c:pt>
                <c:pt idx="816">
                  <c:v>#N/A</c:v>
                </c:pt>
                <c:pt idx="817">
                  <c:v>#N/A</c:v>
                </c:pt>
                <c:pt idx="818">
                  <c:v>#N/A</c:v>
                </c:pt>
                <c:pt idx="819">
                  <c:v>#N/A</c:v>
                </c:pt>
                <c:pt idx="820">
                  <c:v>37.000000000000192</c:v>
                </c:pt>
                <c:pt idx="821">
                  <c:v>#N/A</c:v>
                </c:pt>
                <c:pt idx="822">
                  <c:v>#N/A</c:v>
                </c:pt>
                <c:pt idx="823">
                  <c:v>#N/A</c:v>
                </c:pt>
                <c:pt idx="824">
                  <c:v>#N/A</c:v>
                </c:pt>
                <c:pt idx="825">
                  <c:v>#N/A</c:v>
                </c:pt>
                <c:pt idx="826">
                  <c:v>#N/A</c:v>
                </c:pt>
                <c:pt idx="827">
                  <c:v>#N/A</c:v>
                </c:pt>
                <c:pt idx="828">
                  <c:v>#N/A</c:v>
                </c:pt>
                <c:pt idx="829">
                  <c:v>#N/A</c:v>
                </c:pt>
                <c:pt idx="830">
                  <c:v>38.000000000000206</c:v>
                </c:pt>
                <c:pt idx="831">
                  <c:v>#N/A</c:v>
                </c:pt>
                <c:pt idx="832">
                  <c:v>#N/A</c:v>
                </c:pt>
                <c:pt idx="833">
                  <c:v>#N/A</c:v>
                </c:pt>
                <c:pt idx="834">
                  <c:v>#N/A</c:v>
                </c:pt>
                <c:pt idx="835">
                  <c:v>#N/A</c:v>
                </c:pt>
                <c:pt idx="836">
                  <c:v>#N/A</c:v>
                </c:pt>
                <c:pt idx="837">
                  <c:v>#N/A</c:v>
                </c:pt>
                <c:pt idx="838">
                  <c:v>#N/A</c:v>
                </c:pt>
                <c:pt idx="839">
                  <c:v>#N/A</c:v>
                </c:pt>
                <c:pt idx="840">
                  <c:v>39.00000000000022</c:v>
                </c:pt>
                <c:pt idx="841">
                  <c:v>#N/A</c:v>
                </c:pt>
                <c:pt idx="842">
                  <c:v>#N/A</c:v>
                </c:pt>
                <c:pt idx="843">
                  <c:v>#N/A</c:v>
                </c:pt>
                <c:pt idx="844">
                  <c:v>#N/A</c:v>
                </c:pt>
                <c:pt idx="845">
                  <c:v>#N/A</c:v>
                </c:pt>
                <c:pt idx="846">
                  <c:v>#N/A</c:v>
                </c:pt>
                <c:pt idx="847">
                  <c:v>#N/A</c:v>
                </c:pt>
                <c:pt idx="848">
                  <c:v>#N/A</c:v>
                </c:pt>
                <c:pt idx="849">
                  <c:v>#N/A</c:v>
                </c:pt>
                <c:pt idx="850">
                  <c:v>40.000000000000234</c:v>
                </c:pt>
                <c:pt idx="851">
                  <c:v>#N/A</c:v>
                </c:pt>
                <c:pt idx="852">
                  <c:v>#N/A</c:v>
                </c:pt>
                <c:pt idx="853">
                  <c:v>#N/A</c:v>
                </c:pt>
                <c:pt idx="854">
                  <c:v>#N/A</c:v>
                </c:pt>
                <c:pt idx="855">
                  <c:v>#N/A</c:v>
                </c:pt>
                <c:pt idx="856">
                  <c:v>#N/A</c:v>
                </c:pt>
                <c:pt idx="857">
                  <c:v>#N/A</c:v>
                </c:pt>
                <c:pt idx="858">
                  <c:v>#N/A</c:v>
                </c:pt>
                <c:pt idx="859">
                  <c:v>#N/A</c:v>
                </c:pt>
                <c:pt idx="860">
                  <c:v>41.000000000000249</c:v>
                </c:pt>
                <c:pt idx="861">
                  <c:v>#N/A</c:v>
                </c:pt>
                <c:pt idx="862">
                  <c:v>#N/A</c:v>
                </c:pt>
                <c:pt idx="863">
                  <c:v>#N/A</c:v>
                </c:pt>
                <c:pt idx="864">
                  <c:v>#N/A</c:v>
                </c:pt>
                <c:pt idx="865">
                  <c:v>#N/A</c:v>
                </c:pt>
                <c:pt idx="866">
                  <c:v>#N/A</c:v>
                </c:pt>
                <c:pt idx="867">
                  <c:v>#N/A</c:v>
                </c:pt>
                <c:pt idx="868">
                  <c:v>#N/A</c:v>
                </c:pt>
                <c:pt idx="869">
                  <c:v>#N/A</c:v>
                </c:pt>
                <c:pt idx="870">
                  <c:v>42.000000000000263</c:v>
                </c:pt>
                <c:pt idx="871">
                  <c:v>#N/A</c:v>
                </c:pt>
                <c:pt idx="872">
                  <c:v>#N/A</c:v>
                </c:pt>
                <c:pt idx="873">
                  <c:v>#N/A</c:v>
                </c:pt>
                <c:pt idx="874">
                  <c:v>#N/A</c:v>
                </c:pt>
                <c:pt idx="875">
                  <c:v>#N/A</c:v>
                </c:pt>
                <c:pt idx="876">
                  <c:v>#N/A</c:v>
                </c:pt>
                <c:pt idx="877">
                  <c:v>#N/A</c:v>
                </c:pt>
                <c:pt idx="878">
                  <c:v>#N/A</c:v>
                </c:pt>
                <c:pt idx="879">
                  <c:v>#N/A</c:v>
                </c:pt>
                <c:pt idx="880">
                  <c:v>43.000000000000277</c:v>
                </c:pt>
                <c:pt idx="881">
                  <c:v>#N/A</c:v>
                </c:pt>
                <c:pt idx="882">
                  <c:v>#N/A</c:v>
                </c:pt>
                <c:pt idx="883">
                  <c:v>#N/A</c:v>
                </c:pt>
                <c:pt idx="884">
                  <c:v>#N/A</c:v>
                </c:pt>
                <c:pt idx="885">
                  <c:v>#N/A</c:v>
                </c:pt>
                <c:pt idx="886">
                  <c:v>#N/A</c:v>
                </c:pt>
                <c:pt idx="887">
                  <c:v>#N/A</c:v>
                </c:pt>
                <c:pt idx="888">
                  <c:v>#N/A</c:v>
                </c:pt>
                <c:pt idx="889">
                  <c:v>#N/A</c:v>
                </c:pt>
                <c:pt idx="890">
                  <c:v>44.000000000000291</c:v>
                </c:pt>
                <c:pt idx="891">
                  <c:v>#N/A</c:v>
                </c:pt>
                <c:pt idx="892">
                  <c:v>#N/A</c:v>
                </c:pt>
                <c:pt idx="893">
                  <c:v>#N/A</c:v>
                </c:pt>
                <c:pt idx="894">
                  <c:v>#N/A</c:v>
                </c:pt>
                <c:pt idx="895">
                  <c:v>#N/A</c:v>
                </c:pt>
                <c:pt idx="896">
                  <c:v>#N/A</c:v>
                </c:pt>
                <c:pt idx="897">
                  <c:v>#N/A</c:v>
                </c:pt>
                <c:pt idx="898">
                  <c:v>#N/A</c:v>
                </c:pt>
                <c:pt idx="899">
                  <c:v>#N/A</c:v>
                </c:pt>
                <c:pt idx="900">
                  <c:v>45.000000000000306</c:v>
                </c:pt>
                <c:pt idx="901">
                  <c:v>#N/A</c:v>
                </c:pt>
                <c:pt idx="902">
                  <c:v>#N/A</c:v>
                </c:pt>
                <c:pt idx="903">
                  <c:v>#N/A</c:v>
                </c:pt>
                <c:pt idx="904">
                  <c:v>#N/A</c:v>
                </c:pt>
                <c:pt idx="905">
                  <c:v>#N/A</c:v>
                </c:pt>
                <c:pt idx="906">
                  <c:v>#N/A</c:v>
                </c:pt>
                <c:pt idx="907">
                  <c:v>#N/A</c:v>
                </c:pt>
                <c:pt idx="908">
                  <c:v>#N/A</c:v>
                </c:pt>
                <c:pt idx="909">
                  <c:v>#N/A</c:v>
                </c:pt>
                <c:pt idx="910">
                  <c:v>46.00000000000032</c:v>
                </c:pt>
                <c:pt idx="911">
                  <c:v>#N/A</c:v>
                </c:pt>
                <c:pt idx="912">
                  <c:v>#N/A</c:v>
                </c:pt>
                <c:pt idx="913">
                  <c:v>#N/A</c:v>
                </c:pt>
                <c:pt idx="914">
                  <c:v>#N/A</c:v>
                </c:pt>
                <c:pt idx="915">
                  <c:v>#N/A</c:v>
                </c:pt>
                <c:pt idx="916">
                  <c:v>#N/A</c:v>
                </c:pt>
                <c:pt idx="917">
                  <c:v>#N/A</c:v>
                </c:pt>
                <c:pt idx="918">
                  <c:v>#N/A</c:v>
                </c:pt>
                <c:pt idx="919">
                  <c:v>#N/A</c:v>
                </c:pt>
                <c:pt idx="920">
                  <c:v>47.000000000000334</c:v>
                </c:pt>
                <c:pt idx="921">
                  <c:v>#N/A</c:v>
                </c:pt>
                <c:pt idx="922">
                  <c:v>#N/A</c:v>
                </c:pt>
                <c:pt idx="923">
                  <c:v>#N/A</c:v>
                </c:pt>
                <c:pt idx="924">
                  <c:v>#N/A</c:v>
                </c:pt>
                <c:pt idx="925">
                  <c:v>#N/A</c:v>
                </c:pt>
                <c:pt idx="926">
                  <c:v>#N/A</c:v>
                </c:pt>
                <c:pt idx="927">
                  <c:v>#N/A</c:v>
                </c:pt>
                <c:pt idx="928">
                  <c:v>#N/A</c:v>
                </c:pt>
                <c:pt idx="929">
                  <c:v>#N/A</c:v>
                </c:pt>
                <c:pt idx="930">
                  <c:v>48.000000000000348</c:v>
                </c:pt>
                <c:pt idx="931">
                  <c:v>#N/A</c:v>
                </c:pt>
                <c:pt idx="932">
                  <c:v>#N/A</c:v>
                </c:pt>
                <c:pt idx="933">
                  <c:v>#N/A</c:v>
                </c:pt>
                <c:pt idx="934">
                  <c:v>#N/A</c:v>
                </c:pt>
                <c:pt idx="935">
                  <c:v>#N/A</c:v>
                </c:pt>
                <c:pt idx="936">
                  <c:v>#N/A</c:v>
                </c:pt>
                <c:pt idx="937">
                  <c:v>#N/A</c:v>
                </c:pt>
                <c:pt idx="938">
                  <c:v>#N/A</c:v>
                </c:pt>
                <c:pt idx="939">
                  <c:v>#N/A</c:v>
                </c:pt>
                <c:pt idx="940">
                  <c:v>49.000000000000362</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xVal>
          <c:yVal>
            <c:numRef>
              <c:f>Calculs!$K$4:$K$1004</c:f>
              <c:numCache>
                <c:formatCode>0.00</c:formatCode>
                <c:ptCount val="1001"/>
                <c:pt idx="0">
                  <c:v>0</c:v>
                </c:pt>
                <c:pt idx="1">
                  <c:v>4.4279572656441422E-4</c:v>
                </c:pt>
                <c:pt idx="2">
                  <c:v>2.7845659552549399E-3</c:v>
                </c:pt>
                <c:pt idx="3">
                  <c:v>8.4593506145101884E-3</c:v>
                </c:pt>
                <c:pt idx="4">
                  <c:v>1.8308779906268193E-2</c:v>
                </c:pt>
                <c:pt idx="5">
                  <c:v>3.3175168883948745E-2</c:v>
                </c:pt>
                <c:pt idx="6">
                  <c:v>5.3901621016958577E-2</c:v>
                </c:pt>
                <c:pt idx="7">
                  <c:v>8.1332131042135242E-2</c:v>
                </c:pt>
                <c:pt idx="8">
                  <c:v>0.11631168714046478</c:v>
                </c:pt>
                <c:pt idx="9">
                  <c:v>0.1596863724764486</c:v>
                </c:pt>
                <c:pt idx="10">
                  <c:v>0.21230346613657358</c:v>
                </c:pt>
                <c:pt idx="11">
                  <c:v>0.27476944495113026</c:v>
                </c:pt>
                <c:pt idx="12">
                  <c:v>0.34720740833581992</c:v>
                </c:pt>
                <c:pt idx="13">
                  <c:v>0.429496537796903</c:v>
                </c:pt>
                <c:pt idx="14">
                  <c:v>0.52151208103113078</c:v>
                </c:pt>
                <c:pt idx="15">
                  <c:v>0.62312719351328583</c:v>
                </c:pt>
                <c:pt idx="16">
                  <c:v>0.73421478414008723</c:v>
                </c:pt>
                <c:pt idx="17">
                  <c:v>0.85464751921865045</c:v>
                </c:pt>
                <c:pt idx="18">
                  <c:v>0.9842978264538047</c:v>
                </c:pt>
                <c:pt idx="19">
                  <c:v>1.1230378989337295</c:v>
                </c:pt>
                <c:pt idx="20">
                  <c:v>1.2707396991133766</c:v>
                </c:pt>
                <c:pt idx="21">
                  <c:v>1.4272749627951438</c:v>
                </c:pt>
                <c:pt idx="22">
                  <c:v>1.592515203106273</c:v>
                </c:pt>
                <c:pt idx="23">
                  <c:v>1.7663317144724466</c:v>
                </c:pt>
                <c:pt idx="24">
                  <c:v>1.9485955765870577</c:v>
                </c:pt>
                <c:pt idx="25">
                  <c:v>2.1391776583756372</c:v>
                </c:pt>
                <c:pt idx="26">
                  <c:v>2.3379486219549204</c:v>
                </c:pt>
                <c:pt idx="27">
                  <c:v>2.5448114640407384</c:v>
                </c:pt>
                <c:pt idx="28">
                  <c:v>2.7597341126961408</c:v>
                </c:pt>
                <c:pt idx="29">
                  <c:v>2.9827169737567556</c:v>
                </c:pt>
                <c:pt idx="30">
                  <c:v>3.213760419916297</c:v>
                </c:pt>
                <c:pt idx="31">
                  <c:v>3.4528647906839045</c:v>
                </c:pt>
                <c:pt idx="32">
                  <c:v>3.7000303923421236</c:v>
                </c:pt>
                <c:pt idx="33">
                  <c:v>3.9552574979055302</c:v>
                </c:pt>
                <c:pt idx="34">
                  <c:v>4.2185315499017708</c:v>
                </c:pt>
                <c:pt idx="35">
                  <c:v>4.4898374653202602</c:v>
                </c:pt>
                <c:pt idx="36">
                  <c:v>4.7691744365682753</c:v>
                </c:pt>
                <c:pt idx="37">
                  <c:v>5.0565416370551262</c:v>
                </c:pt>
                <c:pt idx="38">
                  <c:v>5.3519382274349248</c:v>
                </c:pt>
                <c:pt idx="39">
                  <c:v>5.6553633545803503</c:v>
                </c:pt>
                <c:pt idx="40">
                  <c:v>5.9668161506299482</c:v>
                </c:pt>
                <c:pt idx="41">
                  <c:v>6.2862957321018547</c:v>
                </c:pt>
                <c:pt idx="42">
                  <c:v>6.6138011990677033</c:v>
                </c:pt>
                <c:pt idx="43">
                  <c:v>6.9493316343811893</c:v>
                </c:pt>
                <c:pt idx="44">
                  <c:v>7.2928861029564178</c:v>
                </c:pt>
                <c:pt idx="45">
                  <c:v>7.6444636510916872</c:v>
                </c:pt>
                <c:pt idx="46">
                  <c:v>8.0040633058348529</c:v>
                </c:pt>
                <c:pt idx="47">
                  <c:v>8.3716840743868115</c:v>
                </c:pt>
                <c:pt idx="48">
                  <c:v>8.7473249435400202</c:v>
                </c:pt>
                <c:pt idx="49">
                  <c:v>9.1309848791492794</c:v>
                </c:pt>
                <c:pt idx="50">
                  <c:v>9.5226628256322758</c:v>
                </c:pt>
                <c:pt idx="51">
                  <c:v>9.9223577054976317</c:v>
                </c:pt>
                <c:pt idx="52">
                  <c:v>10.33006841889844</c:v>
                </c:pt>
                <c:pt idx="53">
                  <c:v>10.745793843209418</c:v>
                </c:pt>
                <c:pt idx="54">
                  <c:v>11.169532832626027</c:v>
                </c:pt>
                <c:pt idx="55">
                  <c:v>11.601284217784031</c:v>
                </c:pt>
                <c:pt idx="56">
                  <c:v>12.041046805398096</c:v>
                </c:pt>
                <c:pt idx="57">
                  <c:v>12.488819377918182</c:v>
                </c:pt>
                <c:pt idx="58">
                  <c:v>12.944600693202551</c:v>
                </c:pt>
                <c:pt idx="59">
                  <c:v>13.40838948420636</c:v>
                </c:pt>
                <c:pt idx="60">
                  <c:v>13.880184458684836</c:v>
                </c:pt>
                <c:pt idx="61">
                  <c:v>14.359984298910158</c:v>
                </c:pt>
                <c:pt idx="62">
                  <c:v>14.847787661401227</c:v>
                </c:pt>
                <c:pt idx="63">
                  <c:v>15.343593176665555</c:v>
                </c:pt>
                <c:pt idx="64">
                  <c:v>15.847399448952586</c:v>
                </c:pt>
                <c:pt idx="65">
                  <c:v>16.3592050560178</c:v>
                </c:pt>
                <c:pt idx="66">
                  <c:v>16.879008548897001</c:v>
                </c:pt>
                <c:pt idx="67">
                  <c:v>17.406808451690249</c:v>
                </c:pt>
                <c:pt idx="68">
                  <c:v>17.942603261354897</c:v>
                </c:pt>
                <c:pt idx="69">
                  <c:v>18.486391447507291</c:v>
                </c:pt>
                <c:pt idx="70">
                  <c:v>19.038171452232671</c:v>
                </c:pt>
                <c:pt idx="71">
                  <c:v>19.597941689902861</c:v>
                </c:pt>
                <c:pt idx="72">
                  <c:v>20.165700175768404</c:v>
                </c:pt>
                <c:pt idx="73">
                  <c:v>20.741444154050047</c:v>
                </c:pt>
                <c:pt idx="74">
                  <c:v>21.325170468296179</c:v>
                </c:pt>
                <c:pt idx="75">
                  <c:v>21.91687593226121</c:v>
                </c:pt>
                <c:pt idx="76">
                  <c:v>22.516557329770823</c:v>
                </c:pt>
                <c:pt idx="77">
                  <c:v>23.124211414593258</c:v>
                </c:pt>
                <c:pt idx="78">
                  <c:v>23.739834910316418</c:v>
                </c:pt>
                <c:pt idx="79">
                  <c:v>24.363424510230509</c:v>
                </c:pt>
                <c:pt idx="80">
                  <c:v>24.994976877216001</c:v>
                </c:pt>
                <c:pt idx="81">
                  <c:v>25.63448864363669</c:v>
                </c:pt>
                <c:pt idx="82">
                  <c:v>26.281956411237637</c:v>
                </c:pt>
                <c:pt idx="83">
                  <c:v>26.937376751047807</c:v>
                </c:pt>
                <c:pt idx="84">
                  <c:v>27.600746203287237</c:v>
                </c:pt>
                <c:pt idx="85">
                  <c:v>28.272061277278503</c:v>
                </c:pt>
                <c:pt idx="86">
                  <c:v>28.951318451362411</c:v>
                </c:pt>
                <c:pt idx="87">
                  <c:v>29.638514172817686</c:v>
                </c:pt>
                <c:pt idx="88">
                  <c:v>30.333644857784545</c:v>
                </c:pt>
                <c:pt idx="89">
                  <c:v>31.036706891192008</c:v>
                </c:pt>
                <c:pt idx="90">
                  <c:v>31.747696626688839</c:v>
                </c:pt>
                <c:pt idx="91">
                  <c:v>32.466610386577962</c:v>
                </c:pt>
                <c:pt idx="92">
                  <c:v>33.193444461754254</c:v>
                </c:pt>
                <c:pt idx="93">
                  <c:v>33.928195111645628</c:v>
                </c:pt>
                <c:pt idx="94">
                  <c:v>34.670858564157228</c:v>
                </c:pt>
                <c:pt idx="95">
                  <c:v>35.42143101561873</c:v>
                </c:pt>
                <c:pt idx="96">
                  <c:v>36.179908630734609</c:v>
                </c:pt>
                <c:pt idx="97">
                  <c:v>36.946287542537256</c:v>
                </c:pt>
                <c:pt idx="98">
                  <c:v>37.72056385234292</c:v>
                </c:pt>
                <c:pt idx="99">
                  <c:v>38.502733629710349</c:v>
                </c:pt>
                <c:pt idx="100">
                  <c:v>39.292792912402064</c:v>
                </c:pt>
                <c:pt idx="101">
                  <c:v>40.090737706348229</c:v>
                </c:pt>
                <c:pt idx="102">
                  <c:v>40.896563985612978</c:v>
                </c:pt>
                <c:pt idx="103">
                  <c:v>41.710267692363189</c:v>
                </c:pt>
                <c:pt idx="104">
                  <c:v>42.531844736839631</c:v>
                </c:pt>
                <c:pt idx="105">
                  <c:v>43.361290997330386</c:v>
                </c:pt>
                <c:pt idx="106">
                  <c:v>44.198602320146563</c:v>
                </c:pt>
                <c:pt idx="107">
                  <c:v>45.043774519600177</c:v>
                </c:pt>
                <c:pt idx="108">
                  <c:v>45.896803377984163</c:v>
                </c:pt>
                <c:pt idx="109">
                  <c:v>46.757684645554498</c:v>
                </c:pt>
                <c:pt idx="110">
                  <c:v>47.626414040514348</c:v>
                </c:pt>
                <c:pt idx="111">
                  <c:v>48.502987249000228</c:v>
                </c:pt>
                <c:pt idx="112">
                  <c:v>49.387399925070085</c:v>
                </c:pt>
                <c:pt idx="113">
                  <c:v>50.279647690693338</c:v>
                </c:pt>
                <c:pt idx="114">
                  <c:v>51.179726135742719</c:v>
                </c:pt>
                <c:pt idx="115">
                  <c:v>52.087630817988</c:v>
                </c:pt>
                <c:pt idx="116">
                  <c:v>53.003357263091495</c:v>
                </c:pt>
                <c:pt idx="117">
                  <c:v>53.926900964605295</c:v>
                </c:pt>
                <c:pt idx="118">
                  <c:v>54.858257383970262</c:v>
                </c:pt>
                <c:pt idx="119">
                  <c:v>55.797421950516672</c:v>
                </c:pt>
                <c:pt idx="120">
                  <c:v>56.74439006146654</c:v>
                </c:pt>
                <c:pt idx="121">
                  <c:v>57.699157081937571</c:v>
                </c:pt>
                <c:pt idx="122">
                  <c:v>58.661718344948689</c:v>
                </c:pt>
                <c:pt idx="123">
                  <c:v>59.632069151427139</c:v>
                </c:pt>
                <c:pt idx="124">
                  <c:v>60.610204770217138</c:v>
                </c:pt>
                <c:pt idx="125">
                  <c:v>61.596120438090033</c:v>
                </c:pt>
                <c:pt idx="126">
                  <c:v>62.589811359755934</c:v>
                </c:pt>
                <c:pt idx="127">
                  <c:v>63.591272707876847</c:v>
                </c:pt>
                <c:pt idx="128">
                  <c:v>64.600499623081177</c:v>
                </c:pt>
                <c:pt idx="129">
                  <c:v>65.617485503560786</c:v>
                </c:pt>
                <c:pt idx="130">
                  <c:v>66.642220292654955</c:v>
                </c:pt>
                <c:pt idx="131">
                  <c:v>67.674692186725679</c:v>
                </c:pt>
                <c:pt idx="132">
                  <c:v>68.714889345092374</c:v>
                </c:pt>
                <c:pt idx="133">
                  <c:v>69.762799890141025</c:v>
                </c:pt>
                <c:pt idx="134">
                  <c:v>70.818411907434822</c:v>
                </c:pt>
                <c:pt idx="135">
                  <c:v>71.881713445826264</c:v>
                </c:pt>
                <c:pt idx="136">
                  <c:v>72.952692517570782</c:v>
                </c:pt>
                <c:pt idx="137">
                  <c:v>74.031337098441824</c:v>
                </c:pt>
                <c:pt idx="138">
                  <c:v>75.117635127847279</c:v>
                </c:pt>
                <c:pt idx="139">
                  <c:v>76.211574508947365</c:v>
                </c:pt>
                <c:pt idx="140">
                  <c:v>77.313143108773858</c:v>
                </c:pt>
                <c:pt idx="141">
                  <c:v>78.422328758350659</c:v>
                </c:pt>
                <c:pt idx="142">
                  <c:v>79.539119252815667</c:v>
                </c:pt>
                <c:pt idx="143">
                  <c:v>80.663502351543983</c:v>
                </c:pt>
                <c:pt idx="144">
                  <c:v>81.795465778272359</c:v>
                </c:pt>
                <c:pt idx="145">
                  <c:v>82.934997221224876</c:v>
                </c:pt>
                <c:pt idx="146">
                  <c:v>84.082084333239891</c:v>
                </c:pt>
                <c:pt idx="147">
                  <c:v>85.236714731898161</c:v>
                </c:pt>
                <c:pt idx="148">
                  <c:v>86.398875999652148</c:v>
                </c:pt>
                <c:pt idx="149">
                  <c:v>87.568555683956518</c:v>
                </c:pt>
                <c:pt idx="150">
                  <c:v>88.745741297399718</c:v>
                </c:pt>
                <c:pt idx="151">
                  <c:v>89.930420317836763</c:v>
                </c:pt>
                <c:pt idx="152">
                  <c:v>91.12258018852306</c:v>
                </c:pt>
                <c:pt idx="153">
                  <c:v>92.322208318249324</c:v>
                </c:pt>
                <c:pt idx="154">
                  <c:v>93.529292081477607</c:v>
                </c:pt>
                <c:pt idx="155">
                  <c:v>94.743818818478303</c:v>
                </c:pt>
                <c:pt idx="156">
                  <c:v>95.965775835468264</c:v>
                </c:pt>
                <c:pt idx="157">
                  <c:v>97.195150404749867</c:v>
                </c:pt>
                <c:pt idx="158">
                  <c:v>98.431929764851077</c:v>
                </c:pt>
                <c:pt idx="159">
                  <c:v>99.676101120666544</c:v>
                </c:pt>
                <c:pt idx="160">
                  <c:v>100.92765164359959</c:v>
                </c:pt>
                <c:pt idx="161">
                  <c:v>102.18656847170519</c:v>
                </c:pt>
                <c:pt idx="162">
                  <c:v>103.45283870983388</c:v>
                </c:pt>
                <c:pt idx="163">
                  <c:v>104.72644942977657</c:v>
                </c:pt>
                <c:pt idx="164">
                  <c:v>106.0073876704102</c:v>
                </c:pt>
                <c:pt idx="165">
                  <c:v>107.2956404378444</c:v>
                </c:pt>
                <c:pt idx="166">
                  <c:v>108.5911947055689</c:v>
                </c:pt>
                <c:pt idx="167">
                  <c:v>109.89403741460185</c:v>
                </c:pt>
                <c:pt idx="168">
                  <c:v>111.20415547363901</c:v>
                </c:pt>
                <c:pt idx="169">
                  <c:v>112.5215357592036</c:v>
                </c:pt>
                <c:pt idx="170">
                  <c:v>113.84616511579723</c:v>
                </c:pt>
                <c:pt idx="171">
                  <c:v>115.17803035605138</c:v>
                </c:pt>
                <c:pt idx="172">
                  <c:v>116.51711826087977</c:v>
                </c:pt>
                <c:pt idx="173">
                  <c:v>117.86341557963149</c:v>
                </c:pt>
                <c:pt idx="174">
                  <c:v>119.21690903024488</c:v>
                </c:pt>
                <c:pt idx="175">
                  <c:v>120.57758529940213</c:v>
                </c:pt>
                <c:pt idx="176">
                  <c:v>121.94543104268463</c:v>
                </c:pt>
                <c:pt idx="177">
                  <c:v>123.32043288472903</c:v>
                </c:pt>
                <c:pt idx="178">
                  <c:v>124.70257741938399</c:v>
                </c:pt>
                <c:pt idx="179">
                  <c:v>126.09185120986761</c:v>
                </c:pt>
                <c:pt idx="180">
                  <c:v>127.48824078892561</c:v>
                </c:pt>
                <c:pt idx="181">
                  <c:v>128.89173265899001</c:v>
                </c:pt>
                <c:pt idx="182">
                  <c:v>130.30231329233868</c:v>
                </c:pt>
                <c:pt idx="183">
                  <c:v>131.71996913125531</c:v>
                </c:pt>
                <c:pt idx="184">
                  <c:v>133.14468658819018</c:v>
                </c:pt>
                <c:pt idx="185">
                  <c:v>134.5764520459214</c:v>
                </c:pt>
                <c:pt idx="186">
                  <c:v>136.01525185771692</c:v>
                </c:pt>
                <c:pt idx="187">
                  <c:v>137.46107234749695</c:v>
                </c:pt>
                <c:pt idx="188">
                  <c:v>138.91389980999708</c:v>
                </c:pt>
                <c:pt idx="189">
                  <c:v>140.37372051093192</c:v>
                </c:pt>
                <c:pt idx="190">
                  <c:v>141.84052068715931</c:v>
                </c:pt>
                <c:pt idx="191">
                  <c:v>143.3142865468451</c:v>
                </c:pt>
                <c:pt idx="192">
                  <c:v>144.79500426962835</c:v>
                </c:pt>
                <c:pt idx="193">
                  <c:v>146.28266000678727</c:v>
                </c:pt>
                <c:pt idx="194">
                  <c:v>147.77723988140539</c:v>
                </c:pt>
                <c:pt idx="195">
                  <c:v>149.27872998853849</c:v>
                </c:pt>
                <c:pt idx="196">
                  <c:v>150.78711639538182</c:v>
                </c:pt>
                <c:pt idx="197">
                  <c:v>152.30238514143795</c:v>
                </c:pt>
                <c:pt idx="198">
                  <c:v>153.82452223868503</c:v>
                </c:pt>
                <c:pt idx="199">
                  <c:v>155.35351367174545</c:v>
                </c:pt>
                <c:pt idx="200">
                  <c:v>156.88934539805496</c:v>
                </c:pt>
                <c:pt idx="201">
                  <c:v>158.43200334803237</c:v>
                </c:pt>
                <c:pt idx="202">
                  <c:v>159.9814734252495</c:v>
                </c:pt>
                <c:pt idx="203">
                  <c:v>161.53774150660163</c:v>
                </c:pt>
                <c:pt idx="204">
                  <c:v>163.10079344247833</c:v>
                </c:pt>
                <c:pt idx="205">
                  <c:v>164.67061505693471</c:v>
                </c:pt>
                <c:pt idx="206">
                  <c:v>166.24719173060396</c:v>
                </c:pt>
                <c:pt idx="207">
                  <c:v>167.83050798329563</c:v>
                </c:pt>
                <c:pt idx="208">
                  <c:v>169.42054789113925</c:v>
                </c:pt>
                <c:pt idx="209">
                  <c:v>171.01729550405503</c:v>
                </c:pt>
                <c:pt idx="210">
                  <c:v>172.62073484595024</c:v>
                </c:pt>
                <c:pt idx="211">
                  <c:v>174.23084991491604</c:v>
                </c:pt>
                <c:pt idx="212">
                  <c:v>175.84762468342444</c:v>
                </c:pt>
                <c:pt idx="213">
                  <c:v>177.47104309852568</c:v>
                </c:pt>
                <c:pt idx="214">
                  <c:v>179.10108908204572</c:v>
                </c:pt>
                <c:pt idx="215">
                  <c:v>180.73774653078399</c:v>
                </c:pt>
                <c:pt idx="216">
                  <c:v>182.38099931671158</c:v>
                </c:pt>
                <c:pt idx="217">
                  <c:v>184.03083128716938</c:v>
                </c:pt>
                <c:pt idx="218">
                  <c:v>185.68722626506656</c:v>
                </c:pt>
                <c:pt idx="219">
                  <c:v>187.35016804907931</c:v>
                </c:pt>
                <c:pt idx="220">
                  <c:v>189.01964041384969</c:v>
                </c:pt>
                <c:pt idx="221">
                  <c:v>190.69562711018463</c:v>
                </c:pt>
                <c:pt idx="222">
                  <c:v>192.37811186525525</c:v>
                </c:pt>
                <c:pt idx="223">
                  <c:v>194.06707838279615</c:v>
                </c:pt>
                <c:pt idx="224">
                  <c:v>195.76251034330505</c:v>
                </c:pt>
                <c:pt idx="225">
                  <c:v>197.46439140424241</c:v>
                </c:pt>
                <c:pt idx="226">
                  <c:v>199.17270520023123</c:v>
                </c:pt>
                <c:pt idx="227">
                  <c:v>200.8874353432571</c:v>
                </c:pt>
                <c:pt idx="228">
                  <c:v>202.60856542286811</c:v>
                </c:pt>
                <c:pt idx="229">
                  <c:v>204.33607900637509</c:v>
                </c:pt>
                <c:pt idx="230">
                  <c:v>206.0699596390518</c:v>
                </c:pt>
                <c:pt idx="231">
                  <c:v>207.81019084433535</c:v>
                </c:pt>
                <c:pt idx="232">
                  <c:v>209.55675612402646</c:v>
                </c:pt>
                <c:pt idx="233">
                  <c:v>211.30963895849001</c:v>
                </c:pt>
                <c:pt idx="234">
                  <c:v>213.06882280685559</c:v>
                </c:pt>
                <c:pt idx="235">
                  <c:v>214.83429110721798</c:v>
                </c:pt>
                <c:pt idx="236">
                  <c:v>216.60602727683781</c:v>
                </c:pt>
                <c:pt idx="237">
                  <c:v>218.38401471234209</c:v>
                </c:pt>
                <c:pt idx="238">
                  <c:v>220.168236789925</c:v>
                </c:pt>
                <c:pt idx="239">
                  <c:v>221.9586768655484</c:v>
                </c:pt>
                <c:pt idx="240">
                  <c:v>223.75531827514251</c:v>
                </c:pt>
                <c:pt idx="241">
                  <c:v>225.55814433480657</c:v>
                </c:pt>
                <c:pt idx="242">
                  <c:v>227.36713689740657</c:v>
                </c:pt>
                <c:pt idx="243">
                  <c:v>229.18227490839107</c:v>
                </c:pt>
                <c:pt idx="244">
                  <c:v>231.00353584916806</c:v>
                </c:pt>
                <c:pt idx="245">
                  <c:v>232.83089718130574</c:v>
                </c:pt>
                <c:pt idx="246">
                  <c:v>234.66433634681687</c:v>
                </c:pt>
                <c:pt idx="247">
                  <c:v>236.50383076844264</c:v>
                </c:pt>
                <c:pt idx="248">
                  <c:v>238.34935784993638</c:v>
                </c:pt>
                <c:pt idx="249">
                  <c:v>240.2008949763466</c:v>
                </c:pt>
                <c:pt idx="250">
                  <c:v>242.0584195142998</c:v>
                </c:pt>
                <c:pt idx="251">
                  <c:v>243.92190881228277</c:v>
                </c:pt>
                <c:pt idx="252">
                  <c:v>245.79134020092451</c:v>
                </c:pt>
                <c:pt idx="253">
                  <c:v>247.66669099327771</c:v>
                </c:pt>
                <c:pt idx="254">
                  <c:v>249.54793848509965</c:v>
                </c:pt>
                <c:pt idx="255">
                  <c:v>251.4350599551328</c:v>
                </c:pt>
                <c:pt idx="256">
                  <c:v>253.32803266538477</c:v>
                </c:pt>
                <c:pt idx="257">
                  <c:v>255.2268338614079</c:v>
                </c:pt>
                <c:pt idx="258">
                  <c:v>257.13144077257829</c:v>
                </c:pt>
                <c:pt idx="259">
                  <c:v>259.04183061237421</c:v>
                </c:pt>
                <c:pt idx="260">
                  <c:v>260.9579805786542</c:v>
                </c:pt>
                <c:pt idx="261">
                  <c:v>262.8798678539344</c:v>
                </c:pt>
                <c:pt idx="262">
                  <c:v>264.80746960566546</c:v>
                </c:pt>
                <c:pt idx="263">
                  <c:v>266.74076298650891</c:v>
                </c:pt>
                <c:pt idx="264">
                  <c:v>268.67972513461274</c:v>
                </c:pt>
                <c:pt idx="265">
                  <c:v>270.62433317388667</c:v>
                </c:pt>
                <c:pt idx="266">
                  <c:v>272.57456421427668</c:v>
                </c:pt>
                <c:pt idx="267">
                  <c:v>274.53039535203885</c:v>
                </c:pt>
                <c:pt idx="268">
                  <c:v>276.49180367001287</c:v>
                </c:pt>
                <c:pt idx="269">
                  <c:v>278.45876623789445</c:v>
                </c:pt>
                <c:pt idx="270">
                  <c:v>280.43126011250763</c:v>
                </c:pt>
                <c:pt idx="271">
                  <c:v>282.40926233807602</c:v>
                </c:pt>
                <c:pt idx="272">
                  <c:v>284.3927499464935</c:v>
                </c:pt>
                <c:pt idx="273">
                  <c:v>286.38169995759444</c:v>
                </c:pt>
                <c:pt idx="274">
                  <c:v>288.37608937942298</c:v>
                </c:pt>
                <c:pt idx="275">
                  <c:v>290.37589520850162</c:v>
                </c:pt>
                <c:pt idx="276">
                  <c:v>292.38109443009938</c:v>
                </c:pt>
                <c:pt idx="277">
                  <c:v>294.39166401849894</c:v>
                </c:pt>
                <c:pt idx="278">
                  <c:v>296.40758093726328</c:v>
                </c:pt>
                <c:pt idx="279">
                  <c:v>298.42882213950139</c:v>
                </c:pt>
                <c:pt idx="280">
                  <c:v>300.45536456813352</c:v>
                </c:pt>
                <c:pt idx="281">
                  <c:v>302.48718515615536</c:v>
                </c:pt>
                <c:pt idx="282">
                  <c:v>304.52426082690164</c:v>
                </c:pt>
                <c:pt idx="283">
                  <c:v>306.56656849430897</c:v>
                </c:pt>
                <c:pt idx="284">
                  <c:v>308.61408675959296</c:v>
                </c:pt>
                <c:pt idx="285">
                  <c:v>310.6667976083549</c:v>
                </c:pt>
                <c:pt idx="286">
                  <c:v>312.72468471406745</c:v>
                </c:pt>
                <c:pt idx="287">
                  <c:v>314.78773174108568</c:v>
                </c:pt>
                <c:pt idx="288">
                  <c:v>316.85592234481788</c:v>
                </c:pt>
                <c:pt idx="289">
                  <c:v>318.92924017189574</c:v>
                </c:pt>
                <c:pt idx="290">
                  <c:v>321.00766886034449</c:v>
                </c:pt>
                <c:pt idx="291">
                  <c:v>323.09119203975251</c:v>
                </c:pt>
                <c:pt idx="292">
                  <c:v>325.17979333144058</c:v>
                </c:pt>
                <c:pt idx="293">
                  <c:v>327.2734563486307</c:v>
                </c:pt>
                <c:pt idx="294">
                  <c:v>329.37216469661479</c:v>
                </c:pt>
                <c:pt idx="295">
                  <c:v>331.47590197292254</c:v>
                </c:pt>
                <c:pt idx="296">
                  <c:v>333.58465176748928</c:v>
                </c:pt>
                <c:pt idx="297">
                  <c:v>335.69839766282314</c:v>
                </c:pt>
                <c:pt idx="298">
                  <c:v>337.81712323417213</c:v>
                </c:pt>
                <c:pt idx="299">
                  <c:v>339.94081204969046</c:v>
                </c:pt>
                <c:pt idx="300">
                  <c:v>342.06944767060475</c:v>
                </c:pt>
                <c:pt idx="301">
                  <c:v>344.20301365137954</c:v>
                </c:pt>
                <c:pt idx="302">
                  <c:v>346.34149353988255</c:v>
                </c:pt>
                <c:pt idx="303">
                  <c:v>348.48487087754961</c:v>
                </c:pt>
                <c:pt idx="304">
                  <c:v>350.63312919954882</c:v>
                </c:pt>
                <c:pt idx="305">
                  <c:v>352.7862520349446</c:v>
                </c:pt>
                <c:pt idx="306">
                  <c:v>354.94422290686106</c:v>
                </c:pt>
                <c:pt idx="307">
                  <c:v>357.10702533264521</c:v>
                </c:pt>
                <c:pt idx="308">
                  <c:v>359.27464282402934</c:v>
                </c:pt>
                <c:pt idx="309">
                  <c:v>361.44705888729322</c:v>
                </c:pt>
                <c:pt idx="310">
                  <c:v>363.62425702342574</c:v>
                </c:pt>
                <c:pt idx="311">
                  <c:v>365.80622072828618</c:v>
                </c:pt>
                <c:pt idx="312">
                  <c:v>367.99293349276485</c:v>
                </c:pt>
                <c:pt idx="313">
                  <c:v>370.18437880294334</c:v>
                </c:pt>
                <c:pt idx="314">
                  <c:v>372.38054014025431</c:v>
                </c:pt>
                <c:pt idx="315">
                  <c:v>374.5814009816408</c:v>
                </c:pt>
                <c:pt idx="316">
                  <c:v>376.78694479971506</c:v>
                </c:pt>
                <c:pt idx="317">
                  <c:v>378.99715506291682</c:v>
                </c:pt>
                <c:pt idx="318">
                  <c:v>381.212015235671</c:v>
                </c:pt>
                <c:pt idx="319">
                  <c:v>383.43150877854532</c:v>
                </c:pt>
                <c:pt idx="320">
                  <c:v>385.65561914840691</c:v>
                </c:pt>
                <c:pt idx="321">
                  <c:v>387.88432979857862</c:v>
                </c:pt>
                <c:pt idx="322">
                  <c:v>390.1176241789949</c:v>
                </c:pt>
                <c:pt idx="323">
                  <c:v>392.35548573635714</c:v>
                </c:pt>
                <c:pt idx="324">
                  <c:v>394.59789791428835</c:v>
                </c:pt>
                <c:pt idx="325">
                  <c:v>396.84484415348749</c:v>
                </c:pt>
                <c:pt idx="326">
                  <c:v>399.09630799617696</c:v>
                </c:pt>
                <c:pt idx="327">
                  <c:v>401.35227319055349</c:v>
                </c:pt>
                <c:pt idx="328">
                  <c:v>403.61272358658442</c:v>
                </c:pt>
                <c:pt idx="329">
                  <c:v>405.87764303179728</c:v>
                </c:pt>
                <c:pt idx="330">
                  <c:v>408.14701537142707</c:v>
                </c:pt>
                <c:pt idx="331">
                  <c:v>410.42082444856277</c:v>
                </c:pt>
                <c:pt idx="332">
                  <c:v>412.69905410429345</c:v>
                </c:pt>
                <c:pt idx="333">
                  <c:v>414.98168817785404</c:v>
                </c:pt>
                <c:pt idx="334">
                  <c:v>417.26871050677016</c:v>
                </c:pt>
                <c:pt idx="335">
                  <c:v>419.56010492700295</c:v>
                </c:pt>
                <c:pt idx="336">
                  <c:v>421.8558552730928</c:v>
                </c:pt>
                <c:pt idx="337">
                  <c:v>424.15594537830304</c:v>
                </c:pt>
                <c:pt idx="338">
                  <c:v>426.46035907476289</c:v>
                </c:pt>
                <c:pt idx="339">
                  <c:v>428.76908019360974</c:v>
                </c:pt>
                <c:pt idx="340">
                  <c:v>431.08209256513118</c:v>
                </c:pt>
                <c:pt idx="341">
                  <c:v>433.39938001890624</c:v>
                </c:pt>
                <c:pt idx="342">
                  <c:v>435.72092638394628</c:v>
                </c:pt>
                <c:pt idx="343">
                  <c:v>438.04671548883516</c:v>
                </c:pt>
                <c:pt idx="344">
                  <c:v>440.37673116186897</c:v>
                </c:pt>
                <c:pt idx="345">
                  <c:v>442.71095723119515</c:v>
                </c:pt>
                <c:pt idx="346">
                  <c:v>445.04937752495101</c:v>
                </c:pt>
                <c:pt idx="347">
                  <c:v>447.39197587140194</c:v>
                </c:pt>
                <c:pt idx="348">
                  <c:v>449.73873609907872</c:v>
                </c:pt>
                <c:pt idx="349">
                  <c:v>452.08964203691443</c:v>
                </c:pt>
                <c:pt idx="350">
                  <c:v>454.44467751438094</c:v>
                </c:pt>
                <c:pt idx="351">
                  <c:v>456.80382636162449</c:v>
                </c:pt>
                <c:pt idx="352">
                  <c:v>459.16707240960096</c:v>
                </c:pt>
                <c:pt idx="353">
                  <c:v>461.53439949021055</c:v>
                </c:pt>
                <c:pt idx="354">
                  <c:v>463.9057914364318</c:v>
                </c:pt>
                <c:pt idx="355">
                  <c:v>466.28123208245512</c:v>
                </c:pt>
                <c:pt idx="356">
                  <c:v>468.66070526381549</c:v>
                </c:pt>
                <c:pt idx="357">
                  <c:v>471.04419481752507</c:v>
                </c:pt>
                <c:pt idx="358">
                  <c:v>473.4316845822047</c:v>
                </c:pt>
                <c:pt idx="359">
                  <c:v>475.82315839821513</c:v>
                </c:pt>
                <c:pt idx="360">
                  <c:v>478.21860010778767</c:v>
                </c:pt>
                <c:pt idx="361">
                  <c:v>480.61799355515399</c:v>
                </c:pt>
                <c:pt idx="362">
                  <c:v>483.02132258667564</c:v>
                </c:pt>
                <c:pt idx="363">
                  <c:v>485.42857105097283</c:v>
                </c:pt>
                <c:pt idx="364">
                  <c:v>487.83972279905254</c:v>
                </c:pt>
                <c:pt idx="365">
                  <c:v>490.25476168443623</c:v>
                </c:pt>
                <c:pt idx="366">
                  <c:v>492.67367420887518</c:v>
                </c:pt>
                <c:pt idx="367">
                  <c:v>495.09645216765875</c:v>
                </c:pt>
                <c:pt idx="368">
                  <c:v>497.52309000166952</c:v>
                </c:pt>
                <c:pt idx="369">
                  <c:v>499.95358214980331</c:v>
                </c:pt>
                <c:pt idx="370">
                  <c:v>502.38792304901108</c:v>
                </c:pt>
                <c:pt idx="371">
                  <c:v>504.82610713434059</c:v>
                </c:pt>
                <c:pt idx="372">
                  <c:v>507.26812883897844</c:v>
                </c:pt>
                <c:pt idx="373">
                  <c:v>509.71398259429139</c:v>
                </c:pt>
                <c:pt idx="374">
                  <c:v>512.16366282986826</c:v>
                </c:pt>
                <c:pt idx="375">
                  <c:v>514.61716397356111</c:v>
                </c:pt>
                <c:pt idx="376">
                  <c:v>517.07448045152682</c:v>
                </c:pt>
                <c:pt idx="377">
                  <c:v>519.53560668826844</c:v>
                </c:pt>
                <c:pt idx="378">
                  <c:v>522.00053710667646</c:v>
                </c:pt>
                <c:pt idx="379">
                  <c:v>524.46926612806988</c:v>
                </c:pt>
                <c:pt idx="380">
                  <c:v>526.94178817223735</c:v>
                </c:pt>
                <c:pt idx="381">
                  <c:v>529.41809480143672</c:v>
                </c:pt>
                <c:pt idx="382">
                  <c:v>531.89817186494156</c:v>
                </c:pt>
                <c:pt idx="383">
                  <c:v>534.38200235801844</c:v>
                </c:pt>
                <c:pt idx="384">
                  <c:v>536.86956928040161</c:v>
                </c:pt>
                <c:pt idx="385">
                  <c:v>539.36085563642223</c:v>
                </c:pt>
                <c:pt idx="386">
                  <c:v>541.85584443513699</c:v>
                </c:pt>
                <c:pt idx="387">
                  <c:v>544.35451869045528</c:v>
                </c:pt>
                <c:pt idx="388">
                  <c:v>546.85686142126667</c:v>
                </c:pt>
                <c:pt idx="389">
                  <c:v>549.36285565156709</c:v>
                </c:pt>
                <c:pt idx="390">
                  <c:v>551.87248441058443</c:v>
                </c:pt>
                <c:pt idx="391">
                  <c:v>554.38573073290354</c:v>
                </c:pt>
                <c:pt idx="392">
                  <c:v>556.9025776585903</c:v>
                </c:pt>
                <c:pt idx="393">
                  <c:v>559.42300823331561</c:v>
                </c:pt>
                <c:pt idx="394">
                  <c:v>561.94700550847767</c:v>
                </c:pt>
                <c:pt idx="395">
                  <c:v>564.47455254132467</c:v>
                </c:pt>
                <c:pt idx="396">
                  <c:v>567.00563239507608</c:v>
                </c:pt>
                <c:pt idx="397">
                  <c:v>569.54022813904328</c:v>
                </c:pt>
                <c:pt idx="398">
                  <c:v>572.07832284874985</c:v>
                </c:pt>
                <c:pt idx="399">
                  <c:v>574.61989960605081</c:v>
                </c:pt>
                <c:pt idx="400">
                  <c:v>577.16494149925143</c:v>
                </c:pt>
                <c:pt idx="401">
                  <c:v>579.7134293809554</c:v>
                </c:pt>
                <c:pt idx="402">
                  <c:v>582.26533962656458</c:v>
                </c:pt>
                <c:pt idx="403">
                  <c:v>584.82064637933536</c:v>
                </c:pt>
                <c:pt idx="404">
                  <c:v>587.37932379482743</c:v>
                </c:pt>
                <c:pt idx="405">
                  <c:v>589.94134604110957</c:v>
                </c:pt>
                <c:pt idx="406">
                  <c:v>592.50668729896449</c:v>
                </c:pt>
                <c:pt idx="407">
                  <c:v>595.07532176209168</c:v>
                </c:pt>
                <c:pt idx="408">
                  <c:v>597.64722363730891</c:v>
                </c:pt>
                <c:pt idx="409">
                  <c:v>600.2223671447523</c:v>
                </c:pt>
                <c:pt idx="410">
                  <c:v>602.80072651807461</c:v>
                </c:pt>
                <c:pt idx="411">
                  <c:v>605.38226362786168</c:v>
                </c:pt>
                <c:pt idx="412">
                  <c:v>607.96691560961267</c:v>
                </c:pt>
                <c:pt idx="413">
                  <c:v>610.55460725718456</c:v>
                </c:pt>
                <c:pt idx="414">
                  <c:v>613.14526341212638</c:v>
                </c:pt>
                <c:pt idx="415">
                  <c:v>615.73880896478317</c:v>
                </c:pt>
                <c:pt idx="416">
                  <c:v>618.33516885538825</c:v>
                </c:pt>
                <c:pt idx="417">
                  <c:v>620.93426807514436</c:v>
                </c:pt>
                <c:pt idx="418">
                  <c:v>623.53603166729283</c:v>
                </c:pt>
                <c:pt idx="419">
                  <c:v>626.14038472817185</c:v>
                </c:pt>
                <c:pt idx="420">
                  <c:v>628.74724537442728</c:v>
                </c:pt>
                <c:pt idx="421">
                  <c:v>631.35651771397045</c:v>
                </c:pt>
                <c:pt idx="422">
                  <c:v>633.96809889210795</c:v>
                </c:pt>
                <c:pt idx="423">
                  <c:v>636.58188613430775</c:v>
                </c:pt>
                <c:pt idx="424">
                  <c:v>639.19777674801162</c:v>
                </c:pt>
                <c:pt idx="425">
                  <c:v>641.8156681244252</c:v>
                </c:pt>
                <c:pt idx="426">
                  <c:v>644.43545774028735</c:v>
                </c:pt>
                <c:pt idx="427">
                  <c:v>647.05704315961793</c:v>
                </c:pt>
                <c:pt idx="428">
                  <c:v>649.68032203544362</c:v>
                </c:pt>
                <c:pt idx="429">
                  <c:v>652.30519211150329</c:v>
                </c:pt>
                <c:pt idx="430">
                  <c:v>654.93155122393091</c:v>
                </c:pt>
                <c:pt idx="431">
                  <c:v>657.5592973029178</c:v>
                </c:pt>
                <c:pt idx="432">
                  <c:v>660.18831705355319</c:v>
                </c:pt>
                <c:pt idx="433">
                  <c:v>662.81847464582984</c:v>
                </c:pt>
                <c:pt idx="434">
                  <c:v>665.44962306010348</c:v>
                </c:pt>
                <c:pt idx="435">
                  <c:v>668.08161542419873</c:v>
                </c:pt>
                <c:pt idx="436">
                  <c:v>670.71430501665748</c:v>
                </c:pt>
                <c:pt idx="437">
                  <c:v>673.34754526994288</c:v>
                </c:pt>
                <c:pt idx="438">
                  <c:v>675.98118977359934</c:v>
                </c:pt>
                <c:pt idx="439">
                  <c:v>678.6150922773669</c:v>
                </c:pt>
                <c:pt idx="440">
                  <c:v>681.24910669425208</c:v>
                </c:pt>
                <c:pt idx="441">
                  <c:v>683.88308710355341</c:v>
                </c:pt>
                <c:pt idx="442">
                  <c:v>686.51689462337754</c:v>
                </c:pt>
                <c:pt idx="443">
                  <c:v>689.15040427543317</c:v>
                </c:pt>
                <c:pt idx="444">
                  <c:v>691.78349810123439</c:v>
                </c:pt>
                <c:pt idx="445">
                  <c:v>694.41605828542538</c:v>
                </c:pt>
                <c:pt idx="446">
                  <c:v>697.04796715756731</c:v>
                </c:pt>
                <c:pt idx="447">
                  <c:v>699.67910719389579</c:v>
                </c:pt>
                <c:pt idx="448">
                  <c:v>702.30936101904945</c:v>
                </c:pt>
                <c:pt idx="449">
                  <c:v>704.93861140777028</c:v>
                </c:pt>
                <c:pt idx="450">
                  <c:v>707.56674128657414</c:v>
                </c:pt>
                <c:pt idx="451">
                  <c:v>710.19363373539363</c:v>
                </c:pt>
                <c:pt idx="452">
                  <c:v>712.81917198919189</c:v>
                </c:pt>
                <c:pt idx="453">
                  <c:v>715.44324926883144</c:v>
                </c:pt>
                <c:pt idx="454">
                  <c:v>718.06577859851507</c:v>
                </c:pt>
                <c:pt idx="455">
                  <c:v>720.68668295008877</c:v>
                </c:pt>
                <c:pt idx="456">
                  <c:v>723.30588540023746</c:v>
                </c:pt>
                <c:pt idx="457">
                  <c:v>725.92330913100648</c:v>
                </c:pt>
                <c:pt idx="458">
                  <c:v>728.53887743031214</c:v>
                </c:pt>
                <c:pt idx="459">
                  <c:v>731.15251369243992</c:v>
                </c:pt>
                <c:pt idx="460">
                  <c:v>733.76414141853127</c:v>
                </c:pt>
                <c:pt idx="461">
                  <c:v>736.37369305874404</c:v>
                </c:pt>
                <c:pt idx="462">
                  <c:v>738.98111884143589</c:v>
                </c:pt>
                <c:pt idx="463">
                  <c:v>741.58637790564012</c:v>
                </c:pt>
                <c:pt idx="464">
                  <c:v>744.18942944628725</c:v>
                </c:pt>
                <c:pt idx="465">
                  <c:v>746.79023271422307</c:v>
                </c:pt>
                <c:pt idx="466">
                  <c:v>749.38873959016667</c:v>
                </c:pt>
                <c:pt idx="467">
                  <c:v>751.98488716982456</c:v>
                </c:pt>
                <c:pt idx="468">
                  <c:v>754.57852252038674</c:v>
                </c:pt>
                <c:pt idx="469">
                  <c:v>757.16942874812855</c:v>
                </c:pt>
                <c:pt idx="470">
                  <c:v>759.75750897956016</c:v>
                </c:pt>
                <c:pt idx="471">
                  <c:v>762.34276767407391</c:v>
                </c:pt>
                <c:pt idx="472">
                  <c:v>764.92520927774012</c:v>
                </c:pt>
                <c:pt idx="473">
                  <c:v>767.50483822336014</c:v>
                </c:pt>
                <c:pt idx="474">
                  <c:v>770.08165893051876</c:v>
                </c:pt>
                <c:pt idx="475">
                  <c:v>772.65567580563686</c:v>
                </c:pt>
                <c:pt idx="476">
                  <c:v>775.22689324202315</c:v>
                </c:pt>
                <c:pt idx="477">
                  <c:v>777.79531561992633</c:v>
                </c:pt>
                <c:pt idx="478">
                  <c:v>780.36094730658658</c:v>
                </c:pt>
                <c:pt idx="479">
                  <c:v>782.92379265628688</c:v>
                </c:pt>
                <c:pt idx="480">
                  <c:v>785.48385601040411</c:v>
                </c:pt>
                <c:pt idx="481">
                  <c:v>788.04114169745981</c:v>
                </c:pt>
                <c:pt idx="482">
                  <c:v>790.59565403317083</c:v>
                </c:pt>
                <c:pt idx="483">
                  <c:v>793.14739732049964</c:v>
                </c:pt>
                <c:pt idx="484">
                  <c:v>795.69637584970417</c:v>
                </c:pt>
                <c:pt idx="485">
                  <c:v>798.24259389838801</c:v>
                </c:pt>
                <c:pt idx="486">
                  <c:v>800.78605573154982</c:v>
                </c:pt>
                <c:pt idx="487">
                  <c:v>803.32676560163247</c:v>
                </c:pt>
                <c:pt idx="488">
                  <c:v>805.86472774857225</c:v>
                </c:pt>
                <c:pt idx="489">
                  <c:v>808.39994639984786</c:v>
                </c:pt>
                <c:pt idx="490">
                  <c:v>810.93242577052888</c:v>
                </c:pt>
                <c:pt idx="491">
                  <c:v>813.46217006332404</c:v>
                </c:pt>
                <c:pt idx="492">
                  <c:v>815.98918346862934</c:v>
                </c:pt>
                <c:pt idx="493">
                  <c:v>818.51347016457623</c:v>
                </c:pt>
                <c:pt idx="494">
                  <c:v>821.03503431707884</c:v>
                </c:pt>
                <c:pt idx="495">
                  <c:v>823.55388007988165</c:v>
                </c:pt>
                <c:pt idx="496">
                  <c:v>826.07001159460663</c:v>
                </c:pt>
                <c:pt idx="497">
                  <c:v>828.58343299080002</c:v>
                </c:pt>
                <c:pt idx="498">
                  <c:v>831.09414838597945</c:v>
                </c:pt>
                <c:pt idx="499">
                  <c:v>833.60216188567995</c:v>
                </c:pt>
                <c:pt idx="500">
                  <c:v>836.10747758350044</c:v>
                </c:pt>
                <c:pt idx="501">
                  <c:v>861.01257165723757</c:v>
                </c:pt>
                <c:pt idx="502">
                  <c:v>885.65051542412959</c:v>
                </c:pt>
                <c:pt idx="503">
                  <c:v>910.02528700209302</c:v>
                </c:pt>
                <c:pt idx="504">
                  <c:v>934.14075123234056</c:v>
                </c:pt>
                <c:pt idx="505">
                  <c:v>958.0006639235088</c:v>
                </c:pt>
                <c:pt idx="506">
                  <c:v>981.60867589596035</c:v>
                </c:pt>
                <c:pt idx="507">
                  <c:v>1004.9683368375148</c:v>
                </c:pt>
                <c:pt idx="508">
                  <c:v>1028.0830989811241</c:v>
                </c:pt>
                <c:pt idx="509">
                  <c:v>1050.9563206143273</c:v>
                </c:pt>
                <c:pt idx="510">
                  <c:v>1073.5912694296894</c:v>
                </c:pt>
                <c:pt idx="511">
                  <c:v>1095.9911257248414</c:v>
                </c:pt>
                <c:pt idx="512">
                  <c:v>1118.1589854601978</c:v>
                </c:pt>
                <c:pt idx="513">
                  <c:v>1140.0978631819232</c:v>
                </c:pt>
                <c:pt idx="514">
                  <c:v>1161.8106948172513</c:v>
                </c:pt>
                <c:pt idx="515">
                  <c:v>1183.3003403488226</c:v>
                </c:pt>
                <c:pt idx="516">
                  <c:v>1204.5695863743065</c:v>
                </c:pt>
                <c:pt idx="517">
                  <c:v>1225.6211485571914</c:v>
                </c:pt>
                <c:pt idx="518">
                  <c:v>1246.4576739742779</c:v>
                </c:pt>
                <c:pt idx="519">
                  <c:v>1267.0817433650823</c:v>
                </c:pt>
                <c:pt idx="520">
                  <c:v>1287.4958732880539</c:v>
                </c:pt>
                <c:pt idx="521">
                  <c:v>1307.7025181882202</c:v>
                </c:pt>
                <c:pt idx="522">
                  <c:v>1327.7040723806124</c:v>
                </c:pt>
                <c:pt idx="523">
                  <c:v>1347.5028719535737</c:v>
                </c:pt>
                <c:pt idx="524">
                  <c:v>1367.1011965958194</c:v>
                </c:pt>
                <c:pt idx="525">
                  <c:v>1386.5012713508995</c:v>
                </c:pt>
                <c:pt idx="526">
                  <c:v>1405.7052683025154</c:v>
                </c:pt>
                <c:pt idx="527">
                  <c:v>1424.7153081939452</c:v>
                </c:pt>
                <c:pt idx="528">
                  <c:v>1443.5334619846592</c:v>
                </c:pt>
                <c:pt idx="529">
                  <c:v>1462.161752347035</c:v>
                </c:pt>
                <c:pt idx="530">
                  <c:v>1480.602155105928</c:v>
                </c:pt>
                <c:pt idx="531">
                  <c:v>1498.8566006237045</c:v>
                </c:pt>
                <c:pt idx="532">
                  <c:v>1516.9269751332042</c:v>
                </c:pt>
                <c:pt idx="533">
                  <c:v>1534.815122020972</c:v>
                </c:pt>
                <c:pt idx="534">
                  <c:v>1552.5228430629732</c:v>
                </c:pt>
                <c:pt idx="535">
                  <c:v>1570.0518996148946</c:v>
                </c:pt>
                <c:pt idx="536">
                  <c:v>1587.4040137590243</c:v>
                </c:pt>
                <c:pt idx="537">
                  <c:v>1604.5808694095983</c:v>
                </c:pt>
                <c:pt idx="538">
                  <c:v>1621.5841133784127</c:v>
                </c:pt>
                <c:pt idx="539">
                  <c:v>1638.4153564024016</c:v>
                </c:pt>
                <c:pt idx="540">
                  <c:v>1655.076174134804</c:v>
                </c:pt>
                <c:pt idx="541">
                  <c:v>1671.5681081014545</c:v>
                </c:pt>
                <c:pt idx="542">
                  <c:v>1687.8926666236644</c:v>
                </c:pt>
                <c:pt idx="543">
                  <c:v>1704.0513257090809</c:v>
                </c:pt>
                <c:pt idx="544">
                  <c:v>1720.0455299118523</c:v>
                </c:pt>
                <c:pt idx="545">
                  <c:v>1735.8766931633552</c:v>
                </c:pt>
                <c:pt idx="546">
                  <c:v>1751.5461995746853</c:v>
                </c:pt>
                <c:pt idx="547">
                  <c:v>1767.0554042120552</c:v>
                </c:pt>
                <c:pt idx="548">
                  <c:v>1782.4056338461851</c:v>
                </c:pt>
                <c:pt idx="549">
                  <c:v>1797.5981876767262</c:v>
                </c:pt>
                <c:pt idx="550">
                  <c:v>1812.634338032706</c:v>
                </c:pt>
                <c:pt idx="551">
                  <c:v>1827.5153310499368</c:v>
                </c:pt>
                <c:pt idx="552">
                  <c:v>1842.2423873262906</c:v>
                </c:pt>
                <c:pt idx="553">
                  <c:v>1856.8167025556961</c:v>
                </c:pt>
                <c:pt idx="554">
                  <c:v>1871.2394481416814</c:v>
                </c:pt>
                <c:pt idx="555">
                  <c:v>1885.5117717912422</c:v>
                </c:pt>
                <c:pt idx="556">
                  <c:v>1899.6347980897863</c:v>
                </c:pt>
                <c:pt idx="557">
                  <c:v>1913.6096290578682</c:v>
                </c:pt>
                <c:pt idx="558">
                  <c:v>1927.4373446903965</c:v>
                </c:pt>
                <c:pt idx="559">
                  <c:v>1941.1190034789684</c:v>
                </c:pt>
                <c:pt idx="560">
                  <c:v>1954.6556429179564</c:v>
                </c:pt>
                <c:pt idx="561">
                  <c:v>1968.0482799949443</c:v>
                </c:pt>
                <c:pt idx="562">
                  <c:v>1981.2979116660854</c:v>
                </c:pt>
                <c:pt idx="563">
                  <c:v>1994.4055153169286</c:v>
                </c:pt>
                <c:pt idx="564">
                  <c:v>2007.3720492092409</c:v>
                </c:pt>
                <c:pt idx="565">
                  <c:v>2020.198452914324</c:v>
                </c:pt>
                <c:pt idx="566">
                  <c:v>2032.8856477333097</c:v>
                </c:pt>
                <c:pt idx="567">
                  <c:v>2045.4345371048933</c:v>
                </c:pt>
                <c:pt idx="568">
                  <c:v>2057.8460070009473</c:v>
                </c:pt>
                <c:pt idx="569">
                  <c:v>2070.1209263104424</c:v>
                </c:pt>
                <c:pt idx="570">
                  <c:v>2082.2601472120764</c:v>
                </c:pt>
                <c:pt idx="571">
                  <c:v>2094.2645055360067</c:v>
                </c:pt>
                <c:pt idx="572">
                  <c:v>2106.1348211150585</c:v>
                </c:pt>
                <c:pt idx="573">
                  <c:v>2117.8718981257671</c:v>
                </c:pt>
                <c:pt idx="574">
                  <c:v>2129.4765254196027</c:v>
                </c:pt>
                <c:pt idx="575">
                  <c:v>2140.9494768447034</c:v>
                </c:pt>
                <c:pt idx="576">
                  <c:v>2152.2915115584415</c:v>
                </c:pt>
                <c:pt idx="577">
                  <c:v>2163.5033743311242</c:v>
                </c:pt>
                <c:pt idx="578">
                  <c:v>2174.5857958411243</c:v>
                </c:pt>
                <c:pt idx="579">
                  <c:v>2185.5394929617232</c:v>
                </c:pt>
                <c:pt idx="580">
                  <c:v>2196.3651690399392</c:v>
                </c:pt>
                <c:pt idx="581">
                  <c:v>2207.0635141676021</c:v>
                </c:pt>
                <c:pt idx="582">
                  <c:v>2217.6352054449248</c:v>
                </c:pt>
                <c:pt idx="583">
                  <c:v>2228.0809072368152</c:v>
                </c:pt>
                <c:pt idx="584">
                  <c:v>2238.4012714221617</c:v>
                </c:pt>
                <c:pt idx="585">
                  <c:v>2248.5969376363159</c:v>
                </c:pt>
                <c:pt idx="586">
                  <c:v>2258.6685335069915</c:v>
                </c:pt>
                <c:pt idx="587">
                  <c:v>2268.6166748837823</c:v>
                </c:pt>
                <c:pt idx="588">
                  <c:v>2278.4419660615085</c:v>
                </c:pt>
                <c:pt idx="589">
                  <c:v>2288.1449999975775</c:v>
                </c:pt>
                <c:pt idx="590">
                  <c:v>2297.7263585235505</c:v>
                </c:pt>
                <c:pt idx="591">
                  <c:v>2307.1866125510933</c:v>
                </c:pt>
                <c:pt idx="592">
                  <c:v>2316.5263222724875</c:v>
                </c:pt>
                <c:pt idx="593">
                  <c:v>2325.7460373558683</c:v>
                </c:pt>
                <c:pt idx="594">
                  <c:v>2334.8462971353511</c:v>
                </c:pt>
                <c:pt idx="595">
                  <c:v>2343.8276307962055</c:v>
                </c:pt>
                <c:pt idx="596">
                  <c:v>2352.6905575552287</c:v>
                </c:pt>
                <c:pt idx="597">
                  <c:v>2361.4355868364614</c:v>
                </c:pt>
                <c:pt idx="598">
                  <c:v>2370.0632184423944</c:v>
                </c:pt>
                <c:pt idx="599">
                  <c:v>2378.5739427207955</c:v>
                </c:pt>
                <c:pt idx="600">
                  <c:v>2386.9682407272971</c:v>
                </c:pt>
                <c:pt idx="601">
                  <c:v>2395.2465843838718</c:v>
                </c:pt>
                <c:pt idx="602">
                  <c:v>2403.4094366333156</c:v>
                </c:pt>
                <c:pt idx="603">
                  <c:v>2411.4572515898699</c:v>
                </c:pt>
                <c:pt idx="604">
                  <c:v>2419.3904746860908</c:v>
                </c:pt>
                <c:pt idx="605">
                  <c:v>2427.2095428160878</c:v>
                </c:pt>
                <c:pt idx="606">
                  <c:v>2434.9148844752381</c:v>
                </c:pt>
                <c:pt idx="607">
                  <c:v>2442.5069198964884</c:v>
                </c:pt>
                <c:pt idx="608">
                  <c:v>2449.9860611833487</c:v>
                </c:pt>
                <c:pt idx="609">
                  <c:v>2457.3527124396824</c:v>
                </c:pt>
                <c:pt idx="610">
                  <c:v>2464.6072698963894</c:v>
                </c:pt>
                <c:pt idx="611">
                  <c:v>2471.7501220350878</c:v>
                </c:pt>
                <c:pt idx="612">
                  <c:v>2478.7816497088838</c:v>
                </c:pt>
                <c:pt idx="613">
                  <c:v>2485.7022262603282</c:v>
                </c:pt>
                <c:pt idx="614">
                  <c:v>2492.5122176366513</c:v>
                </c:pt>
                <c:pt idx="615">
                  <c:v>2499.2119825023656</c:v>
                </c:pt>
                <c:pt idx="616">
                  <c:v>2505.8018723493301</c:v>
                </c:pt>
                <c:pt idx="617">
                  <c:v>2512.2822316043594</c:v>
                </c:pt>
                <c:pt idx="618">
                  <c:v>2518.6533977344707</c:v>
                </c:pt>
                <c:pt idx="619">
                  <c:v>2524.9157013498484</c:v>
                </c:pt>
                <c:pt idx="620">
                  <c:v>2531.0694663046202</c:v>
                </c:pt>
                <c:pt idx="621">
                  <c:v>2537.1150097955228</c:v>
                </c:pt>
                <c:pt idx="622">
                  <c:v>2543.0526424585464</c:v>
                </c:pt>
                <c:pt idx="623">
                  <c:v>2548.8826684636415</c:v>
                </c:pt>
                <c:pt idx="624">
                  <c:v>2554.6053856075737</c:v>
                </c:pt>
                <c:pt idx="625">
                  <c:v>2560.221085405009</c:v>
                </c:pt>
                <c:pt idx="626">
                  <c:v>2565.730053177921</c:v>
                </c:pt>
                <c:pt idx="627">
                  <c:v>2571.1325681433991</c:v>
                </c:pt>
                <c:pt idx="628">
                  <c:v>2576.428903499951</c:v>
                </c:pt>
                <c:pt idx="629">
                  <c:v>2581.6193265123866</c:v>
                </c:pt>
                <c:pt idx="630">
                  <c:v>2586.7040985953699</c:v>
                </c:pt>
                <c:pt idx="631">
                  <c:v>2591.683475395736</c:v>
                </c:pt>
                <c:pt idx="632">
                  <c:v>2596.5577068736634</c:v>
                </c:pt>
                <c:pt idx="633">
                  <c:v>2601.3270373827982</c:v>
                </c:pt>
                <c:pt idx="634">
                  <c:v>2605.9917057494276</c:v>
                </c:pt>
                <c:pt idx="635">
                  <c:v>2610.5519453508077</c:v>
                </c:pt>
                <c:pt idx="636">
                  <c:v>2615.0079841927441</c:v>
                </c:pt>
                <c:pt idx="637">
                  <c:v>2619.3600449865385</c:v>
                </c:pt>
                <c:pt idx="638">
                  <c:v>2623.6083452254079</c:v>
                </c:pt>
                <c:pt idx="639">
                  <c:v>2627.7530972604955</c:v>
                </c:pt>
                <c:pt idx="640">
                  <c:v>2631.7945083765894</c:v>
                </c:pt>
                <c:pt idx="641">
                  <c:v>2635.7327808676755</c:v>
                </c:pt>
                <c:pt idx="642">
                  <c:v>2639.5681121124526</c:v>
                </c:pt>
                <c:pt idx="643">
                  <c:v>2643.3006946499436</c:v>
                </c:pt>
                <c:pt idx="644">
                  <c:v>2646.9307162553405</c:v>
                </c:pt>
                <c:pt idx="645">
                  <c:v>2650.45836001623</c:v>
                </c:pt>
                <c:pt idx="646">
                  <c:v>2653.8838044093472</c:v>
                </c:pt>
                <c:pt idx="647">
                  <c:v>2657.2072233780164</c:v>
                </c:pt>
                <c:pt idx="648">
                  <c:v>2660.4287864104344</c:v>
                </c:pt>
                <c:pt idx="649">
                  <c:v>2663.5486586189718</c:v>
                </c:pt>
                <c:pt idx="650">
                  <c:v>2666.5670008206562</c:v>
                </c:pt>
                <c:pt idx="651">
                  <c:v>2669.4839696190184</c:v>
                </c:pt>
                <c:pt idx="652">
                  <c:v>2672.2997174874849</c:v>
                </c:pt>
                <c:pt idx="653">
                  <c:v>2675.0143928545012</c:v>
                </c:pt>
                <c:pt idx="654">
                  <c:v>2677.628140190574</c:v>
                </c:pt>
                <c:pt idx="655">
                  <c:v>2680.1411000974281</c:v>
                </c:pt>
                <c:pt idx="656">
                  <c:v>2682.553409399467</c:v>
                </c:pt>
                <c:pt idx="657">
                  <c:v>2684.8652012377352</c:v>
                </c:pt>
                <c:pt idx="658">
                  <c:v>2687.0766051665664</c:v>
                </c:pt>
                <c:pt idx="659">
                  <c:v>2689.1877472531137</c:v>
                </c:pt>
                <c:pt idx="660">
                  <c:v>2691.1987501799363</c:v>
                </c:pt>
                <c:pt idx="661">
                  <c:v>2693.1097333508205</c:v>
                </c:pt>
                <c:pt idx="662">
                  <c:v>2694.9208129999952</c:v>
                </c:pt>
                <c:pt idx="663">
                  <c:v>2696.6321023048909</c:v>
                </c:pt>
                <c:pt idx="664">
                  <c:v>2698.2437115025709</c:v>
                </c:pt>
                <c:pt idx="665">
                  <c:v>2699.7557480099513</c:v>
                </c:pt>
                <c:pt idx="666">
                  <c:v>2701.1683165478853</c:v>
                </c:pt>
                <c:pt idx="667">
                  <c:v>2702.4815192691813</c:v>
                </c:pt>
                <c:pt idx="668">
                  <c:v>2703.6954558905741</c:v>
                </c:pt>
                <c:pt idx="669">
                  <c:v>2704.8102238286442</c:v>
                </c:pt>
                <c:pt idx="670">
                  <c:v>2705.8259183396381</c:v>
                </c:pt>
                <c:pt idx="671">
                  <c:v>2706.7426326631048</c:v>
                </c:pt>
                <c:pt idx="672">
                  <c:v>2707.5604581692182</c:v>
                </c:pt>
                <c:pt idx="673">
                  <c:v>2708.2794845096073</c:v>
                </c:pt>
                <c:pt idx="674">
                  <c:v>2708.899799771481</c:v>
                </c:pt>
                <c:pt idx="675">
                  <c:v>2709.4214906347725</c:v>
                </c:pt>
                <c:pt idx="676">
                  <c:v>2709.8446425319994</c:v>
                </c:pt>
                <c:pt idx="677">
                  <c:v>2710.1693398104794</c:v>
                </c:pt>
                <c:pt idx="678">
                  <c:v>2710.3956658965089</c:v>
                </c:pt>
                <c:pt idx="679">
                  <c:v>2710.5237034610714</c:v>
                </c:pt>
                <c:pt idx="680">
                  <c:v>2710.5535345866106</c:v>
                </c:pt>
                <c:pt idx="681">
                  <c:v>2710.4852409343848</c:v>
                </c:pt>
                <c:pt idx="682">
                  <c:v>2710.3189039118829</c:v>
                </c:pt>
                <c:pt idx="683">
                  <c:v>2710.0546048397896</c:v>
                </c:pt>
                <c:pt idx="684">
                  <c:v>2709.6924251179685</c:v>
                </c:pt>
                <c:pt idx="685">
                  <c:v>2709.2324463899363</c:v>
                </c:pt>
                <c:pt idx="686">
                  <c:v>2708.6747507053196</c:v>
                </c:pt>
                <c:pt idx="687">
                  <c:v>2708.0194206797905</c:v>
                </c:pt>
                <c:pt idx="688">
                  <c:v>2707.2665396520129</c:v>
                </c:pt>
                <c:pt idx="689">
                  <c:v>2706.4161918371483</c:v>
                </c:pt>
                <c:pt idx="690">
                  <c:v>2705.4684624765223</c:v>
                </c:pt>
                <c:pt idx="691">
                  <c:v>2704.4234379830723</c:v>
                </c:pt>
                <c:pt idx="692">
                  <c:v>2703.2812060822566</c:v>
                </c:pt>
                <c:pt idx="693">
                  <c:v>2702.0418559481391</c:v>
                </c:pt>
                <c:pt idx="694">
                  <c:v>2700.7054783344133</c:v>
                </c:pt>
                <c:pt idx="695">
                  <c:v>2699.272165700178</c:v>
                </c:pt>
                <c:pt idx="696">
                  <c:v>2697.7420123303154</c:v>
                </c:pt>
                <c:pt idx="697">
                  <c:v>2696.1151144503724</c:v>
                </c:pt>
                <c:pt idx="698">
                  <c:v>2694.3915703358866</c:v>
                </c:pt>
                <c:pt idx="699">
                  <c:v>2692.5714804161335</c:v>
                </c:pt>
                <c:pt idx="700">
                  <c:v>2690.6549473723094</c:v>
                </c:pt>
                <c:pt idx="701">
                  <c:v>2688.6420762302005</c:v>
                </c:pt>
                <c:pt idx="702">
                  <c:v>2686.5329744474075</c:v>
                </c:pt>
                <c:pt idx="703">
                  <c:v>2684.3277519952321</c:v>
                </c:pt>
                <c:pt idx="704">
                  <c:v>2682.0265214353426</c:v>
                </c:pt>
                <c:pt idx="705">
                  <c:v>2679.6293979913589</c:v>
                </c:pt>
                <c:pt idx="706">
                  <c:v>2677.1364996155116</c:v>
                </c:pt>
                <c:pt idx="707">
                  <c:v>2674.5479470505393</c:v>
                </c:pt>
                <c:pt idx="708">
                  <c:v>2671.8638638869952</c:v>
                </c:pt>
                <c:pt idx="709">
                  <c:v>2669.0843766161456</c:v>
                </c:pt>
                <c:pt idx="710">
                  <c:v>2666.2096146786384</c:v>
                </c:pt>
                <c:pt idx="711">
                  <c:v>2663.2397105091281</c:v>
                </c:pt>
                <c:pt idx="712">
                  <c:v>2660.1747995770397</c:v>
                </c:pt>
                <c:pt idx="713">
                  <c:v>2657.0150204236515</c:v>
                </c:pt>
                <c:pt idx="714">
                  <c:v>2653.7605146956757</c:v>
                </c:pt>
                <c:pt idx="715">
                  <c:v>2650.4114271755102</c:v>
                </c:pt>
                <c:pt idx="716">
                  <c:v>2646.9679058083302</c:v>
                </c:pt>
                <c:pt idx="717">
                  <c:v>2643.4301017261851</c:v>
                </c:pt>
                <c:pt idx="718">
                  <c:v>2639.7981692692524</c:v>
                </c:pt>
                <c:pt idx="719">
                  <c:v>2636.072266004403</c:v>
                </c:pt>
                <c:pt idx="720">
                  <c:v>2632.2525527412213</c:v>
                </c:pt>
                <c:pt idx="721">
                  <c:v>2628.3391935456161</c:v>
                </c:pt>
                <c:pt idx="722">
                  <c:v>2624.3323557511517</c:v>
                </c:pt>
                <c:pt idx="723">
                  <c:v>2620.2322099682237</c:v>
                </c:pt>
                <c:pt idx="724">
                  <c:v>2616.0389300911975</c:v>
                </c:pt>
                <c:pt idx="725">
                  <c:v>2611.7526933036147</c:v>
                </c:pt>
                <c:pt idx="726">
                  <c:v>2607.3736800815786</c:v>
                </c:pt>
                <c:pt idx="727">
                  <c:v>2602.9020741954109</c:v>
                </c:pt>
                <c:pt idx="728">
                  <c:v>2598.3380627096731</c:v>
                </c:pt>
                <c:pt idx="729">
                  <c:v>2593.6818359816421</c:v>
                </c:pt>
                <c:pt idx="730">
                  <c:v>2588.9335876583164</c:v>
                </c:pt>
                <c:pt idx="731">
                  <c:v>2584.0935146720335</c:v>
                </c:pt>
                <c:pt idx="732">
                  <c:v>2579.1618172347685</c:v>
                </c:pt>
                <c:pt idx="733">
                  <c:v>2574.1386988311788</c:v>
                </c:pt>
                <c:pt idx="734">
                  <c:v>2569.0243662104622</c:v>
                </c:pt>
                <c:pt idx="735">
                  <c:v>2563.8190293770845</c:v>
                </c:pt>
                <c:pt idx="736">
                  <c:v>2558.5229015804316</c:v>
                </c:pt>
                <c:pt idx="737">
                  <c:v>2553.1361993034388</c:v>
                </c:pt>
                <c:pt idx="738">
                  <c:v>2547.659142250247</c:v>
                </c:pt>
                <c:pt idx="739">
                  <c:v>2542.0919533329279</c:v>
                </c:pt>
                <c:pt idx="740">
                  <c:v>2536.4348586573269</c:v>
                </c:pt>
                <c:pt idx="741">
                  <c:v>2530.6880875080556</c:v>
                </c:pt>
                <c:pt idx="742">
                  <c:v>2524.8518723326783</c:v>
                </c:pt>
                <c:pt idx="743">
                  <c:v>2518.9264487251271</c:v>
                </c:pt>
                <c:pt idx="744">
                  <c:v>2512.9120554083734</c:v>
                </c:pt>
                <c:pt idx="745">
                  <c:v>2506.8089342163953</c:v>
                </c:pt>
                <c:pt idx="746">
                  <c:v>2500.6173300754622</c:v>
                </c:pt>
                <c:pt idx="747">
                  <c:v>2494.3374909847721</c:v>
                </c:pt>
                <c:pt idx="748">
                  <c:v>2487.9696679964609</c:v>
                </c:pt>
                <c:pt idx="749">
                  <c:v>2481.5141151950124</c:v>
                </c:pt>
                <c:pt idx="750">
                  <c:v>2474.971089676093</c:v>
                </c:pt>
                <c:pt idx="751">
                  <c:v>2468.3408515248302</c:v>
                </c:pt>
                <c:pt idx="752">
                  <c:v>2461.6236637935576</c:v>
                </c:pt>
                <c:pt idx="753">
                  <c:v>2454.819792479047</c:v>
                </c:pt>
                <c:pt idx="754">
                  <c:v>2447.9295064992443</c:v>
                </c:pt>
                <c:pt idx="755">
                  <c:v>2440.9530776695306</c:v>
                </c:pt>
                <c:pt idx="756">
                  <c:v>2433.8907806785214</c:v>
                </c:pt>
                <c:pt idx="757">
                  <c:v>2426.7428930634237</c:v>
                </c:pt>
                <c:pt idx="758">
                  <c:v>2419.509695184965</c:v>
                </c:pt>
                <c:pt idx="759">
                  <c:v>2412.1914702019089</c:v>
                </c:pt>
                <c:pt idx="760">
                  <c:v>2404.7885040451738</c:v>
                </c:pt>
                <c:pt idx="761">
                  <c:v>2397.3010853915634</c:v>
                </c:pt>
                <c:pt idx="762">
                  <c:v>2389.729505637129</c:v>
                </c:pt>
                <c:pt idx="763">
                  <c:v>2382.074058870171</c:v>
                </c:pt>
                <c:pt idx="764">
                  <c:v>2374.3350418438927</c:v>
                </c:pt>
                <c:pt idx="765">
                  <c:v>2366.5127539487203</c:v>
                </c:pt>
                <c:pt idx="766">
                  <c:v>2358.6074971842986</c:v>
                </c:pt>
                <c:pt idx="767">
                  <c:v>2350.6195761311737</c:v>
                </c:pt>
                <c:pt idx="768">
                  <c:v>2342.5492979221731</c:v>
                </c:pt>
                <c:pt idx="769">
                  <c:v>2334.3969722134948</c:v>
                </c:pt>
                <c:pt idx="770">
                  <c:v>2326.1629111555139</c:v>
                </c:pt>
                <c:pt idx="771">
                  <c:v>2317.8474293633162</c:v>
                </c:pt>
                <c:pt idx="772">
                  <c:v>2309.4508438869711</c:v>
                </c:pt>
                <c:pt idx="773">
                  <c:v>2300.9734741815496</c:v>
                </c:pt>
                <c:pt idx="774">
                  <c:v>2292.4156420768968</c:v>
                </c:pt>
                <c:pt idx="775">
                  <c:v>2283.7776717471725</c:v>
                </c:pt>
                <c:pt idx="776">
                  <c:v>2275.0598896801598</c:v>
                </c:pt>
                <c:pt idx="777">
                  <c:v>2266.2626246463592</c:v>
                </c:pt>
                <c:pt idx="778">
                  <c:v>2257.3862076678702</c:v>
                </c:pt>
                <c:pt idx="779">
                  <c:v>2248.4309719870716</c:v>
                </c:pt>
                <c:pt idx="780">
                  <c:v>2239.397253035107</c:v>
                </c:pt>
                <c:pt idx="781">
                  <c:v>2230.2853884001843</c:v>
                </c:pt>
                <c:pt idx="782">
                  <c:v>2221.0957177956957</c:v>
                </c:pt>
                <c:pt idx="783">
                  <c:v>2211.8285830281675</c:v>
                </c:pt>
                <c:pt idx="784">
                  <c:v>2202.4843279650463</c:v>
                </c:pt>
                <c:pt idx="785">
                  <c:v>2193.0632985023276</c:v>
                </c:pt>
                <c:pt idx="786">
                  <c:v>2183.5658425320371</c:v>
                </c:pt>
                <c:pt idx="787">
                  <c:v>2173.9923099095677</c:v>
                </c:pt>
                <c:pt idx="788">
                  <c:v>2164.3430524208852</c:v>
                </c:pt>
                <c:pt idx="789">
                  <c:v>2154.6184237496027</c:v>
                </c:pt>
                <c:pt idx="790">
                  <c:v>2144.8187794439355</c:v>
                </c:pt>
                <c:pt idx="791">
                  <c:v>2134.9444768835428</c:v>
                </c:pt>
                <c:pt idx="792">
                  <c:v>2124.9958752462617</c:v>
                </c:pt>
                <c:pt idx="793">
                  <c:v>2114.9733354747386</c:v>
                </c:pt>
                <c:pt idx="794">
                  <c:v>2104.8772202429695</c:v>
                </c:pt>
                <c:pt idx="795">
                  <c:v>2094.7078939227517</c:v>
                </c:pt>
                <c:pt idx="796">
                  <c:v>2084.4657225500537</c:v>
                </c:pt>
                <c:pt idx="797">
                  <c:v>2074.1510737913122</c:v>
                </c:pt>
                <c:pt idx="798">
                  <c:v>2063.7643169096609</c:v>
                </c:pt>
                <c:pt idx="799">
                  <c:v>2053.3058227310962</c:v>
                </c:pt>
                <c:pt idx="800">
                  <c:v>2042.7759636105889</c:v>
                </c:pt>
                <c:pt idx="801">
                  <c:v>2032.1751133981463</c:v>
                </c:pt>
                <c:pt idx="802">
                  <c:v>2021.5036474048309</c:v>
                </c:pt>
                <c:pt idx="803">
                  <c:v>2010.7619423687429</c:v>
                </c:pt>
                <c:pt idx="804">
                  <c:v>1999.9503764209717</c:v>
                </c:pt>
                <c:pt idx="805">
                  <c:v>1989.0693290515226</c:v>
                </c:pt>
                <c:pt idx="806">
                  <c:v>1978.1191810752241</c:v>
                </c:pt>
                <c:pt idx="807">
                  <c:v>1967.100314597624</c:v>
                </c:pt>
                <c:pt idx="808">
                  <c:v>1956.0131129808772</c:v>
                </c:pt>
                <c:pt idx="809">
                  <c:v>1944.8579608096329</c:v>
                </c:pt>
                <c:pt idx="810">
                  <c:v>1933.6352438569265</c:v>
                </c:pt>
                <c:pt idx="811">
                  <c:v>1922.3453490500824</c:v>
                </c:pt>
                <c:pt idx="812">
                  <c:v>1910.9886644366322</c:v>
                </c:pt>
                <c:pt idx="813">
                  <c:v>1899.5655791502559</c:v>
                </c:pt>
                <c:pt idx="814">
                  <c:v>1888.0764833767496</c:v>
                </c:pt>
                <c:pt idx="815">
                  <c:v>1876.5217683200269</c:v>
                </c:pt>
                <c:pt idx="816">
                  <c:v>1864.901826168159</c:v>
                </c:pt>
                <c:pt idx="817">
                  <c:v>1853.2170500594582</c:v>
                </c:pt>
                <c:pt idx="818">
                  <c:v>1841.4678340486116</c:v>
                </c:pt>
                <c:pt idx="819">
                  <c:v>1829.6545730728697</c:v>
                </c:pt>
                <c:pt idx="820">
                  <c:v>1817.7776629182949</c:v>
                </c:pt>
                <c:pt idx="821">
                  <c:v>1805.8375001860766</c:v>
                </c:pt>
                <c:pt idx="822">
                  <c:v>1793.8344822589152</c:v>
                </c:pt>
                <c:pt idx="823">
                  <c:v>1781.7690072674841</c:v>
                </c:pt>
                <c:pt idx="824">
                  <c:v>1769.6414740569717</c:v>
                </c:pt>
                <c:pt idx="825">
                  <c:v>1757.4522821537103</c:v>
                </c:pt>
                <c:pt idx="826">
                  <c:v>1745.2018317318957</c:v>
                </c:pt>
                <c:pt idx="827">
                  <c:v>1732.8905235804039</c:v>
                </c:pt>
                <c:pt idx="828">
                  <c:v>1720.5187590697078</c:v>
                </c:pt>
                <c:pt idx="829">
                  <c:v>1708.0869401189022</c:v>
                </c:pt>
                <c:pt idx="830">
                  <c:v>1695.5954691628369</c:v>
                </c:pt>
                <c:pt idx="831">
                  <c:v>1683.0447491193681</c:v>
                </c:pt>
                <c:pt idx="832">
                  <c:v>1670.4351833567291</c:v>
                </c:pt>
                <c:pt idx="833">
                  <c:v>1657.7671756610262</c:v>
                </c:pt>
                <c:pt idx="834">
                  <c:v>1645.0411302038647</c:v>
                </c:pt>
                <c:pt idx="835">
                  <c:v>1632.2574515101091</c:v>
                </c:pt>
                <c:pt idx="836">
                  <c:v>1619.4165444257826</c:v>
                </c:pt>
                <c:pt idx="837">
                  <c:v>1606.5188140861087</c:v>
                </c:pt>
                <c:pt idx="838">
                  <c:v>1593.564665883702</c:v>
                </c:pt>
                <c:pt idx="839">
                  <c:v>1580.5545054369099</c:v>
                </c:pt>
                <c:pt idx="840">
                  <c:v>1567.4887385583115</c:v>
                </c:pt>
                <c:pt idx="841">
                  <c:v>1554.3677712233764</c:v>
                </c:pt>
                <c:pt idx="842">
                  <c:v>1541.1920095392884</c:v>
                </c:pt>
                <c:pt idx="843">
                  <c:v>1527.9618597139374</c:v>
                </c:pt>
                <c:pt idx="844">
                  <c:v>1514.6777280250856</c:v>
                </c:pt>
                <c:pt idx="845">
                  <c:v>1501.3400207897084</c:v>
                </c:pt>
                <c:pt idx="846">
                  <c:v>1487.9491443335178</c:v>
                </c:pt>
                <c:pt idx="847">
                  <c:v>1474.5055049606692</c:v>
                </c:pt>
                <c:pt idx="848">
                  <c:v>1461.0095089236565</c:v>
                </c:pt>
                <c:pt idx="849">
                  <c:v>1447.4615623933996</c:v>
                </c:pt>
                <c:pt idx="850">
                  <c:v>1433.8620714295278</c:v>
                </c:pt>
                <c:pt idx="851">
                  <c:v>1420.2114419508609</c:v>
                </c:pt>
                <c:pt idx="852">
                  <c:v>1406.5100797060954</c:v>
                </c:pt>
                <c:pt idx="853">
                  <c:v>1392.7583902446941</c:v>
                </c:pt>
                <c:pt idx="854">
                  <c:v>1378.9567788879872</c:v>
                </c:pt>
                <c:pt idx="855">
                  <c:v>1365.1056507004857</c:v>
                </c:pt>
                <c:pt idx="856">
                  <c:v>1351.205410461411</c:v>
                </c:pt>
                <c:pt idx="857">
                  <c:v>1337.2564626364428</c:v>
                </c:pt>
                <c:pt idx="858">
                  <c:v>1323.2592113496908</c:v>
                </c:pt>
                <c:pt idx="859">
                  <c:v>1309.2140603558903</c:v>
                </c:pt>
                <c:pt idx="860">
                  <c:v>1295.1214130128276</c:v>
                </c:pt>
                <c:pt idx="861">
                  <c:v>1280.9816722539956</c:v>
                </c:pt>
                <c:pt idx="862">
                  <c:v>1266.795240561484</c:v>
                </c:pt>
                <c:pt idx="863">
                  <c:v>1252.5625199391054</c:v>
                </c:pt>
                <c:pt idx="864">
                  <c:v>1238.2839118857623</c:v>
                </c:pt>
                <c:pt idx="865">
                  <c:v>1223.9598173690551</c:v>
                </c:pt>
                <c:pt idx="866">
                  <c:v>1209.5906367991354</c:v>
                </c:pt>
                <c:pt idx="867">
                  <c:v>1195.1767700028058</c:v>
                </c:pt>
                <c:pt idx="868">
                  <c:v>1180.7186161978696</c:v>
                </c:pt>
                <c:pt idx="869">
                  <c:v>1166.2165739677323</c:v>
                </c:pt>
                <c:pt idx="870">
                  <c:v>1151.6710412362575</c:v>
                </c:pt>
                <c:pt idx="871">
                  <c:v>1137.0824152428777</c:v>
                </c:pt>
                <c:pt idx="872">
                  <c:v>1122.4510925179659</c:v>
                </c:pt>
                <c:pt idx="873">
                  <c:v>1107.7774688584652</c:v>
                </c:pt>
                <c:pt idx="874">
                  <c:v>1093.0619393037819</c:v>
                </c:pt>
                <c:pt idx="875">
                  <c:v>1078.304898111943</c:v>
                </c:pt>
                <c:pt idx="876">
                  <c:v>1063.5067387360195</c:v>
                </c:pt>
                <c:pt idx="877">
                  <c:v>1048.667853800818</c:v>
                </c:pt>
                <c:pt idx="878">
                  <c:v>1033.7886350798401</c:v>
                </c:pt>
                <c:pt idx="879">
                  <c:v>1018.869473472516</c:v>
                </c:pt>
                <c:pt idx="880">
                  <c:v>1003.9107589817079</c:v>
                </c:pt>
                <c:pt idx="881">
                  <c:v>988.91288069148891</c:v>
                </c:pt>
                <c:pt idx="882">
                  <c:v>973.87622674519753</c:v>
                </c:pt>
                <c:pt idx="883">
                  <c:v>958.80118432376821</c:v>
                </c:pt>
                <c:pt idx="884">
                  <c:v>943.68813962434103</c:v>
                </c:pt>
                <c:pt idx="885">
                  <c:v>928.53747783914969</c:v>
                </c:pt>
                <c:pt idx="886">
                  <c:v>913.34958313469053</c:v>
                </c:pt>
                <c:pt idx="887">
                  <c:v>898.12483863117268</c:v>
                </c:pt>
                <c:pt idx="888">
                  <c:v>882.86362638225057</c:v>
                </c:pt>
                <c:pt idx="889">
                  <c:v>867.56632735504036</c:v>
                </c:pt>
                <c:pt idx="890">
                  <c:v>852.23332141041942</c:v>
                </c:pt>
                <c:pt idx="891">
                  <c:v>836.86498728361153</c:v>
                </c:pt>
                <c:pt idx="892">
                  <c:v>821.46170256505764</c:v>
                </c:pt>
                <c:pt idx="893">
                  <c:v>806.02384368157243</c:v>
                </c:pt>
                <c:pt idx="894">
                  <c:v>790.55178587778801</c:v>
                </c:pt>
                <c:pt idx="895">
                  <c:v>775.04590319788451</c:v>
                </c:pt>
                <c:pt idx="896">
                  <c:v>759.50656846760887</c:v>
                </c:pt>
                <c:pt idx="897">
                  <c:v>743.93415327658158</c:v>
                </c:pt>
                <c:pt idx="898">
                  <c:v>728.32902796089138</c:v>
                </c:pt>
                <c:pt idx="899">
                  <c:v>712.69156158597877</c:v>
                </c:pt>
                <c:pt idx="900">
                  <c:v>697.02212192980869</c:v>
                </c:pt>
                <c:pt idx="901">
                  <c:v>681.32107546633131</c:v>
                </c:pt>
                <c:pt idx="902">
                  <c:v>665.58878734923235</c:v>
                </c:pt>
                <c:pt idx="903">
                  <c:v>649.82562139597212</c:v>
                </c:pt>
                <c:pt idx="904">
                  <c:v>634.03194007211289</c:v>
                </c:pt>
                <c:pt idx="905">
                  <c:v>618.20810447593567</c:v>
                </c:pt>
                <c:pt idx="906">
                  <c:v>602.35447432334479</c:v>
                </c:pt>
                <c:pt idx="907">
                  <c:v>586.47140793306107</c:v>
                </c:pt>
                <c:pt idx="908">
                  <c:v>570.55926221210245</c:v>
                </c:pt>
                <c:pt idx="909">
                  <c:v>554.61839264155276</c:v>
                </c:pt>
                <c:pt idx="910">
                  <c:v>538.64915326261632</c:v>
                </c:pt>
                <c:pt idx="911">
                  <c:v>522.65189666296044</c:v>
                </c:pt>
                <c:pt idx="912">
                  <c:v>506.62697396334289</c:v>
                </c:pt>
                <c:pt idx="913">
                  <c:v>490.57473480452506</c:v>
                </c:pt>
                <c:pt idx="914">
                  <c:v>474.49552733446984</c:v>
                </c:pt>
                <c:pt idx="915">
                  <c:v>458.38969819582331</c:v>
                </c:pt>
                <c:pt idx="916">
                  <c:v>442.25759251367981</c:v>
                </c:pt>
                <c:pt idx="917">
                  <c:v>426.09955388362908</c:v>
                </c:pt>
                <c:pt idx="918">
                  <c:v>409.91592436008523</c:v>
                </c:pt>
                <c:pt idx="919">
                  <c:v>393.70704444489593</c:v>
                </c:pt>
                <c:pt idx="920">
                  <c:v>377.47325307623129</c:v>
                </c:pt>
                <c:pt idx="921">
                  <c:v>361.21488761775129</c:v>
                </c:pt>
                <c:pt idx="922">
                  <c:v>344.93228384805059</c:v>
                </c:pt>
                <c:pt idx="923">
                  <c:v>328.6257759503797</c:v>
                </c:pt>
                <c:pt idx="924">
                  <c:v>312.29569650264142</c:v>
                </c:pt>
                <c:pt idx="925">
                  <c:v>295.94237646766089</c:v>
                </c:pt>
                <c:pt idx="926">
                  <c:v>279.56614518372862</c:v>
                </c:pt>
                <c:pt idx="927">
                  <c:v>263.16733035541472</c:v>
                </c:pt>
                <c:pt idx="928">
                  <c:v>246.74625804465305</c:v>
                </c:pt>
                <c:pt idx="929">
                  <c:v>230.30325266209417</c:v>
                </c:pt>
                <c:pt idx="930">
                  <c:v>213.83863695872537</c:v>
                </c:pt>
                <c:pt idx="931">
                  <c:v>197.35273201775627</c:v>
                </c:pt>
                <c:pt idx="932">
                  <c:v>180.84585724676873</c:v>
                </c:pt>
                <c:pt idx="933">
                  <c:v>164.31833037012933</c:v>
                </c:pt>
                <c:pt idx="934">
                  <c:v>147.7704674216628</c:v>
                </c:pt>
                <c:pt idx="935">
                  <c:v>131.20258273758495</c:v>
                </c:pt>
                <c:pt idx="936">
                  <c:v>114.61498894969317</c:v>
                </c:pt>
                <c:pt idx="937">
                  <c:v>98.007996978813054</c:v>
                </c:pt>
                <c:pt idx="938">
                  <c:v>81.381916028499205</c:v>
                </c:pt>
                <c:pt idx="939">
                  <c:v>64.737053578988593</c:v>
                </c:pt>
                <c:pt idx="940">
                  <c:v>48.073715381404583</c:v>
                </c:pt>
                <c:pt idx="941">
                  <c:v>31.392205452209758</c:v>
                </c:pt>
                <c:pt idx="942">
                  <c:v>14.69282606790582</c:v>
                </c:pt>
                <c:pt idx="943">
                  <c:v>-2.0241222400214909</c:v>
                </c:pt>
                <c:pt idx="944">
                  <c:v>-2.0408479064373886</c:v>
                </c:pt>
                <c:pt idx="945">
                  <c:v>-2.0575735899743273</c:v>
                </c:pt>
                <c:pt idx="946">
                  <c:v>-2.0742992906320117</c:v>
                </c:pt>
                <c:pt idx="947">
                  <c:v>-2.0910250084101465</c:v>
                </c:pt>
                <c:pt idx="948">
                  <c:v>-2.1077507433084359</c:v>
                </c:pt>
                <c:pt idx="949">
                  <c:v>-2.1244764953265842</c:v>
                </c:pt>
                <c:pt idx="950">
                  <c:v>-2.1412022644642961</c:v>
                </c:pt>
                <c:pt idx="951">
                  <c:v>-2.1579280507212757</c:v>
                </c:pt>
                <c:pt idx="952">
                  <c:v>-2.1746538540972273</c:v>
                </c:pt>
                <c:pt idx="953">
                  <c:v>-2.1913796745918557</c:v>
                </c:pt>
                <c:pt idx="954">
                  <c:v>-2.208105512204865</c:v>
                </c:pt>
                <c:pt idx="955">
                  <c:v>-2.2248313669359598</c:v>
                </c:pt>
                <c:pt idx="956">
                  <c:v>-2.2415572387848446</c:v>
                </c:pt>
                <c:pt idx="957">
                  <c:v>-2.2582831277512234</c:v>
                </c:pt>
                <c:pt idx="958">
                  <c:v>-2.275009033834801</c:v>
                </c:pt>
                <c:pt idx="959">
                  <c:v>-2.2917349570352816</c:v>
                </c:pt>
                <c:pt idx="960">
                  <c:v>-2.3084608973523699</c:v>
                </c:pt>
                <c:pt idx="961">
                  <c:v>-2.3251868547857701</c:v>
                </c:pt>
                <c:pt idx="962">
                  <c:v>-2.3419128293351865</c:v>
                </c:pt>
                <c:pt idx="963">
                  <c:v>-2.3586388210003237</c:v>
                </c:pt>
                <c:pt idx="964">
                  <c:v>-2.3753648297808865</c:v>
                </c:pt>
                <c:pt idx="965">
                  <c:v>-2.392090855676579</c:v>
                </c:pt>
                <c:pt idx="966">
                  <c:v>-2.4088168986871055</c:v>
                </c:pt>
                <c:pt idx="967">
                  <c:v>-2.4255429588121706</c:v>
                </c:pt>
                <c:pt idx="968">
                  <c:v>-2.4422690360514787</c:v>
                </c:pt>
                <c:pt idx="969">
                  <c:v>-2.4589951304047339</c:v>
                </c:pt>
                <c:pt idx="970">
                  <c:v>-2.475721241871641</c:v>
                </c:pt>
                <c:pt idx="971">
                  <c:v>-2.4924473704519046</c:v>
                </c:pt>
                <c:pt idx="972">
                  <c:v>-2.5091735161452289</c:v>
                </c:pt>
                <c:pt idx="973">
                  <c:v>-2.5258996789513182</c:v>
                </c:pt>
                <c:pt idx="974">
                  <c:v>-2.5426258588698771</c:v>
                </c:pt>
                <c:pt idx="975">
                  <c:v>-2.5593520559006104</c:v>
                </c:pt>
                <c:pt idx="976">
                  <c:v>-2.5760782700432219</c:v>
                </c:pt>
                <c:pt idx="977">
                  <c:v>-2.5928045012974166</c:v>
                </c:pt>
                <c:pt idx="978">
                  <c:v>-2.6095307496628988</c:v>
                </c:pt>
                <c:pt idx="979">
                  <c:v>-2.6262570151393727</c:v>
                </c:pt>
                <c:pt idx="980">
                  <c:v>-2.6429832977265431</c:v>
                </c:pt>
                <c:pt idx="981">
                  <c:v>-2.6597095974241141</c:v>
                </c:pt>
                <c:pt idx="982">
                  <c:v>-2.6764359142317904</c:v>
                </c:pt>
                <c:pt idx="983">
                  <c:v>-2.6931622481492763</c:v>
                </c:pt>
                <c:pt idx="984">
                  <c:v>-2.7098885991762764</c:v>
                </c:pt>
                <c:pt idx="985">
                  <c:v>-2.7266149673124955</c:v>
                </c:pt>
                <c:pt idx="986">
                  <c:v>-2.7433413525576378</c:v>
                </c:pt>
                <c:pt idx="987">
                  <c:v>-2.7600677549114074</c:v>
                </c:pt>
                <c:pt idx="988">
                  <c:v>-2.7767941743735092</c:v>
                </c:pt>
                <c:pt idx="989">
                  <c:v>-2.7935206109436472</c:v>
                </c:pt>
                <c:pt idx="990">
                  <c:v>-2.8102470646215263</c:v>
                </c:pt>
                <c:pt idx="991">
                  <c:v>-2.826973535406851</c:v>
                </c:pt>
                <c:pt idx="992">
                  <c:v>-2.8437000232993257</c:v>
                </c:pt>
                <c:pt idx="993">
                  <c:v>-2.860426528298655</c:v>
                </c:pt>
                <c:pt idx="994">
                  <c:v>-2.8771530504045431</c:v>
                </c:pt>
                <c:pt idx="995">
                  <c:v>-2.8938795896166947</c:v>
                </c:pt>
                <c:pt idx="996">
                  <c:v>-2.910606145934814</c:v>
                </c:pt>
                <c:pt idx="997">
                  <c:v>-2.9273327193586058</c:v>
                </c:pt>
                <c:pt idx="998">
                  <c:v>-2.9440593098877743</c:v>
                </c:pt>
                <c:pt idx="999">
                  <c:v>-2.9607859175220241</c:v>
                </c:pt>
                <c:pt idx="1000">
                  <c:v>-2.97751254226106</c:v>
                </c:pt>
              </c:numCache>
            </c:numRef>
          </c:yVal>
          <c:smooth val="1"/>
          <c:extLst>
            <c:ext xmlns:c16="http://schemas.microsoft.com/office/drawing/2014/chart" uri="{C3380CC4-5D6E-409C-BE32-E72D297353CC}">
              <c16:uniqueId val="{00000001-AEC5-4DB4-900B-02E79FDE56EC}"/>
            </c:ext>
          </c:extLst>
        </c:ser>
        <c:ser>
          <c:idx val="1"/>
          <c:order val="2"/>
          <c:tx>
            <c:strRef>
              <c:f>Trajecto!$B$107</c:f>
              <c:strCache>
                <c:ptCount val="1"/>
                <c:pt idx="0">
                  <c:v>Descente balistique</c:v>
                </c:pt>
              </c:strCache>
            </c:strRef>
          </c:tx>
          <c:spPr>
            <a:ln w="12700">
              <a:solidFill>
                <a:srgbClr val="808080"/>
              </a:solidFill>
              <a:prstDash val="sysDash"/>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2.0100000000000011</c:v>
                </c:pt>
                <c:pt idx="202">
                  <c:v>2.0200000000000009</c:v>
                </c:pt>
                <c:pt idx="203">
                  <c:v>2.0300000000000007</c:v>
                </c:pt>
                <c:pt idx="204">
                  <c:v>2.0400000000000005</c:v>
                </c:pt>
                <c:pt idx="205">
                  <c:v>2.0500000000000003</c:v>
                </c:pt>
                <c:pt idx="206">
                  <c:v>2.06</c:v>
                </c:pt>
                <c:pt idx="207">
                  <c:v>2.0699999999999998</c:v>
                </c:pt>
                <c:pt idx="208">
                  <c:v>2.0799999999999996</c:v>
                </c:pt>
                <c:pt idx="209">
                  <c:v>2.0899999999999994</c:v>
                </c:pt>
                <c:pt idx="210">
                  <c:v>2.0999999999999992</c:v>
                </c:pt>
                <c:pt idx="211">
                  <c:v>2.109999999999999</c:v>
                </c:pt>
                <c:pt idx="212">
                  <c:v>2.1199999999999988</c:v>
                </c:pt>
                <c:pt idx="213">
                  <c:v>2.1299999999999986</c:v>
                </c:pt>
                <c:pt idx="214">
                  <c:v>2.1399999999999983</c:v>
                </c:pt>
                <c:pt idx="215">
                  <c:v>2.1499999999999981</c:v>
                </c:pt>
                <c:pt idx="216">
                  <c:v>2.1599999999999979</c:v>
                </c:pt>
                <c:pt idx="217">
                  <c:v>2.1699999999999977</c:v>
                </c:pt>
                <c:pt idx="218">
                  <c:v>2.1799999999999975</c:v>
                </c:pt>
                <c:pt idx="219">
                  <c:v>2.1899999999999973</c:v>
                </c:pt>
                <c:pt idx="220">
                  <c:v>2.1999999999999971</c:v>
                </c:pt>
                <c:pt idx="221">
                  <c:v>2.2099999999999969</c:v>
                </c:pt>
                <c:pt idx="222">
                  <c:v>2.2199999999999966</c:v>
                </c:pt>
                <c:pt idx="223">
                  <c:v>2.2299999999999964</c:v>
                </c:pt>
                <c:pt idx="224">
                  <c:v>2.2399999999999962</c:v>
                </c:pt>
                <c:pt idx="225">
                  <c:v>2.249999999999996</c:v>
                </c:pt>
                <c:pt idx="226">
                  <c:v>2.2599999999999958</c:v>
                </c:pt>
                <c:pt idx="227">
                  <c:v>2.2699999999999956</c:v>
                </c:pt>
                <c:pt idx="228">
                  <c:v>2.2799999999999954</c:v>
                </c:pt>
                <c:pt idx="229">
                  <c:v>2.2899999999999952</c:v>
                </c:pt>
                <c:pt idx="230">
                  <c:v>2.2999999999999949</c:v>
                </c:pt>
                <c:pt idx="231">
                  <c:v>2.3099999999999947</c:v>
                </c:pt>
                <c:pt idx="232">
                  <c:v>2.3199999999999945</c:v>
                </c:pt>
                <c:pt idx="233">
                  <c:v>2.3299999999999943</c:v>
                </c:pt>
                <c:pt idx="234">
                  <c:v>2.3399999999999941</c:v>
                </c:pt>
                <c:pt idx="235">
                  <c:v>2.3499999999999939</c:v>
                </c:pt>
                <c:pt idx="236">
                  <c:v>2.3599999999999937</c:v>
                </c:pt>
                <c:pt idx="237">
                  <c:v>2.3699999999999934</c:v>
                </c:pt>
                <c:pt idx="238">
                  <c:v>2.3799999999999932</c:v>
                </c:pt>
                <c:pt idx="239">
                  <c:v>2.389999999999993</c:v>
                </c:pt>
                <c:pt idx="240">
                  <c:v>2.3999999999999928</c:v>
                </c:pt>
                <c:pt idx="241">
                  <c:v>2.4099999999999926</c:v>
                </c:pt>
                <c:pt idx="242">
                  <c:v>2.4199999999999924</c:v>
                </c:pt>
                <c:pt idx="243">
                  <c:v>2.4299999999999922</c:v>
                </c:pt>
                <c:pt idx="244">
                  <c:v>2.439999999999992</c:v>
                </c:pt>
                <c:pt idx="245">
                  <c:v>2.4499999999999917</c:v>
                </c:pt>
                <c:pt idx="246">
                  <c:v>2.4599999999999915</c:v>
                </c:pt>
                <c:pt idx="247">
                  <c:v>2.4699999999999913</c:v>
                </c:pt>
                <c:pt idx="248">
                  <c:v>2.4799999999999911</c:v>
                </c:pt>
                <c:pt idx="249">
                  <c:v>2.4899999999999909</c:v>
                </c:pt>
                <c:pt idx="250">
                  <c:v>2.4999999999999907</c:v>
                </c:pt>
                <c:pt idx="251">
                  <c:v>2.5099999999999905</c:v>
                </c:pt>
                <c:pt idx="252">
                  <c:v>2.5199999999999902</c:v>
                </c:pt>
                <c:pt idx="253">
                  <c:v>2.52999999999999</c:v>
                </c:pt>
                <c:pt idx="254">
                  <c:v>2.5399999999999898</c:v>
                </c:pt>
                <c:pt idx="255">
                  <c:v>2.5499999999999896</c:v>
                </c:pt>
                <c:pt idx="256">
                  <c:v>2.5599999999999894</c:v>
                </c:pt>
                <c:pt idx="257">
                  <c:v>2.5699999999999892</c:v>
                </c:pt>
                <c:pt idx="258">
                  <c:v>2.579999999999989</c:v>
                </c:pt>
                <c:pt idx="259">
                  <c:v>2.5899999999999888</c:v>
                </c:pt>
                <c:pt idx="260">
                  <c:v>2.5999999999999885</c:v>
                </c:pt>
                <c:pt idx="261">
                  <c:v>2.6099999999999883</c:v>
                </c:pt>
                <c:pt idx="262">
                  <c:v>2.6199999999999881</c:v>
                </c:pt>
                <c:pt idx="263">
                  <c:v>2.6299999999999879</c:v>
                </c:pt>
                <c:pt idx="264">
                  <c:v>2.6399999999999877</c:v>
                </c:pt>
                <c:pt idx="265">
                  <c:v>2.6499999999999875</c:v>
                </c:pt>
                <c:pt idx="266">
                  <c:v>2.6599999999999873</c:v>
                </c:pt>
                <c:pt idx="267">
                  <c:v>2.6699999999999871</c:v>
                </c:pt>
                <c:pt idx="268">
                  <c:v>2.6799999999999868</c:v>
                </c:pt>
                <c:pt idx="269">
                  <c:v>2.6899999999999866</c:v>
                </c:pt>
                <c:pt idx="270">
                  <c:v>2.6999999999999864</c:v>
                </c:pt>
                <c:pt idx="271">
                  <c:v>2.7099999999999862</c:v>
                </c:pt>
                <c:pt idx="272">
                  <c:v>2.719999999999986</c:v>
                </c:pt>
                <c:pt idx="273">
                  <c:v>2.7299999999999858</c:v>
                </c:pt>
                <c:pt idx="274">
                  <c:v>2.7399999999999856</c:v>
                </c:pt>
                <c:pt idx="275">
                  <c:v>2.7499999999999853</c:v>
                </c:pt>
                <c:pt idx="276">
                  <c:v>2.7599999999999851</c:v>
                </c:pt>
                <c:pt idx="277">
                  <c:v>2.7699999999999849</c:v>
                </c:pt>
                <c:pt idx="278">
                  <c:v>2.7799999999999847</c:v>
                </c:pt>
                <c:pt idx="279">
                  <c:v>2.7899999999999845</c:v>
                </c:pt>
                <c:pt idx="280">
                  <c:v>2.7999999999999843</c:v>
                </c:pt>
                <c:pt idx="281">
                  <c:v>2.8099999999999841</c:v>
                </c:pt>
                <c:pt idx="282">
                  <c:v>2.8199999999999839</c:v>
                </c:pt>
                <c:pt idx="283">
                  <c:v>2.8299999999999836</c:v>
                </c:pt>
                <c:pt idx="284">
                  <c:v>2.8399999999999834</c:v>
                </c:pt>
                <c:pt idx="285">
                  <c:v>2.8499999999999832</c:v>
                </c:pt>
                <c:pt idx="286">
                  <c:v>2.859999999999983</c:v>
                </c:pt>
                <c:pt idx="287">
                  <c:v>2.8699999999999828</c:v>
                </c:pt>
                <c:pt idx="288">
                  <c:v>2.8799999999999826</c:v>
                </c:pt>
                <c:pt idx="289">
                  <c:v>2.8899999999999824</c:v>
                </c:pt>
                <c:pt idx="290">
                  <c:v>2.8999999999999821</c:v>
                </c:pt>
                <c:pt idx="291">
                  <c:v>2.9099999999999819</c:v>
                </c:pt>
                <c:pt idx="292">
                  <c:v>2.9199999999999817</c:v>
                </c:pt>
                <c:pt idx="293">
                  <c:v>2.9299999999999815</c:v>
                </c:pt>
                <c:pt idx="294">
                  <c:v>2.9399999999999813</c:v>
                </c:pt>
                <c:pt idx="295">
                  <c:v>2.9499999999999811</c:v>
                </c:pt>
                <c:pt idx="296">
                  <c:v>2.9599999999999809</c:v>
                </c:pt>
                <c:pt idx="297">
                  <c:v>2.9699999999999807</c:v>
                </c:pt>
                <c:pt idx="298">
                  <c:v>2.9799999999999804</c:v>
                </c:pt>
                <c:pt idx="299">
                  <c:v>2.9899999999999802</c:v>
                </c:pt>
                <c:pt idx="300">
                  <c:v>2.99999999999998</c:v>
                </c:pt>
                <c:pt idx="301">
                  <c:v>3.0099999999999798</c:v>
                </c:pt>
                <c:pt idx="302">
                  <c:v>3.0199999999999796</c:v>
                </c:pt>
                <c:pt idx="303">
                  <c:v>3.0299999999999794</c:v>
                </c:pt>
                <c:pt idx="304">
                  <c:v>3.0399999999999792</c:v>
                </c:pt>
                <c:pt idx="305">
                  <c:v>3.049999999999979</c:v>
                </c:pt>
                <c:pt idx="306">
                  <c:v>3.0599999999999787</c:v>
                </c:pt>
                <c:pt idx="307">
                  <c:v>3.0699999999999785</c:v>
                </c:pt>
                <c:pt idx="308">
                  <c:v>3.0799999999999783</c:v>
                </c:pt>
                <c:pt idx="309">
                  <c:v>3.0899999999999781</c:v>
                </c:pt>
                <c:pt idx="310">
                  <c:v>3.0999999999999779</c:v>
                </c:pt>
                <c:pt idx="311">
                  <c:v>3.1099999999999777</c:v>
                </c:pt>
                <c:pt idx="312">
                  <c:v>3.1199999999999775</c:v>
                </c:pt>
                <c:pt idx="313">
                  <c:v>3.1299999999999772</c:v>
                </c:pt>
                <c:pt idx="314">
                  <c:v>3.139999999999977</c:v>
                </c:pt>
                <c:pt idx="315">
                  <c:v>3.1499999999999768</c:v>
                </c:pt>
                <c:pt idx="316">
                  <c:v>3.1599999999999766</c:v>
                </c:pt>
                <c:pt idx="317">
                  <c:v>3.1699999999999764</c:v>
                </c:pt>
                <c:pt idx="318">
                  <c:v>3.1799999999999762</c:v>
                </c:pt>
                <c:pt idx="319">
                  <c:v>3.189999999999976</c:v>
                </c:pt>
                <c:pt idx="320">
                  <c:v>3.1999999999999758</c:v>
                </c:pt>
                <c:pt idx="321">
                  <c:v>3.2099999999999755</c:v>
                </c:pt>
                <c:pt idx="322">
                  <c:v>3.2199999999999753</c:v>
                </c:pt>
                <c:pt idx="323">
                  <c:v>3.2299999999999751</c:v>
                </c:pt>
                <c:pt idx="324">
                  <c:v>3.2399999999999749</c:v>
                </c:pt>
                <c:pt idx="325">
                  <c:v>3.2499999999999747</c:v>
                </c:pt>
                <c:pt idx="326">
                  <c:v>3.2599999999999745</c:v>
                </c:pt>
                <c:pt idx="327">
                  <c:v>3.2699999999999743</c:v>
                </c:pt>
                <c:pt idx="328">
                  <c:v>3.279999999999974</c:v>
                </c:pt>
                <c:pt idx="329">
                  <c:v>3.2899999999999738</c:v>
                </c:pt>
                <c:pt idx="330">
                  <c:v>3.2999999999999736</c:v>
                </c:pt>
                <c:pt idx="331">
                  <c:v>3.3099999999999734</c:v>
                </c:pt>
                <c:pt idx="332">
                  <c:v>3.3199999999999732</c:v>
                </c:pt>
                <c:pt idx="333">
                  <c:v>3.329999999999973</c:v>
                </c:pt>
                <c:pt idx="334">
                  <c:v>3.3399999999999728</c:v>
                </c:pt>
                <c:pt idx="335">
                  <c:v>3.3499999999999726</c:v>
                </c:pt>
                <c:pt idx="336">
                  <c:v>3.3599999999999723</c:v>
                </c:pt>
                <c:pt idx="337">
                  <c:v>3.3699999999999721</c:v>
                </c:pt>
                <c:pt idx="338">
                  <c:v>3.3799999999999719</c:v>
                </c:pt>
                <c:pt idx="339">
                  <c:v>3.3899999999999717</c:v>
                </c:pt>
                <c:pt idx="340">
                  <c:v>3.3999999999999715</c:v>
                </c:pt>
                <c:pt idx="341">
                  <c:v>3.4099999999999713</c:v>
                </c:pt>
                <c:pt idx="342">
                  <c:v>3.4199999999999711</c:v>
                </c:pt>
                <c:pt idx="343">
                  <c:v>3.4299999999999708</c:v>
                </c:pt>
                <c:pt idx="344">
                  <c:v>3.4399999999999706</c:v>
                </c:pt>
                <c:pt idx="345">
                  <c:v>3.4499999999999704</c:v>
                </c:pt>
                <c:pt idx="346">
                  <c:v>3.4599999999999702</c:v>
                </c:pt>
                <c:pt idx="347">
                  <c:v>3.46999999999997</c:v>
                </c:pt>
                <c:pt idx="348">
                  <c:v>3.4799999999999698</c:v>
                </c:pt>
                <c:pt idx="349">
                  <c:v>3.4899999999999696</c:v>
                </c:pt>
                <c:pt idx="350">
                  <c:v>3.4999999999999694</c:v>
                </c:pt>
                <c:pt idx="351">
                  <c:v>3.5099999999999691</c:v>
                </c:pt>
                <c:pt idx="352">
                  <c:v>3.5199999999999689</c:v>
                </c:pt>
                <c:pt idx="353">
                  <c:v>3.5299999999999687</c:v>
                </c:pt>
                <c:pt idx="354">
                  <c:v>3.5399999999999685</c:v>
                </c:pt>
                <c:pt idx="355">
                  <c:v>3.5499999999999683</c:v>
                </c:pt>
                <c:pt idx="356">
                  <c:v>3.5599999999999681</c:v>
                </c:pt>
                <c:pt idx="357">
                  <c:v>3.5699999999999679</c:v>
                </c:pt>
                <c:pt idx="358">
                  <c:v>3.5799999999999677</c:v>
                </c:pt>
                <c:pt idx="359">
                  <c:v>3.5899999999999674</c:v>
                </c:pt>
                <c:pt idx="360">
                  <c:v>3.5999999999999672</c:v>
                </c:pt>
                <c:pt idx="361">
                  <c:v>3.609999999999967</c:v>
                </c:pt>
                <c:pt idx="362">
                  <c:v>3.6199999999999668</c:v>
                </c:pt>
                <c:pt idx="363">
                  <c:v>3.6299999999999666</c:v>
                </c:pt>
                <c:pt idx="364">
                  <c:v>3.6399999999999664</c:v>
                </c:pt>
                <c:pt idx="365">
                  <c:v>3.6499999999999662</c:v>
                </c:pt>
                <c:pt idx="366">
                  <c:v>3.6599999999999659</c:v>
                </c:pt>
                <c:pt idx="367">
                  <c:v>3.6699999999999657</c:v>
                </c:pt>
                <c:pt idx="368">
                  <c:v>3.6799999999999655</c:v>
                </c:pt>
                <c:pt idx="369">
                  <c:v>3.6899999999999653</c:v>
                </c:pt>
                <c:pt idx="370">
                  <c:v>3.6999999999999651</c:v>
                </c:pt>
                <c:pt idx="371">
                  <c:v>3.7099999999999649</c:v>
                </c:pt>
                <c:pt idx="372">
                  <c:v>3.7199999999999647</c:v>
                </c:pt>
                <c:pt idx="373">
                  <c:v>3.7299999999999645</c:v>
                </c:pt>
                <c:pt idx="374">
                  <c:v>3.7399999999999642</c:v>
                </c:pt>
                <c:pt idx="375">
                  <c:v>3.749999999999964</c:v>
                </c:pt>
                <c:pt idx="376">
                  <c:v>3.7599999999999638</c:v>
                </c:pt>
                <c:pt idx="377">
                  <c:v>3.7699999999999636</c:v>
                </c:pt>
                <c:pt idx="378">
                  <c:v>3.7799999999999634</c:v>
                </c:pt>
                <c:pt idx="379">
                  <c:v>3.7899999999999632</c:v>
                </c:pt>
                <c:pt idx="380">
                  <c:v>3.799999999999963</c:v>
                </c:pt>
                <c:pt idx="381">
                  <c:v>3.8099999999999627</c:v>
                </c:pt>
                <c:pt idx="382">
                  <c:v>3.8199999999999625</c:v>
                </c:pt>
                <c:pt idx="383">
                  <c:v>3.8299999999999623</c:v>
                </c:pt>
                <c:pt idx="384">
                  <c:v>3.8399999999999621</c:v>
                </c:pt>
                <c:pt idx="385">
                  <c:v>3.8499999999999619</c:v>
                </c:pt>
                <c:pt idx="386">
                  <c:v>3.8599999999999617</c:v>
                </c:pt>
                <c:pt idx="387">
                  <c:v>3.8699999999999615</c:v>
                </c:pt>
                <c:pt idx="388">
                  <c:v>3.8799999999999613</c:v>
                </c:pt>
                <c:pt idx="389">
                  <c:v>3.889999999999961</c:v>
                </c:pt>
                <c:pt idx="390">
                  <c:v>3.8999999999999608</c:v>
                </c:pt>
                <c:pt idx="391">
                  <c:v>3.9099999999999606</c:v>
                </c:pt>
                <c:pt idx="392">
                  <c:v>3.9199999999999604</c:v>
                </c:pt>
                <c:pt idx="393">
                  <c:v>3.9299999999999602</c:v>
                </c:pt>
                <c:pt idx="394">
                  <c:v>3.93999999999996</c:v>
                </c:pt>
                <c:pt idx="395">
                  <c:v>3.9499999999999598</c:v>
                </c:pt>
                <c:pt idx="396">
                  <c:v>3.9599999999999596</c:v>
                </c:pt>
                <c:pt idx="397">
                  <c:v>3.9699999999999593</c:v>
                </c:pt>
                <c:pt idx="398">
                  <c:v>3.9799999999999591</c:v>
                </c:pt>
                <c:pt idx="399">
                  <c:v>3.9899999999999589</c:v>
                </c:pt>
                <c:pt idx="400">
                  <c:v>3.9999999999999587</c:v>
                </c:pt>
                <c:pt idx="401">
                  <c:v>4.0099999999999589</c:v>
                </c:pt>
                <c:pt idx="402">
                  <c:v>4.0199999999999587</c:v>
                </c:pt>
                <c:pt idx="403">
                  <c:v>4.0299999999999585</c:v>
                </c:pt>
                <c:pt idx="404">
                  <c:v>4.0399999999999583</c:v>
                </c:pt>
                <c:pt idx="405">
                  <c:v>4.0499999999999581</c:v>
                </c:pt>
                <c:pt idx="406">
                  <c:v>4.0599999999999579</c:v>
                </c:pt>
                <c:pt idx="407">
                  <c:v>4.0699999999999577</c:v>
                </c:pt>
                <c:pt idx="408">
                  <c:v>4.0799999999999574</c:v>
                </c:pt>
                <c:pt idx="409">
                  <c:v>4.0899999999999572</c:v>
                </c:pt>
                <c:pt idx="410">
                  <c:v>4.099999999999957</c:v>
                </c:pt>
                <c:pt idx="411">
                  <c:v>4.1099999999999568</c:v>
                </c:pt>
                <c:pt idx="412">
                  <c:v>4.1199999999999566</c:v>
                </c:pt>
                <c:pt idx="413">
                  <c:v>4.1299999999999564</c:v>
                </c:pt>
                <c:pt idx="414">
                  <c:v>4.1399999999999562</c:v>
                </c:pt>
                <c:pt idx="415">
                  <c:v>4.1499999999999559</c:v>
                </c:pt>
                <c:pt idx="416">
                  <c:v>4.1599999999999557</c:v>
                </c:pt>
                <c:pt idx="417">
                  <c:v>4.1699999999999555</c:v>
                </c:pt>
                <c:pt idx="418">
                  <c:v>4.1799999999999553</c:v>
                </c:pt>
                <c:pt idx="419">
                  <c:v>4.1899999999999551</c:v>
                </c:pt>
                <c:pt idx="420">
                  <c:v>4.1999999999999549</c:v>
                </c:pt>
                <c:pt idx="421">
                  <c:v>4.2099999999999547</c:v>
                </c:pt>
                <c:pt idx="422">
                  <c:v>4.2199999999999545</c:v>
                </c:pt>
                <c:pt idx="423">
                  <c:v>4.2299999999999542</c:v>
                </c:pt>
                <c:pt idx="424">
                  <c:v>4.239999999999954</c:v>
                </c:pt>
                <c:pt idx="425">
                  <c:v>4.2499999999999538</c:v>
                </c:pt>
                <c:pt idx="426">
                  <c:v>4.2599999999999536</c:v>
                </c:pt>
                <c:pt idx="427">
                  <c:v>4.2699999999999534</c:v>
                </c:pt>
                <c:pt idx="428">
                  <c:v>4.2799999999999532</c:v>
                </c:pt>
                <c:pt idx="429">
                  <c:v>4.289999999999953</c:v>
                </c:pt>
                <c:pt idx="430">
                  <c:v>4.2999999999999527</c:v>
                </c:pt>
                <c:pt idx="431">
                  <c:v>4.3099999999999525</c:v>
                </c:pt>
                <c:pt idx="432">
                  <c:v>4.3199999999999523</c:v>
                </c:pt>
                <c:pt idx="433">
                  <c:v>4.3299999999999521</c:v>
                </c:pt>
                <c:pt idx="434">
                  <c:v>4.3399999999999519</c:v>
                </c:pt>
                <c:pt idx="435">
                  <c:v>4.3499999999999517</c:v>
                </c:pt>
                <c:pt idx="436">
                  <c:v>4.3599999999999515</c:v>
                </c:pt>
                <c:pt idx="437">
                  <c:v>4.3699999999999513</c:v>
                </c:pt>
                <c:pt idx="438">
                  <c:v>4.379999999999951</c:v>
                </c:pt>
                <c:pt idx="439">
                  <c:v>4.3899999999999508</c:v>
                </c:pt>
                <c:pt idx="440">
                  <c:v>4.3999999999999506</c:v>
                </c:pt>
                <c:pt idx="441">
                  <c:v>4.4099999999999504</c:v>
                </c:pt>
                <c:pt idx="442">
                  <c:v>4.4199999999999502</c:v>
                </c:pt>
                <c:pt idx="443">
                  <c:v>4.42999999999995</c:v>
                </c:pt>
                <c:pt idx="444">
                  <c:v>4.4399999999999498</c:v>
                </c:pt>
                <c:pt idx="445">
                  <c:v>4.4499999999999496</c:v>
                </c:pt>
                <c:pt idx="446">
                  <c:v>4.4599999999999493</c:v>
                </c:pt>
                <c:pt idx="447">
                  <c:v>4.4699999999999491</c:v>
                </c:pt>
                <c:pt idx="448">
                  <c:v>4.4799999999999489</c:v>
                </c:pt>
                <c:pt idx="449">
                  <c:v>4.4899999999999487</c:v>
                </c:pt>
                <c:pt idx="450">
                  <c:v>4.4999999999999485</c:v>
                </c:pt>
                <c:pt idx="451">
                  <c:v>4.5099999999999483</c:v>
                </c:pt>
                <c:pt idx="452">
                  <c:v>4.5199999999999481</c:v>
                </c:pt>
                <c:pt idx="453">
                  <c:v>4.5299999999999478</c:v>
                </c:pt>
                <c:pt idx="454">
                  <c:v>4.5399999999999476</c:v>
                </c:pt>
                <c:pt idx="455">
                  <c:v>4.5499999999999474</c:v>
                </c:pt>
                <c:pt idx="456">
                  <c:v>4.5599999999999472</c:v>
                </c:pt>
                <c:pt idx="457">
                  <c:v>4.569999999999947</c:v>
                </c:pt>
                <c:pt idx="458">
                  <c:v>4.5799999999999468</c:v>
                </c:pt>
                <c:pt idx="459">
                  <c:v>4.5899999999999466</c:v>
                </c:pt>
                <c:pt idx="460">
                  <c:v>4.5999999999999464</c:v>
                </c:pt>
                <c:pt idx="461">
                  <c:v>4.6099999999999461</c:v>
                </c:pt>
                <c:pt idx="462">
                  <c:v>4.6199999999999459</c:v>
                </c:pt>
                <c:pt idx="463">
                  <c:v>4.6299999999999457</c:v>
                </c:pt>
                <c:pt idx="464">
                  <c:v>4.6399999999999455</c:v>
                </c:pt>
                <c:pt idx="465">
                  <c:v>4.6499999999999453</c:v>
                </c:pt>
                <c:pt idx="466">
                  <c:v>4.6599999999999451</c:v>
                </c:pt>
                <c:pt idx="467">
                  <c:v>4.6699999999999449</c:v>
                </c:pt>
                <c:pt idx="468">
                  <c:v>4.6799999999999446</c:v>
                </c:pt>
                <c:pt idx="469">
                  <c:v>4.6899999999999444</c:v>
                </c:pt>
                <c:pt idx="470">
                  <c:v>4.6999999999999442</c:v>
                </c:pt>
                <c:pt idx="471">
                  <c:v>4.709999999999944</c:v>
                </c:pt>
                <c:pt idx="472">
                  <c:v>4.7199999999999438</c:v>
                </c:pt>
                <c:pt idx="473">
                  <c:v>4.7299999999999436</c:v>
                </c:pt>
                <c:pt idx="474">
                  <c:v>4.7399999999999434</c:v>
                </c:pt>
                <c:pt idx="475">
                  <c:v>4.7499999999999432</c:v>
                </c:pt>
                <c:pt idx="476">
                  <c:v>4.7599999999999429</c:v>
                </c:pt>
                <c:pt idx="477">
                  <c:v>4.7699999999999427</c:v>
                </c:pt>
                <c:pt idx="478">
                  <c:v>4.7799999999999425</c:v>
                </c:pt>
                <c:pt idx="479">
                  <c:v>4.7899999999999423</c:v>
                </c:pt>
                <c:pt idx="480">
                  <c:v>4.7999999999999421</c:v>
                </c:pt>
                <c:pt idx="481">
                  <c:v>4.8099999999999419</c:v>
                </c:pt>
                <c:pt idx="482">
                  <c:v>4.8199999999999417</c:v>
                </c:pt>
                <c:pt idx="483">
                  <c:v>4.8299999999999415</c:v>
                </c:pt>
                <c:pt idx="484">
                  <c:v>4.8399999999999412</c:v>
                </c:pt>
                <c:pt idx="485">
                  <c:v>4.849999999999941</c:v>
                </c:pt>
                <c:pt idx="486">
                  <c:v>4.8599999999999408</c:v>
                </c:pt>
                <c:pt idx="487">
                  <c:v>4.8699999999999406</c:v>
                </c:pt>
                <c:pt idx="488">
                  <c:v>4.8799999999999404</c:v>
                </c:pt>
                <c:pt idx="489">
                  <c:v>4.8899999999999402</c:v>
                </c:pt>
                <c:pt idx="490">
                  <c:v>4.89999999999994</c:v>
                </c:pt>
                <c:pt idx="491">
                  <c:v>4.9099999999999397</c:v>
                </c:pt>
                <c:pt idx="492">
                  <c:v>4.9199999999999395</c:v>
                </c:pt>
                <c:pt idx="493">
                  <c:v>4.9299999999999393</c:v>
                </c:pt>
                <c:pt idx="494">
                  <c:v>4.9399999999999391</c:v>
                </c:pt>
                <c:pt idx="495">
                  <c:v>4.9499999999999389</c:v>
                </c:pt>
                <c:pt idx="496">
                  <c:v>4.9599999999999387</c:v>
                </c:pt>
                <c:pt idx="497">
                  <c:v>4.9699999999999385</c:v>
                </c:pt>
                <c:pt idx="498">
                  <c:v>4.9799999999999383</c:v>
                </c:pt>
                <c:pt idx="499">
                  <c:v>4.989999999999938</c:v>
                </c:pt>
                <c:pt idx="500">
                  <c:v>4.9999999999999378</c:v>
                </c:pt>
                <c:pt idx="501">
                  <c:v>5.0999999999999375</c:v>
                </c:pt>
                <c:pt idx="502">
                  <c:v>5.1999999999999371</c:v>
                </c:pt>
                <c:pt idx="503">
                  <c:v>5.2999999999999368</c:v>
                </c:pt>
                <c:pt idx="504">
                  <c:v>5.3999999999999364</c:v>
                </c:pt>
                <c:pt idx="505">
                  <c:v>5.4999999999999361</c:v>
                </c:pt>
                <c:pt idx="506">
                  <c:v>5.5999999999999357</c:v>
                </c:pt>
                <c:pt idx="507">
                  <c:v>5.6999999999999353</c:v>
                </c:pt>
                <c:pt idx="508">
                  <c:v>5.799999999999935</c:v>
                </c:pt>
                <c:pt idx="509">
                  <c:v>5.8999999999999346</c:v>
                </c:pt>
                <c:pt idx="510">
                  <c:v>5.9999999999999343</c:v>
                </c:pt>
                <c:pt idx="511">
                  <c:v>6.0999999999999339</c:v>
                </c:pt>
                <c:pt idx="512">
                  <c:v>6.1999999999999336</c:v>
                </c:pt>
                <c:pt idx="513">
                  <c:v>6.2999999999999332</c:v>
                </c:pt>
                <c:pt idx="514">
                  <c:v>6.3999999999999329</c:v>
                </c:pt>
                <c:pt idx="515">
                  <c:v>6.4999999999999325</c:v>
                </c:pt>
                <c:pt idx="516">
                  <c:v>6.5999999999999321</c:v>
                </c:pt>
                <c:pt idx="517">
                  <c:v>6.6999999999999318</c:v>
                </c:pt>
                <c:pt idx="518">
                  <c:v>6.7999999999999314</c:v>
                </c:pt>
                <c:pt idx="519">
                  <c:v>6.8999999999999311</c:v>
                </c:pt>
                <c:pt idx="520">
                  <c:v>6.9999999999999307</c:v>
                </c:pt>
                <c:pt idx="521">
                  <c:v>7.0999999999999304</c:v>
                </c:pt>
                <c:pt idx="522">
                  <c:v>7.19999999999993</c:v>
                </c:pt>
                <c:pt idx="523">
                  <c:v>7.2999999999999297</c:v>
                </c:pt>
                <c:pt idx="524">
                  <c:v>7.3999999999999293</c:v>
                </c:pt>
                <c:pt idx="525">
                  <c:v>7.4999999999999289</c:v>
                </c:pt>
                <c:pt idx="526">
                  <c:v>7.5999999999999286</c:v>
                </c:pt>
                <c:pt idx="527">
                  <c:v>7.6999999999999282</c:v>
                </c:pt>
                <c:pt idx="528">
                  <c:v>7.7999999999999279</c:v>
                </c:pt>
                <c:pt idx="529">
                  <c:v>7.8999999999999275</c:v>
                </c:pt>
                <c:pt idx="530">
                  <c:v>7.9999999999999272</c:v>
                </c:pt>
                <c:pt idx="531">
                  <c:v>8.0999999999999268</c:v>
                </c:pt>
                <c:pt idx="532">
                  <c:v>8.1999999999999265</c:v>
                </c:pt>
                <c:pt idx="533">
                  <c:v>8.2999999999999261</c:v>
                </c:pt>
                <c:pt idx="534">
                  <c:v>8.3999999999999257</c:v>
                </c:pt>
                <c:pt idx="535">
                  <c:v>8.4999999999999254</c:v>
                </c:pt>
                <c:pt idx="536">
                  <c:v>8.599999999999925</c:v>
                </c:pt>
                <c:pt idx="537">
                  <c:v>8.6999999999999247</c:v>
                </c:pt>
                <c:pt idx="538">
                  <c:v>8.7999999999999243</c:v>
                </c:pt>
                <c:pt idx="539">
                  <c:v>8.899999999999924</c:v>
                </c:pt>
                <c:pt idx="540">
                  <c:v>8.9999999999999236</c:v>
                </c:pt>
                <c:pt idx="541">
                  <c:v>9.0999999999999233</c:v>
                </c:pt>
                <c:pt idx="542">
                  <c:v>9.1999999999999229</c:v>
                </c:pt>
                <c:pt idx="543">
                  <c:v>9.2999999999999226</c:v>
                </c:pt>
                <c:pt idx="544">
                  <c:v>9.3999999999999222</c:v>
                </c:pt>
                <c:pt idx="545">
                  <c:v>9.4999999999999218</c:v>
                </c:pt>
                <c:pt idx="546">
                  <c:v>9.5999999999999215</c:v>
                </c:pt>
                <c:pt idx="547">
                  <c:v>9.6999999999999211</c:v>
                </c:pt>
                <c:pt idx="548">
                  <c:v>9.7999999999999208</c:v>
                </c:pt>
                <c:pt idx="549">
                  <c:v>9.8999999999999204</c:v>
                </c:pt>
                <c:pt idx="550">
                  <c:v>9.9999999999999201</c:v>
                </c:pt>
                <c:pt idx="551">
                  <c:v>10.09999999999992</c:v>
                </c:pt>
                <c:pt idx="552">
                  <c:v>10.199999999999919</c:v>
                </c:pt>
                <c:pt idx="553">
                  <c:v>10.299999999999919</c:v>
                </c:pt>
                <c:pt idx="554">
                  <c:v>10.399999999999919</c:v>
                </c:pt>
                <c:pt idx="555">
                  <c:v>10.499999999999918</c:v>
                </c:pt>
                <c:pt idx="556">
                  <c:v>10.599999999999918</c:v>
                </c:pt>
                <c:pt idx="557">
                  <c:v>10.699999999999918</c:v>
                </c:pt>
                <c:pt idx="558">
                  <c:v>10.799999999999917</c:v>
                </c:pt>
                <c:pt idx="559">
                  <c:v>10.899999999999917</c:v>
                </c:pt>
                <c:pt idx="560">
                  <c:v>10.999999999999917</c:v>
                </c:pt>
                <c:pt idx="561">
                  <c:v>11.099999999999916</c:v>
                </c:pt>
                <c:pt idx="562">
                  <c:v>11.199999999999916</c:v>
                </c:pt>
                <c:pt idx="563">
                  <c:v>11.299999999999915</c:v>
                </c:pt>
                <c:pt idx="564">
                  <c:v>11.399999999999915</c:v>
                </c:pt>
                <c:pt idx="565">
                  <c:v>11.499999999999915</c:v>
                </c:pt>
                <c:pt idx="566">
                  <c:v>11.599999999999914</c:v>
                </c:pt>
                <c:pt idx="567">
                  <c:v>11.699999999999914</c:v>
                </c:pt>
                <c:pt idx="568">
                  <c:v>11.799999999999914</c:v>
                </c:pt>
                <c:pt idx="569">
                  <c:v>11.899999999999913</c:v>
                </c:pt>
                <c:pt idx="570">
                  <c:v>11.999999999999913</c:v>
                </c:pt>
                <c:pt idx="571">
                  <c:v>12.099999999999913</c:v>
                </c:pt>
                <c:pt idx="572">
                  <c:v>12.199999999999912</c:v>
                </c:pt>
                <c:pt idx="573">
                  <c:v>12.299999999999912</c:v>
                </c:pt>
                <c:pt idx="574">
                  <c:v>12.399999999999912</c:v>
                </c:pt>
                <c:pt idx="575">
                  <c:v>12.499999999999911</c:v>
                </c:pt>
                <c:pt idx="576">
                  <c:v>12.599999999999911</c:v>
                </c:pt>
                <c:pt idx="577">
                  <c:v>12.69999999999991</c:v>
                </c:pt>
                <c:pt idx="578">
                  <c:v>12.79999999999991</c:v>
                </c:pt>
                <c:pt idx="579">
                  <c:v>12.89999999999991</c:v>
                </c:pt>
                <c:pt idx="580">
                  <c:v>12.999999999999909</c:v>
                </c:pt>
                <c:pt idx="581">
                  <c:v>13.099999999999909</c:v>
                </c:pt>
                <c:pt idx="582">
                  <c:v>13.199999999999909</c:v>
                </c:pt>
                <c:pt idx="583">
                  <c:v>13.299999999999908</c:v>
                </c:pt>
                <c:pt idx="584">
                  <c:v>13.399999999999908</c:v>
                </c:pt>
                <c:pt idx="585">
                  <c:v>13.499999999999908</c:v>
                </c:pt>
                <c:pt idx="586">
                  <c:v>13.599999999999907</c:v>
                </c:pt>
                <c:pt idx="587">
                  <c:v>13.699999999999907</c:v>
                </c:pt>
                <c:pt idx="588">
                  <c:v>13.799999999999907</c:v>
                </c:pt>
                <c:pt idx="589">
                  <c:v>13.899999999999906</c:v>
                </c:pt>
                <c:pt idx="590">
                  <c:v>13.999999999999906</c:v>
                </c:pt>
                <c:pt idx="591">
                  <c:v>14.099999999999905</c:v>
                </c:pt>
                <c:pt idx="592">
                  <c:v>14.199999999999905</c:v>
                </c:pt>
                <c:pt idx="593">
                  <c:v>14.299999999999905</c:v>
                </c:pt>
                <c:pt idx="594">
                  <c:v>14.399999999999904</c:v>
                </c:pt>
                <c:pt idx="595">
                  <c:v>14.499999999999904</c:v>
                </c:pt>
                <c:pt idx="596">
                  <c:v>14.599999999999904</c:v>
                </c:pt>
                <c:pt idx="597">
                  <c:v>14.699999999999903</c:v>
                </c:pt>
                <c:pt idx="598">
                  <c:v>14.799999999999903</c:v>
                </c:pt>
                <c:pt idx="599">
                  <c:v>14.899999999999903</c:v>
                </c:pt>
                <c:pt idx="600">
                  <c:v>14.999999999999902</c:v>
                </c:pt>
                <c:pt idx="601">
                  <c:v>15.099999999999902</c:v>
                </c:pt>
                <c:pt idx="602">
                  <c:v>15.199999999999902</c:v>
                </c:pt>
                <c:pt idx="603">
                  <c:v>15.299999999999901</c:v>
                </c:pt>
                <c:pt idx="604">
                  <c:v>15.399999999999901</c:v>
                </c:pt>
                <c:pt idx="605">
                  <c:v>15.499999999999901</c:v>
                </c:pt>
                <c:pt idx="606">
                  <c:v>15.5999999999999</c:v>
                </c:pt>
                <c:pt idx="607">
                  <c:v>15.6999999999999</c:v>
                </c:pt>
                <c:pt idx="608">
                  <c:v>15.799999999999899</c:v>
                </c:pt>
                <c:pt idx="609">
                  <c:v>15.899999999999899</c:v>
                </c:pt>
                <c:pt idx="610">
                  <c:v>15.999999999999899</c:v>
                </c:pt>
                <c:pt idx="611">
                  <c:v>16.099999999999898</c:v>
                </c:pt>
                <c:pt idx="612">
                  <c:v>16.1999999999999</c:v>
                </c:pt>
                <c:pt idx="613">
                  <c:v>16.299999999999901</c:v>
                </c:pt>
                <c:pt idx="614">
                  <c:v>16.399999999999903</c:v>
                </c:pt>
                <c:pt idx="615">
                  <c:v>16.499999999999904</c:v>
                </c:pt>
                <c:pt idx="616">
                  <c:v>16.599999999999905</c:v>
                </c:pt>
                <c:pt idx="617">
                  <c:v>16.699999999999907</c:v>
                </c:pt>
                <c:pt idx="618">
                  <c:v>16.799999999999908</c:v>
                </c:pt>
                <c:pt idx="619">
                  <c:v>16.89999999999991</c:v>
                </c:pt>
                <c:pt idx="620">
                  <c:v>16.999999999999911</c:v>
                </c:pt>
                <c:pt idx="621">
                  <c:v>17.099999999999913</c:v>
                </c:pt>
                <c:pt idx="622">
                  <c:v>17.199999999999914</c:v>
                </c:pt>
                <c:pt idx="623">
                  <c:v>17.299999999999915</c:v>
                </c:pt>
                <c:pt idx="624">
                  <c:v>17.399999999999917</c:v>
                </c:pt>
                <c:pt idx="625">
                  <c:v>17.499999999999918</c:v>
                </c:pt>
                <c:pt idx="626">
                  <c:v>17.59999999999992</c:v>
                </c:pt>
                <c:pt idx="627">
                  <c:v>17.699999999999921</c:v>
                </c:pt>
                <c:pt idx="628">
                  <c:v>17.799999999999923</c:v>
                </c:pt>
                <c:pt idx="629">
                  <c:v>17.899999999999924</c:v>
                </c:pt>
                <c:pt idx="630">
                  <c:v>17.999999999999925</c:v>
                </c:pt>
                <c:pt idx="631">
                  <c:v>18.099999999999927</c:v>
                </c:pt>
                <c:pt idx="632">
                  <c:v>18.199999999999928</c:v>
                </c:pt>
                <c:pt idx="633">
                  <c:v>18.29999999999993</c:v>
                </c:pt>
                <c:pt idx="634">
                  <c:v>18.399999999999931</c:v>
                </c:pt>
                <c:pt idx="635">
                  <c:v>18.499999999999932</c:v>
                </c:pt>
                <c:pt idx="636">
                  <c:v>18.599999999999934</c:v>
                </c:pt>
                <c:pt idx="637">
                  <c:v>18.699999999999935</c:v>
                </c:pt>
                <c:pt idx="638">
                  <c:v>18.799999999999937</c:v>
                </c:pt>
                <c:pt idx="639">
                  <c:v>18.899999999999938</c:v>
                </c:pt>
                <c:pt idx="640">
                  <c:v>18.99999999999994</c:v>
                </c:pt>
                <c:pt idx="641">
                  <c:v>19.099999999999941</c:v>
                </c:pt>
                <c:pt idx="642">
                  <c:v>19.199999999999942</c:v>
                </c:pt>
                <c:pt idx="643">
                  <c:v>19.299999999999944</c:v>
                </c:pt>
                <c:pt idx="644">
                  <c:v>19.399999999999945</c:v>
                </c:pt>
                <c:pt idx="645">
                  <c:v>19.499999999999947</c:v>
                </c:pt>
                <c:pt idx="646">
                  <c:v>19.599999999999948</c:v>
                </c:pt>
                <c:pt idx="647">
                  <c:v>19.69999999999995</c:v>
                </c:pt>
                <c:pt idx="648">
                  <c:v>19.799999999999951</c:v>
                </c:pt>
                <c:pt idx="649">
                  <c:v>19.899999999999952</c:v>
                </c:pt>
                <c:pt idx="650">
                  <c:v>19.999999999999954</c:v>
                </c:pt>
                <c:pt idx="651">
                  <c:v>20.099999999999955</c:v>
                </c:pt>
                <c:pt idx="652">
                  <c:v>20.199999999999957</c:v>
                </c:pt>
                <c:pt idx="653">
                  <c:v>20.299999999999958</c:v>
                </c:pt>
                <c:pt idx="654">
                  <c:v>20.399999999999959</c:v>
                </c:pt>
                <c:pt idx="655">
                  <c:v>20.499999999999961</c:v>
                </c:pt>
                <c:pt idx="656">
                  <c:v>20.599999999999962</c:v>
                </c:pt>
                <c:pt idx="657">
                  <c:v>20.699999999999964</c:v>
                </c:pt>
                <c:pt idx="658">
                  <c:v>20.799999999999965</c:v>
                </c:pt>
                <c:pt idx="659">
                  <c:v>20.899999999999967</c:v>
                </c:pt>
                <c:pt idx="660">
                  <c:v>20.999999999999968</c:v>
                </c:pt>
                <c:pt idx="661">
                  <c:v>21.099999999999969</c:v>
                </c:pt>
                <c:pt idx="662">
                  <c:v>21.199999999999971</c:v>
                </c:pt>
                <c:pt idx="663">
                  <c:v>21.299999999999972</c:v>
                </c:pt>
                <c:pt idx="664">
                  <c:v>21.399999999999974</c:v>
                </c:pt>
                <c:pt idx="665">
                  <c:v>21.499999999999975</c:v>
                </c:pt>
                <c:pt idx="666">
                  <c:v>21.599999999999977</c:v>
                </c:pt>
                <c:pt idx="667">
                  <c:v>21.699999999999978</c:v>
                </c:pt>
                <c:pt idx="668">
                  <c:v>21.799999999999979</c:v>
                </c:pt>
                <c:pt idx="669">
                  <c:v>21.899999999999981</c:v>
                </c:pt>
                <c:pt idx="670">
                  <c:v>21.999999999999982</c:v>
                </c:pt>
                <c:pt idx="671">
                  <c:v>22.099999999999984</c:v>
                </c:pt>
                <c:pt idx="672">
                  <c:v>22.199999999999985</c:v>
                </c:pt>
                <c:pt idx="673">
                  <c:v>22.299999999999986</c:v>
                </c:pt>
                <c:pt idx="674">
                  <c:v>22.399999999999988</c:v>
                </c:pt>
                <c:pt idx="675">
                  <c:v>22.499999999999989</c:v>
                </c:pt>
                <c:pt idx="676">
                  <c:v>22.599999999999991</c:v>
                </c:pt>
                <c:pt idx="677">
                  <c:v>22.699999999999992</c:v>
                </c:pt>
                <c:pt idx="678">
                  <c:v>22.799999999999994</c:v>
                </c:pt>
                <c:pt idx="679">
                  <c:v>22.899999999999995</c:v>
                </c:pt>
                <c:pt idx="680">
                  <c:v>22.999999999999996</c:v>
                </c:pt>
                <c:pt idx="681">
                  <c:v>23.099999999999998</c:v>
                </c:pt>
                <c:pt idx="682">
                  <c:v>23.2</c:v>
                </c:pt>
                <c:pt idx="683">
                  <c:v>23.3</c:v>
                </c:pt>
                <c:pt idx="684">
                  <c:v>23.400000000000002</c:v>
                </c:pt>
                <c:pt idx="685">
                  <c:v>23.500000000000004</c:v>
                </c:pt>
                <c:pt idx="686">
                  <c:v>23.600000000000005</c:v>
                </c:pt>
                <c:pt idx="687">
                  <c:v>23.700000000000006</c:v>
                </c:pt>
                <c:pt idx="688">
                  <c:v>23.800000000000008</c:v>
                </c:pt>
                <c:pt idx="689">
                  <c:v>23.900000000000009</c:v>
                </c:pt>
                <c:pt idx="690">
                  <c:v>24.000000000000011</c:v>
                </c:pt>
                <c:pt idx="691">
                  <c:v>24.100000000000012</c:v>
                </c:pt>
                <c:pt idx="692">
                  <c:v>24.200000000000014</c:v>
                </c:pt>
                <c:pt idx="693">
                  <c:v>24.300000000000015</c:v>
                </c:pt>
                <c:pt idx="694">
                  <c:v>24.400000000000016</c:v>
                </c:pt>
                <c:pt idx="695">
                  <c:v>24.500000000000018</c:v>
                </c:pt>
                <c:pt idx="696">
                  <c:v>24.600000000000019</c:v>
                </c:pt>
                <c:pt idx="697">
                  <c:v>24.700000000000021</c:v>
                </c:pt>
                <c:pt idx="698">
                  <c:v>24.800000000000022</c:v>
                </c:pt>
                <c:pt idx="699">
                  <c:v>24.900000000000023</c:v>
                </c:pt>
                <c:pt idx="700">
                  <c:v>25.000000000000025</c:v>
                </c:pt>
                <c:pt idx="701">
                  <c:v>25.100000000000026</c:v>
                </c:pt>
                <c:pt idx="702">
                  <c:v>25.200000000000028</c:v>
                </c:pt>
                <c:pt idx="703">
                  <c:v>25.300000000000029</c:v>
                </c:pt>
                <c:pt idx="704">
                  <c:v>25.400000000000031</c:v>
                </c:pt>
                <c:pt idx="705">
                  <c:v>25.500000000000032</c:v>
                </c:pt>
                <c:pt idx="706">
                  <c:v>25.600000000000033</c:v>
                </c:pt>
                <c:pt idx="707">
                  <c:v>25.700000000000035</c:v>
                </c:pt>
                <c:pt idx="708">
                  <c:v>25.800000000000036</c:v>
                </c:pt>
                <c:pt idx="709">
                  <c:v>25.900000000000038</c:v>
                </c:pt>
                <c:pt idx="710">
                  <c:v>26.000000000000039</c:v>
                </c:pt>
                <c:pt idx="711">
                  <c:v>26.100000000000041</c:v>
                </c:pt>
                <c:pt idx="712">
                  <c:v>26.200000000000042</c:v>
                </c:pt>
                <c:pt idx="713">
                  <c:v>26.300000000000043</c:v>
                </c:pt>
                <c:pt idx="714">
                  <c:v>26.400000000000045</c:v>
                </c:pt>
                <c:pt idx="715">
                  <c:v>26.500000000000046</c:v>
                </c:pt>
                <c:pt idx="716">
                  <c:v>26.600000000000048</c:v>
                </c:pt>
                <c:pt idx="717">
                  <c:v>26.700000000000049</c:v>
                </c:pt>
                <c:pt idx="718">
                  <c:v>26.80000000000005</c:v>
                </c:pt>
                <c:pt idx="719">
                  <c:v>26.900000000000052</c:v>
                </c:pt>
                <c:pt idx="720">
                  <c:v>27.000000000000053</c:v>
                </c:pt>
                <c:pt idx="721">
                  <c:v>27.100000000000055</c:v>
                </c:pt>
                <c:pt idx="722">
                  <c:v>27.200000000000056</c:v>
                </c:pt>
                <c:pt idx="723">
                  <c:v>27.300000000000058</c:v>
                </c:pt>
                <c:pt idx="724">
                  <c:v>27.400000000000059</c:v>
                </c:pt>
                <c:pt idx="725">
                  <c:v>27.50000000000006</c:v>
                </c:pt>
                <c:pt idx="726">
                  <c:v>27.600000000000062</c:v>
                </c:pt>
                <c:pt idx="727">
                  <c:v>27.700000000000063</c:v>
                </c:pt>
                <c:pt idx="728">
                  <c:v>27.800000000000065</c:v>
                </c:pt>
                <c:pt idx="729">
                  <c:v>27.900000000000066</c:v>
                </c:pt>
                <c:pt idx="730">
                  <c:v>28.000000000000068</c:v>
                </c:pt>
                <c:pt idx="731">
                  <c:v>28.100000000000069</c:v>
                </c:pt>
                <c:pt idx="732">
                  <c:v>28.20000000000007</c:v>
                </c:pt>
                <c:pt idx="733">
                  <c:v>28.300000000000072</c:v>
                </c:pt>
                <c:pt idx="734">
                  <c:v>28.400000000000073</c:v>
                </c:pt>
                <c:pt idx="735">
                  <c:v>28.500000000000075</c:v>
                </c:pt>
                <c:pt idx="736">
                  <c:v>28.600000000000076</c:v>
                </c:pt>
                <c:pt idx="737">
                  <c:v>28.700000000000077</c:v>
                </c:pt>
                <c:pt idx="738">
                  <c:v>28.800000000000079</c:v>
                </c:pt>
                <c:pt idx="739">
                  <c:v>28.90000000000008</c:v>
                </c:pt>
                <c:pt idx="740">
                  <c:v>29.000000000000082</c:v>
                </c:pt>
                <c:pt idx="741">
                  <c:v>29.100000000000083</c:v>
                </c:pt>
                <c:pt idx="742">
                  <c:v>29.200000000000085</c:v>
                </c:pt>
                <c:pt idx="743">
                  <c:v>29.300000000000086</c:v>
                </c:pt>
                <c:pt idx="744">
                  <c:v>29.400000000000087</c:v>
                </c:pt>
                <c:pt idx="745">
                  <c:v>29.500000000000089</c:v>
                </c:pt>
                <c:pt idx="746">
                  <c:v>29.60000000000009</c:v>
                </c:pt>
                <c:pt idx="747">
                  <c:v>29.700000000000092</c:v>
                </c:pt>
                <c:pt idx="748">
                  <c:v>29.800000000000093</c:v>
                </c:pt>
                <c:pt idx="749">
                  <c:v>29.900000000000095</c:v>
                </c:pt>
                <c:pt idx="750">
                  <c:v>30.000000000000096</c:v>
                </c:pt>
                <c:pt idx="751">
                  <c:v>30.100000000000097</c:v>
                </c:pt>
                <c:pt idx="752">
                  <c:v>30.200000000000099</c:v>
                </c:pt>
                <c:pt idx="753">
                  <c:v>30.3000000000001</c:v>
                </c:pt>
                <c:pt idx="754">
                  <c:v>30.400000000000102</c:v>
                </c:pt>
                <c:pt idx="755">
                  <c:v>30.500000000000103</c:v>
                </c:pt>
                <c:pt idx="756">
                  <c:v>30.600000000000104</c:v>
                </c:pt>
                <c:pt idx="757">
                  <c:v>30.700000000000106</c:v>
                </c:pt>
                <c:pt idx="758">
                  <c:v>30.800000000000107</c:v>
                </c:pt>
                <c:pt idx="759">
                  <c:v>30.900000000000109</c:v>
                </c:pt>
                <c:pt idx="760">
                  <c:v>31.00000000000011</c:v>
                </c:pt>
                <c:pt idx="761">
                  <c:v>31.100000000000112</c:v>
                </c:pt>
                <c:pt idx="762">
                  <c:v>31.200000000000113</c:v>
                </c:pt>
                <c:pt idx="763">
                  <c:v>31.300000000000114</c:v>
                </c:pt>
                <c:pt idx="764">
                  <c:v>31.400000000000116</c:v>
                </c:pt>
                <c:pt idx="765">
                  <c:v>31.500000000000117</c:v>
                </c:pt>
                <c:pt idx="766">
                  <c:v>31.600000000000119</c:v>
                </c:pt>
                <c:pt idx="767">
                  <c:v>31.70000000000012</c:v>
                </c:pt>
                <c:pt idx="768">
                  <c:v>31.800000000000122</c:v>
                </c:pt>
                <c:pt idx="769">
                  <c:v>31.900000000000123</c:v>
                </c:pt>
                <c:pt idx="770">
                  <c:v>32.000000000000121</c:v>
                </c:pt>
                <c:pt idx="771">
                  <c:v>32.100000000000122</c:v>
                </c:pt>
                <c:pt idx="772">
                  <c:v>32.200000000000124</c:v>
                </c:pt>
                <c:pt idx="773">
                  <c:v>32.300000000000125</c:v>
                </c:pt>
                <c:pt idx="774">
                  <c:v>32.400000000000126</c:v>
                </c:pt>
                <c:pt idx="775">
                  <c:v>32.500000000000128</c:v>
                </c:pt>
                <c:pt idx="776">
                  <c:v>32.600000000000129</c:v>
                </c:pt>
                <c:pt idx="777">
                  <c:v>32.700000000000131</c:v>
                </c:pt>
                <c:pt idx="778">
                  <c:v>32.800000000000132</c:v>
                </c:pt>
                <c:pt idx="779">
                  <c:v>32.900000000000134</c:v>
                </c:pt>
                <c:pt idx="780">
                  <c:v>33.000000000000135</c:v>
                </c:pt>
                <c:pt idx="781">
                  <c:v>33.100000000000136</c:v>
                </c:pt>
                <c:pt idx="782">
                  <c:v>33.200000000000138</c:v>
                </c:pt>
                <c:pt idx="783">
                  <c:v>33.300000000000139</c:v>
                </c:pt>
                <c:pt idx="784">
                  <c:v>33.400000000000141</c:v>
                </c:pt>
                <c:pt idx="785">
                  <c:v>33.500000000000142</c:v>
                </c:pt>
                <c:pt idx="786">
                  <c:v>33.600000000000144</c:v>
                </c:pt>
                <c:pt idx="787">
                  <c:v>33.700000000000145</c:v>
                </c:pt>
                <c:pt idx="788">
                  <c:v>33.800000000000146</c:v>
                </c:pt>
                <c:pt idx="789">
                  <c:v>33.900000000000148</c:v>
                </c:pt>
                <c:pt idx="790">
                  <c:v>34.000000000000149</c:v>
                </c:pt>
                <c:pt idx="791">
                  <c:v>34.100000000000151</c:v>
                </c:pt>
                <c:pt idx="792">
                  <c:v>34.200000000000152</c:v>
                </c:pt>
                <c:pt idx="793">
                  <c:v>34.300000000000153</c:v>
                </c:pt>
                <c:pt idx="794">
                  <c:v>34.400000000000155</c:v>
                </c:pt>
                <c:pt idx="795">
                  <c:v>34.500000000000156</c:v>
                </c:pt>
                <c:pt idx="796">
                  <c:v>34.600000000000158</c:v>
                </c:pt>
                <c:pt idx="797">
                  <c:v>34.700000000000159</c:v>
                </c:pt>
                <c:pt idx="798">
                  <c:v>34.800000000000161</c:v>
                </c:pt>
                <c:pt idx="799">
                  <c:v>34.900000000000162</c:v>
                </c:pt>
                <c:pt idx="800">
                  <c:v>35.000000000000163</c:v>
                </c:pt>
                <c:pt idx="801">
                  <c:v>35.100000000000165</c:v>
                </c:pt>
                <c:pt idx="802">
                  <c:v>35.200000000000166</c:v>
                </c:pt>
                <c:pt idx="803">
                  <c:v>35.300000000000168</c:v>
                </c:pt>
                <c:pt idx="804">
                  <c:v>35.400000000000169</c:v>
                </c:pt>
                <c:pt idx="805">
                  <c:v>35.500000000000171</c:v>
                </c:pt>
                <c:pt idx="806">
                  <c:v>35.600000000000172</c:v>
                </c:pt>
                <c:pt idx="807">
                  <c:v>35.700000000000173</c:v>
                </c:pt>
                <c:pt idx="808">
                  <c:v>35.800000000000175</c:v>
                </c:pt>
                <c:pt idx="809">
                  <c:v>35.900000000000176</c:v>
                </c:pt>
                <c:pt idx="810">
                  <c:v>36.000000000000178</c:v>
                </c:pt>
                <c:pt idx="811">
                  <c:v>36.100000000000179</c:v>
                </c:pt>
                <c:pt idx="812">
                  <c:v>36.20000000000018</c:v>
                </c:pt>
                <c:pt idx="813">
                  <c:v>36.300000000000182</c:v>
                </c:pt>
                <c:pt idx="814">
                  <c:v>36.400000000000183</c:v>
                </c:pt>
                <c:pt idx="815">
                  <c:v>36.500000000000185</c:v>
                </c:pt>
                <c:pt idx="816">
                  <c:v>36.600000000000186</c:v>
                </c:pt>
                <c:pt idx="817">
                  <c:v>36.700000000000188</c:v>
                </c:pt>
                <c:pt idx="818">
                  <c:v>36.800000000000189</c:v>
                </c:pt>
                <c:pt idx="819">
                  <c:v>36.90000000000019</c:v>
                </c:pt>
                <c:pt idx="820">
                  <c:v>37.000000000000192</c:v>
                </c:pt>
                <c:pt idx="821">
                  <c:v>37.100000000000193</c:v>
                </c:pt>
                <c:pt idx="822">
                  <c:v>37.200000000000195</c:v>
                </c:pt>
                <c:pt idx="823">
                  <c:v>37.300000000000196</c:v>
                </c:pt>
                <c:pt idx="824">
                  <c:v>37.400000000000198</c:v>
                </c:pt>
                <c:pt idx="825">
                  <c:v>37.500000000000199</c:v>
                </c:pt>
                <c:pt idx="826">
                  <c:v>37.6000000000002</c:v>
                </c:pt>
                <c:pt idx="827">
                  <c:v>37.700000000000202</c:v>
                </c:pt>
                <c:pt idx="828">
                  <c:v>37.800000000000203</c:v>
                </c:pt>
                <c:pt idx="829">
                  <c:v>37.900000000000205</c:v>
                </c:pt>
                <c:pt idx="830">
                  <c:v>38.000000000000206</c:v>
                </c:pt>
                <c:pt idx="831">
                  <c:v>38.100000000000207</c:v>
                </c:pt>
                <c:pt idx="832">
                  <c:v>38.200000000000209</c:v>
                </c:pt>
                <c:pt idx="833">
                  <c:v>38.30000000000021</c:v>
                </c:pt>
                <c:pt idx="834">
                  <c:v>38.400000000000212</c:v>
                </c:pt>
                <c:pt idx="835">
                  <c:v>38.500000000000213</c:v>
                </c:pt>
                <c:pt idx="836">
                  <c:v>38.600000000000215</c:v>
                </c:pt>
                <c:pt idx="837">
                  <c:v>38.700000000000216</c:v>
                </c:pt>
                <c:pt idx="838">
                  <c:v>38.800000000000217</c:v>
                </c:pt>
                <c:pt idx="839">
                  <c:v>38.900000000000219</c:v>
                </c:pt>
                <c:pt idx="840">
                  <c:v>39.00000000000022</c:v>
                </c:pt>
                <c:pt idx="841">
                  <c:v>39.100000000000222</c:v>
                </c:pt>
                <c:pt idx="842">
                  <c:v>39.200000000000223</c:v>
                </c:pt>
                <c:pt idx="843">
                  <c:v>39.300000000000225</c:v>
                </c:pt>
                <c:pt idx="844">
                  <c:v>39.400000000000226</c:v>
                </c:pt>
                <c:pt idx="845">
                  <c:v>39.500000000000227</c:v>
                </c:pt>
                <c:pt idx="846">
                  <c:v>39.600000000000229</c:v>
                </c:pt>
                <c:pt idx="847">
                  <c:v>39.70000000000023</c:v>
                </c:pt>
                <c:pt idx="848">
                  <c:v>39.800000000000232</c:v>
                </c:pt>
                <c:pt idx="849">
                  <c:v>39.900000000000233</c:v>
                </c:pt>
                <c:pt idx="850">
                  <c:v>40.000000000000234</c:v>
                </c:pt>
                <c:pt idx="851">
                  <c:v>40.100000000000236</c:v>
                </c:pt>
                <c:pt idx="852">
                  <c:v>40.200000000000237</c:v>
                </c:pt>
                <c:pt idx="853">
                  <c:v>40.300000000000239</c:v>
                </c:pt>
                <c:pt idx="854">
                  <c:v>40.40000000000024</c:v>
                </c:pt>
                <c:pt idx="855">
                  <c:v>40.500000000000242</c:v>
                </c:pt>
                <c:pt idx="856">
                  <c:v>40.600000000000243</c:v>
                </c:pt>
                <c:pt idx="857">
                  <c:v>40.700000000000244</c:v>
                </c:pt>
                <c:pt idx="858">
                  <c:v>40.800000000000246</c:v>
                </c:pt>
                <c:pt idx="859">
                  <c:v>40.900000000000247</c:v>
                </c:pt>
                <c:pt idx="860">
                  <c:v>41.000000000000249</c:v>
                </c:pt>
                <c:pt idx="861">
                  <c:v>41.10000000000025</c:v>
                </c:pt>
                <c:pt idx="862">
                  <c:v>41.200000000000252</c:v>
                </c:pt>
                <c:pt idx="863">
                  <c:v>41.300000000000253</c:v>
                </c:pt>
                <c:pt idx="864">
                  <c:v>41.400000000000254</c:v>
                </c:pt>
                <c:pt idx="865">
                  <c:v>41.500000000000256</c:v>
                </c:pt>
                <c:pt idx="866">
                  <c:v>41.600000000000257</c:v>
                </c:pt>
                <c:pt idx="867">
                  <c:v>41.700000000000259</c:v>
                </c:pt>
                <c:pt idx="868">
                  <c:v>41.80000000000026</c:v>
                </c:pt>
                <c:pt idx="869">
                  <c:v>41.900000000000261</c:v>
                </c:pt>
                <c:pt idx="870">
                  <c:v>42.000000000000263</c:v>
                </c:pt>
                <c:pt idx="871">
                  <c:v>42.100000000000264</c:v>
                </c:pt>
                <c:pt idx="872">
                  <c:v>42.200000000000266</c:v>
                </c:pt>
                <c:pt idx="873">
                  <c:v>42.300000000000267</c:v>
                </c:pt>
                <c:pt idx="874">
                  <c:v>42.400000000000269</c:v>
                </c:pt>
                <c:pt idx="875">
                  <c:v>42.50000000000027</c:v>
                </c:pt>
                <c:pt idx="876">
                  <c:v>42.600000000000271</c:v>
                </c:pt>
                <c:pt idx="877">
                  <c:v>42.700000000000273</c:v>
                </c:pt>
                <c:pt idx="878">
                  <c:v>42.800000000000274</c:v>
                </c:pt>
                <c:pt idx="879">
                  <c:v>42.900000000000276</c:v>
                </c:pt>
                <c:pt idx="880">
                  <c:v>43.000000000000277</c:v>
                </c:pt>
                <c:pt idx="881">
                  <c:v>43.100000000000279</c:v>
                </c:pt>
                <c:pt idx="882">
                  <c:v>43.20000000000028</c:v>
                </c:pt>
                <c:pt idx="883">
                  <c:v>43.300000000000281</c:v>
                </c:pt>
                <c:pt idx="884">
                  <c:v>43.400000000000283</c:v>
                </c:pt>
                <c:pt idx="885">
                  <c:v>43.500000000000284</c:v>
                </c:pt>
                <c:pt idx="886">
                  <c:v>43.600000000000286</c:v>
                </c:pt>
                <c:pt idx="887">
                  <c:v>43.700000000000287</c:v>
                </c:pt>
                <c:pt idx="888">
                  <c:v>43.800000000000288</c:v>
                </c:pt>
                <c:pt idx="889">
                  <c:v>43.90000000000029</c:v>
                </c:pt>
                <c:pt idx="890">
                  <c:v>44.000000000000291</c:v>
                </c:pt>
                <c:pt idx="891">
                  <c:v>44.100000000000293</c:v>
                </c:pt>
                <c:pt idx="892">
                  <c:v>44.200000000000294</c:v>
                </c:pt>
                <c:pt idx="893">
                  <c:v>44.300000000000296</c:v>
                </c:pt>
                <c:pt idx="894">
                  <c:v>44.400000000000297</c:v>
                </c:pt>
                <c:pt idx="895">
                  <c:v>44.500000000000298</c:v>
                </c:pt>
                <c:pt idx="896">
                  <c:v>44.6000000000003</c:v>
                </c:pt>
                <c:pt idx="897">
                  <c:v>44.700000000000301</c:v>
                </c:pt>
                <c:pt idx="898">
                  <c:v>44.800000000000303</c:v>
                </c:pt>
                <c:pt idx="899">
                  <c:v>44.900000000000304</c:v>
                </c:pt>
                <c:pt idx="900">
                  <c:v>45.000000000000306</c:v>
                </c:pt>
                <c:pt idx="901">
                  <c:v>45.100000000000307</c:v>
                </c:pt>
                <c:pt idx="902">
                  <c:v>45.200000000000308</c:v>
                </c:pt>
                <c:pt idx="903">
                  <c:v>45.30000000000031</c:v>
                </c:pt>
                <c:pt idx="904">
                  <c:v>45.400000000000311</c:v>
                </c:pt>
                <c:pt idx="905">
                  <c:v>45.500000000000313</c:v>
                </c:pt>
                <c:pt idx="906">
                  <c:v>45.600000000000314</c:v>
                </c:pt>
                <c:pt idx="907">
                  <c:v>45.700000000000315</c:v>
                </c:pt>
                <c:pt idx="908">
                  <c:v>45.800000000000317</c:v>
                </c:pt>
                <c:pt idx="909">
                  <c:v>45.900000000000318</c:v>
                </c:pt>
                <c:pt idx="910">
                  <c:v>46.00000000000032</c:v>
                </c:pt>
                <c:pt idx="911">
                  <c:v>46.100000000000321</c:v>
                </c:pt>
                <c:pt idx="912">
                  <c:v>46.200000000000323</c:v>
                </c:pt>
                <c:pt idx="913">
                  <c:v>46.300000000000324</c:v>
                </c:pt>
                <c:pt idx="914">
                  <c:v>46.400000000000325</c:v>
                </c:pt>
                <c:pt idx="915">
                  <c:v>46.500000000000327</c:v>
                </c:pt>
                <c:pt idx="916">
                  <c:v>46.600000000000328</c:v>
                </c:pt>
                <c:pt idx="917">
                  <c:v>46.70000000000033</c:v>
                </c:pt>
                <c:pt idx="918">
                  <c:v>46.800000000000331</c:v>
                </c:pt>
                <c:pt idx="919">
                  <c:v>46.900000000000333</c:v>
                </c:pt>
                <c:pt idx="920">
                  <c:v>47.000000000000334</c:v>
                </c:pt>
                <c:pt idx="921">
                  <c:v>47.100000000000335</c:v>
                </c:pt>
                <c:pt idx="922">
                  <c:v>47.200000000000337</c:v>
                </c:pt>
                <c:pt idx="923">
                  <c:v>47.300000000000338</c:v>
                </c:pt>
                <c:pt idx="924">
                  <c:v>47.40000000000034</c:v>
                </c:pt>
                <c:pt idx="925">
                  <c:v>47.500000000000341</c:v>
                </c:pt>
                <c:pt idx="926">
                  <c:v>47.600000000000342</c:v>
                </c:pt>
                <c:pt idx="927">
                  <c:v>47.700000000000344</c:v>
                </c:pt>
                <c:pt idx="928">
                  <c:v>47.800000000000345</c:v>
                </c:pt>
                <c:pt idx="929">
                  <c:v>47.900000000000347</c:v>
                </c:pt>
                <c:pt idx="930">
                  <c:v>48.000000000000348</c:v>
                </c:pt>
                <c:pt idx="931">
                  <c:v>48.10000000000035</c:v>
                </c:pt>
                <c:pt idx="932">
                  <c:v>48.200000000000351</c:v>
                </c:pt>
                <c:pt idx="933">
                  <c:v>48.300000000000352</c:v>
                </c:pt>
                <c:pt idx="934">
                  <c:v>48.400000000000354</c:v>
                </c:pt>
                <c:pt idx="935">
                  <c:v>48.500000000000355</c:v>
                </c:pt>
                <c:pt idx="936">
                  <c:v>48.600000000000357</c:v>
                </c:pt>
                <c:pt idx="937">
                  <c:v>48.700000000000358</c:v>
                </c:pt>
                <c:pt idx="938">
                  <c:v>48.80000000000036</c:v>
                </c:pt>
                <c:pt idx="939">
                  <c:v>48.900000000000361</c:v>
                </c:pt>
                <c:pt idx="940">
                  <c:v>49.000000000000362</c:v>
                </c:pt>
                <c:pt idx="941">
                  <c:v>49.100000000000364</c:v>
                </c:pt>
                <c:pt idx="942">
                  <c:v>49.200000000000365</c:v>
                </c:pt>
                <c:pt idx="943">
                  <c:v>49.300000000000367</c:v>
                </c:pt>
                <c:pt idx="944">
                  <c:v>49.30010000000037</c:v>
                </c:pt>
                <c:pt idx="945">
                  <c:v>49.300200000000373</c:v>
                </c:pt>
                <c:pt idx="946">
                  <c:v>49.300300000000377</c:v>
                </c:pt>
                <c:pt idx="947">
                  <c:v>49.30040000000038</c:v>
                </c:pt>
                <c:pt idx="948">
                  <c:v>49.300500000000383</c:v>
                </c:pt>
                <c:pt idx="949">
                  <c:v>49.300600000000387</c:v>
                </c:pt>
                <c:pt idx="950">
                  <c:v>49.30070000000039</c:v>
                </c:pt>
                <c:pt idx="951">
                  <c:v>49.300800000000393</c:v>
                </c:pt>
                <c:pt idx="952">
                  <c:v>49.300900000000397</c:v>
                </c:pt>
                <c:pt idx="953">
                  <c:v>49.3010000000004</c:v>
                </c:pt>
                <c:pt idx="954">
                  <c:v>49.301100000000403</c:v>
                </c:pt>
                <c:pt idx="955">
                  <c:v>49.301200000000406</c:v>
                </c:pt>
                <c:pt idx="956">
                  <c:v>49.30130000000041</c:v>
                </c:pt>
                <c:pt idx="957">
                  <c:v>49.301400000000413</c:v>
                </c:pt>
                <c:pt idx="958">
                  <c:v>49.301500000000416</c:v>
                </c:pt>
                <c:pt idx="959">
                  <c:v>49.30160000000042</c:v>
                </c:pt>
                <c:pt idx="960">
                  <c:v>49.301700000000423</c:v>
                </c:pt>
                <c:pt idx="961">
                  <c:v>49.301800000000426</c:v>
                </c:pt>
                <c:pt idx="962">
                  <c:v>49.30190000000043</c:v>
                </c:pt>
                <c:pt idx="963">
                  <c:v>49.302000000000433</c:v>
                </c:pt>
                <c:pt idx="964">
                  <c:v>49.302100000000436</c:v>
                </c:pt>
                <c:pt idx="965">
                  <c:v>49.30220000000044</c:v>
                </c:pt>
                <c:pt idx="966">
                  <c:v>49.302300000000443</c:v>
                </c:pt>
                <c:pt idx="967">
                  <c:v>49.302400000000446</c:v>
                </c:pt>
                <c:pt idx="968">
                  <c:v>49.30250000000045</c:v>
                </c:pt>
                <c:pt idx="969">
                  <c:v>49.302600000000453</c:v>
                </c:pt>
                <c:pt idx="970">
                  <c:v>49.302700000000456</c:v>
                </c:pt>
                <c:pt idx="971">
                  <c:v>49.30280000000046</c:v>
                </c:pt>
                <c:pt idx="972">
                  <c:v>49.302900000000463</c:v>
                </c:pt>
                <c:pt idx="973">
                  <c:v>49.303000000000466</c:v>
                </c:pt>
                <c:pt idx="974">
                  <c:v>49.30310000000047</c:v>
                </c:pt>
                <c:pt idx="975">
                  <c:v>49.303200000000473</c:v>
                </c:pt>
                <c:pt idx="976">
                  <c:v>49.303300000000476</c:v>
                </c:pt>
                <c:pt idx="977">
                  <c:v>49.30340000000048</c:v>
                </c:pt>
                <c:pt idx="978">
                  <c:v>49.303500000000483</c:v>
                </c:pt>
                <c:pt idx="979">
                  <c:v>49.303600000000486</c:v>
                </c:pt>
                <c:pt idx="980">
                  <c:v>49.303700000000489</c:v>
                </c:pt>
                <c:pt idx="981">
                  <c:v>49.303800000000493</c:v>
                </c:pt>
                <c:pt idx="982">
                  <c:v>49.303900000000496</c:v>
                </c:pt>
                <c:pt idx="983">
                  <c:v>49.304000000000499</c:v>
                </c:pt>
                <c:pt idx="984">
                  <c:v>49.304100000000503</c:v>
                </c:pt>
                <c:pt idx="985">
                  <c:v>49.304200000000506</c:v>
                </c:pt>
                <c:pt idx="986">
                  <c:v>49.304300000000509</c:v>
                </c:pt>
                <c:pt idx="987">
                  <c:v>49.304400000000513</c:v>
                </c:pt>
                <c:pt idx="988">
                  <c:v>49.304500000000516</c:v>
                </c:pt>
                <c:pt idx="989">
                  <c:v>49.304600000000519</c:v>
                </c:pt>
                <c:pt idx="990">
                  <c:v>49.304700000000523</c:v>
                </c:pt>
                <c:pt idx="991">
                  <c:v>49.304800000000526</c:v>
                </c:pt>
                <c:pt idx="992">
                  <c:v>49.304900000000529</c:v>
                </c:pt>
                <c:pt idx="993">
                  <c:v>49.305000000000533</c:v>
                </c:pt>
                <c:pt idx="994">
                  <c:v>49.305100000000536</c:v>
                </c:pt>
                <c:pt idx="995">
                  <c:v>49.305200000000539</c:v>
                </c:pt>
                <c:pt idx="996">
                  <c:v>49.305300000000543</c:v>
                </c:pt>
                <c:pt idx="997">
                  <c:v>49.305400000000546</c:v>
                </c:pt>
                <c:pt idx="998">
                  <c:v>49.305500000000549</c:v>
                </c:pt>
                <c:pt idx="999">
                  <c:v>49.305600000000553</c:v>
                </c:pt>
                <c:pt idx="1000">
                  <c:v>49.305700000000556</c:v>
                </c:pt>
              </c:numCache>
            </c:numRef>
          </c:xVal>
          <c:yVal>
            <c:numRef>
              <c:f>Calculs!$K$4:$K$1004</c:f>
              <c:numCache>
                <c:formatCode>0.00</c:formatCode>
                <c:ptCount val="1001"/>
                <c:pt idx="0">
                  <c:v>0</c:v>
                </c:pt>
                <c:pt idx="1">
                  <c:v>4.4279572656441422E-4</c:v>
                </c:pt>
                <c:pt idx="2">
                  <c:v>2.7845659552549399E-3</c:v>
                </c:pt>
                <c:pt idx="3">
                  <c:v>8.4593506145101884E-3</c:v>
                </c:pt>
                <c:pt idx="4">
                  <c:v>1.8308779906268193E-2</c:v>
                </c:pt>
                <c:pt idx="5">
                  <c:v>3.3175168883948745E-2</c:v>
                </c:pt>
                <c:pt idx="6">
                  <c:v>5.3901621016958577E-2</c:v>
                </c:pt>
                <c:pt idx="7">
                  <c:v>8.1332131042135242E-2</c:v>
                </c:pt>
                <c:pt idx="8">
                  <c:v>0.11631168714046478</c:v>
                </c:pt>
                <c:pt idx="9">
                  <c:v>0.1596863724764486</c:v>
                </c:pt>
                <c:pt idx="10">
                  <c:v>0.21230346613657358</c:v>
                </c:pt>
                <c:pt idx="11">
                  <c:v>0.27476944495113026</c:v>
                </c:pt>
                <c:pt idx="12">
                  <c:v>0.34720740833581992</c:v>
                </c:pt>
                <c:pt idx="13">
                  <c:v>0.429496537796903</c:v>
                </c:pt>
                <c:pt idx="14">
                  <c:v>0.52151208103113078</c:v>
                </c:pt>
                <c:pt idx="15">
                  <c:v>0.62312719351328583</c:v>
                </c:pt>
                <c:pt idx="16">
                  <c:v>0.73421478414008723</c:v>
                </c:pt>
                <c:pt idx="17">
                  <c:v>0.85464751921865045</c:v>
                </c:pt>
                <c:pt idx="18">
                  <c:v>0.9842978264538047</c:v>
                </c:pt>
                <c:pt idx="19">
                  <c:v>1.1230378989337295</c:v>
                </c:pt>
                <c:pt idx="20">
                  <c:v>1.2707396991133766</c:v>
                </c:pt>
                <c:pt idx="21">
                  <c:v>1.4272749627951438</c:v>
                </c:pt>
                <c:pt idx="22">
                  <c:v>1.592515203106273</c:v>
                </c:pt>
                <c:pt idx="23">
                  <c:v>1.7663317144724466</c:v>
                </c:pt>
                <c:pt idx="24">
                  <c:v>1.9485955765870577</c:v>
                </c:pt>
                <c:pt idx="25">
                  <c:v>2.1391776583756372</c:v>
                </c:pt>
                <c:pt idx="26">
                  <c:v>2.3379486219549204</c:v>
                </c:pt>
                <c:pt idx="27">
                  <c:v>2.5448114640407384</c:v>
                </c:pt>
                <c:pt idx="28">
                  <c:v>2.7597341126961408</c:v>
                </c:pt>
                <c:pt idx="29">
                  <c:v>2.9827169737567556</c:v>
                </c:pt>
                <c:pt idx="30">
                  <c:v>3.213760419916297</c:v>
                </c:pt>
                <c:pt idx="31">
                  <c:v>3.4528647906839045</c:v>
                </c:pt>
                <c:pt idx="32">
                  <c:v>3.7000303923421236</c:v>
                </c:pt>
                <c:pt idx="33">
                  <c:v>3.9552574979055302</c:v>
                </c:pt>
                <c:pt idx="34">
                  <c:v>4.2185315499017708</c:v>
                </c:pt>
                <c:pt idx="35">
                  <c:v>4.4898374653202602</c:v>
                </c:pt>
                <c:pt idx="36">
                  <c:v>4.7691744365682753</c:v>
                </c:pt>
                <c:pt idx="37">
                  <c:v>5.0565416370551262</c:v>
                </c:pt>
                <c:pt idx="38">
                  <c:v>5.3519382274349248</c:v>
                </c:pt>
                <c:pt idx="39">
                  <c:v>5.6553633545803503</c:v>
                </c:pt>
                <c:pt idx="40">
                  <c:v>5.9668161506299482</c:v>
                </c:pt>
                <c:pt idx="41">
                  <c:v>6.2862957321018547</c:v>
                </c:pt>
                <c:pt idx="42">
                  <c:v>6.6138011990677033</c:v>
                </c:pt>
                <c:pt idx="43">
                  <c:v>6.9493316343811893</c:v>
                </c:pt>
                <c:pt idx="44">
                  <c:v>7.2928861029564178</c:v>
                </c:pt>
                <c:pt idx="45">
                  <c:v>7.6444636510916872</c:v>
                </c:pt>
                <c:pt idx="46">
                  <c:v>8.0040633058348529</c:v>
                </c:pt>
                <c:pt idx="47">
                  <c:v>8.3716840743868115</c:v>
                </c:pt>
                <c:pt idx="48">
                  <c:v>8.7473249435400202</c:v>
                </c:pt>
                <c:pt idx="49">
                  <c:v>9.1309848791492794</c:v>
                </c:pt>
                <c:pt idx="50">
                  <c:v>9.5226628256322758</c:v>
                </c:pt>
                <c:pt idx="51">
                  <c:v>9.9223577054976317</c:v>
                </c:pt>
                <c:pt idx="52">
                  <c:v>10.33006841889844</c:v>
                </c:pt>
                <c:pt idx="53">
                  <c:v>10.745793843209418</c:v>
                </c:pt>
                <c:pt idx="54">
                  <c:v>11.169532832626027</c:v>
                </c:pt>
                <c:pt idx="55">
                  <c:v>11.601284217784031</c:v>
                </c:pt>
                <c:pt idx="56">
                  <c:v>12.041046805398096</c:v>
                </c:pt>
                <c:pt idx="57">
                  <c:v>12.488819377918182</c:v>
                </c:pt>
                <c:pt idx="58">
                  <c:v>12.944600693202551</c:v>
                </c:pt>
                <c:pt idx="59">
                  <c:v>13.40838948420636</c:v>
                </c:pt>
                <c:pt idx="60">
                  <c:v>13.880184458684836</c:v>
                </c:pt>
                <c:pt idx="61">
                  <c:v>14.359984298910158</c:v>
                </c:pt>
                <c:pt idx="62">
                  <c:v>14.847787661401227</c:v>
                </c:pt>
                <c:pt idx="63">
                  <c:v>15.343593176665555</c:v>
                </c:pt>
                <c:pt idx="64">
                  <c:v>15.847399448952586</c:v>
                </c:pt>
                <c:pt idx="65">
                  <c:v>16.3592050560178</c:v>
                </c:pt>
                <c:pt idx="66">
                  <c:v>16.879008548897001</c:v>
                </c:pt>
                <c:pt idx="67">
                  <c:v>17.406808451690249</c:v>
                </c:pt>
                <c:pt idx="68">
                  <c:v>17.942603261354897</c:v>
                </c:pt>
                <c:pt idx="69">
                  <c:v>18.486391447507291</c:v>
                </c:pt>
                <c:pt idx="70">
                  <c:v>19.038171452232671</c:v>
                </c:pt>
                <c:pt idx="71">
                  <c:v>19.597941689902861</c:v>
                </c:pt>
                <c:pt idx="72">
                  <c:v>20.165700175768404</c:v>
                </c:pt>
                <c:pt idx="73">
                  <c:v>20.741444154050047</c:v>
                </c:pt>
                <c:pt idx="74">
                  <c:v>21.325170468296179</c:v>
                </c:pt>
                <c:pt idx="75">
                  <c:v>21.91687593226121</c:v>
                </c:pt>
                <c:pt idx="76">
                  <c:v>22.516557329770823</c:v>
                </c:pt>
                <c:pt idx="77">
                  <c:v>23.124211414593258</c:v>
                </c:pt>
                <c:pt idx="78">
                  <c:v>23.739834910316418</c:v>
                </c:pt>
                <c:pt idx="79">
                  <c:v>24.363424510230509</c:v>
                </c:pt>
                <c:pt idx="80">
                  <c:v>24.994976877216001</c:v>
                </c:pt>
                <c:pt idx="81">
                  <c:v>25.63448864363669</c:v>
                </c:pt>
                <c:pt idx="82">
                  <c:v>26.281956411237637</c:v>
                </c:pt>
                <c:pt idx="83">
                  <c:v>26.937376751047807</c:v>
                </c:pt>
                <c:pt idx="84">
                  <c:v>27.600746203287237</c:v>
                </c:pt>
                <c:pt idx="85">
                  <c:v>28.272061277278503</c:v>
                </c:pt>
                <c:pt idx="86">
                  <c:v>28.951318451362411</c:v>
                </c:pt>
                <c:pt idx="87">
                  <c:v>29.638514172817686</c:v>
                </c:pt>
                <c:pt idx="88">
                  <c:v>30.333644857784545</c:v>
                </c:pt>
                <c:pt idx="89">
                  <c:v>31.036706891192008</c:v>
                </c:pt>
                <c:pt idx="90">
                  <c:v>31.747696626688839</c:v>
                </c:pt>
                <c:pt idx="91">
                  <c:v>32.466610386577962</c:v>
                </c:pt>
                <c:pt idx="92">
                  <c:v>33.193444461754254</c:v>
                </c:pt>
                <c:pt idx="93">
                  <c:v>33.928195111645628</c:v>
                </c:pt>
                <c:pt idx="94">
                  <c:v>34.670858564157228</c:v>
                </c:pt>
                <c:pt idx="95">
                  <c:v>35.42143101561873</c:v>
                </c:pt>
                <c:pt idx="96">
                  <c:v>36.179908630734609</c:v>
                </c:pt>
                <c:pt idx="97">
                  <c:v>36.946287542537256</c:v>
                </c:pt>
                <c:pt idx="98">
                  <c:v>37.72056385234292</c:v>
                </c:pt>
                <c:pt idx="99">
                  <c:v>38.502733629710349</c:v>
                </c:pt>
                <c:pt idx="100">
                  <c:v>39.292792912402064</c:v>
                </c:pt>
                <c:pt idx="101">
                  <c:v>40.090737706348229</c:v>
                </c:pt>
                <c:pt idx="102">
                  <c:v>40.896563985612978</c:v>
                </c:pt>
                <c:pt idx="103">
                  <c:v>41.710267692363189</c:v>
                </c:pt>
                <c:pt idx="104">
                  <c:v>42.531844736839631</c:v>
                </c:pt>
                <c:pt idx="105">
                  <c:v>43.361290997330386</c:v>
                </c:pt>
                <c:pt idx="106">
                  <c:v>44.198602320146563</c:v>
                </c:pt>
                <c:pt idx="107">
                  <c:v>45.043774519600177</c:v>
                </c:pt>
                <c:pt idx="108">
                  <c:v>45.896803377984163</c:v>
                </c:pt>
                <c:pt idx="109">
                  <c:v>46.757684645554498</c:v>
                </c:pt>
                <c:pt idx="110">
                  <c:v>47.626414040514348</c:v>
                </c:pt>
                <c:pt idx="111">
                  <c:v>48.502987249000228</c:v>
                </c:pt>
                <c:pt idx="112">
                  <c:v>49.387399925070085</c:v>
                </c:pt>
                <c:pt idx="113">
                  <c:v>50.279647690693338</c:v>
                </c:pt>
                <c:pt idx="114">
                  <c:v>51.179726135742719</c:v>
                </c:pt>
                <c:pt idx="115">
                  <c:v>52.087630817988</c:v>
                </c:pt>
                <c:pt idx="116">
                  <c:v>53.003357263091495</c:v>
                </c:pt>
                <c:pt idx="117">
                  <c:v>53.926900964605295</c:v>
                </c:pt>
                <c:pt idx="118">
                  <c:v>54.858257383970262</c:v>
                </c:pt>
                <c:pt idx="119">
                  <c:v>55.797421950516672</c:v>
                </c:pt>
                <c:pt idx="120">
                  <c:v>56.74439006146654</c:v>
                </c:pt>
                <c:pt idx="121">
                  <c:v>57.699157081937571</c:v>
                </c:pt>
                <c:pt idx="122">
                  <c:v>58.661718344948689</c:v>
                </c:pt>
                <c:pt idx="123">
                  <c:v>59.632069151427139</c:v>
                </c:pt>
                <c:pt idx="124">
                  <c:v>60.610204770217138</c:v>
                </c:pt>
                <c:pt idx="125">
                  <c:v>61.596120438090033</c:v>
                </c:pt>
                <c:pt idx="126">
                  <c:v>62.589811359755934</c:v>
                </c:pt>
                <c:pt idx="127">
                  <c:v>63.591272707876847</c:v>
                </c:pt>
                <c:pt idx="128">
                  <c:v>64.600499623081177</c:v>
                </c:pt>
                <c:pt idx="129">
                  <c:v>65.617485503560786</c:v>
                </c:pt>
                <c:pt idx="130">
                  <c:v>66.642220292654955</c:v>
                </c:pt>
                <c:pt idx="131">
                  <c:v>67.674692186725679</c:v>
                </c:pt>
                <c:pt idx="132">
                  <c:v>68.714889345092374</c:v>
                </c:pt>
                <c:pt idx="133">
                  <c:v>69.762799890141025</c:v>
                </c:pt>
                <c:pt idx="134">
                  <c:v>70.818411907434822</c:v>
                </c:pt>
                <c:pt idx="135">
                  <c:v>71.881713445826264</c:v>
                </c:pt>
                <c:pt idx="136">
                  <c:v>72.952692517570782</c:v>
                </c:pt>
                <c:pt idx="137">
                  <c:v>74.031337098441824</c:v>
                </c:pt>
                <c:pt idx="138">
                  <c:v>75.117635127847279</c:v>
                </c:pt>
                <c:pt idx="139">
                  <c:v>76.211574508947365</c:v>
                </c:pt>
                <c:pt idx="140">
                  <c:v>77.313143108773858</c:v>
                </c:pt>
                <c:pt idx="141">
                  <c:v>78.422328758350659</c:v>
                </c:pt>
                <c:pt idx="142">
                  <c:v>79.539119252815667</c:v>
                </c:pt>
                <c:pt idx="143">
                  <c:v>80.663502351543983</c:v>
                </c:pt>
                <c:pt idx="144">
                  <c:v>81.795465778272359</c:v>
                </c:pt>
                <c:pt idx="145">
                  <c:v>82.934997221224876</c:v>
                </c:pt>
                <c:pt idx="146">
                  <c:v>84.082084333239891</c:v>
                </c:pt>
                <c:pt idx="147">
                  <c:v>85.236714731898161</c:v>
                </c:pt>
                <c:pt idx="148">
                  <c:v>86.398875999652148</c:v>
                </c:pt>
                <c:pt idx="149">
                  <c:v>87.568555683956518</c:v>
                </c:pt>
                <c:pt idx="150">
                  <c:v>88.745741297399718</c:v>
                </c:pt>
                <c:pt idx="151">
                  <c:v>89.930420317836763</c:v>
                </c:pt>
                <c:pt idx="152">
                  <c:v>91.12258018852306</c:v>
                </c:pt>
                <c:pt idx="153">
                  <c:v>92.322208318249324</c:v>
                </c:pt>
                <c:pt idx="154">
                  <c:v>93.529292081477607</c:v>
                </c:pt>
                <c:pt idx="155">
                  <c:v>94.743818818478303</c:v>
                </c:pt>
                <c:pt idx="156">
                  <c:v>95.965775835468264</c:v>
                </c:pt>
                <c:pt idx="157">
                  <c:v>97.195150404749867</c:v>
                </c:pt>
                <c:pt idx="158">
                  <c:v>98.431929764851077</c:v>
                </c:pt>
                <c:pt idx="159">
                  <c:v>99.676101120666544</c:v>
                </c:pt>
                <c:pt idx="160">
                  <c:v>100.92765164359959</c:v>
                </c:pt>
                <c:pt idx="161">
                  <c:v>102.18656847170519</c:v>
                </c:pt>
                <c:pt idx="162">
                  <c:v>103.45283870983388</c:v>
                </c:pt>
                <c:pt idx="163">
                  <c:v>104.72644942977657</c:v>
                </c:pt>
                <c:pt idx="164">
                  <c:v>106.0073876704102</c:v>
                </c:pt>
                <c:pt idx="165">
                  <c:v>107.2956404378444</c:v>
                </c:pt>
                <c:pt idx="166">
                  <c:v>108.5911947055689</c:v>
                </c:pt>
                <c:pt idx="167">
                  <c:v>109.89403741460185</c:v>
                </c:pt>
                <c:pt idx="168">
                  <c:v>111.20415547363901</c:v>
                </c:pt>
                <c:pt idx="169">
                  <c:v>112.5215357592036</c:v>
                </c:pt>
                <c:pt idx="170">
                  <c:v>113.84616511579723</c:v>
                </c:pt>
                <c:pt idx="171">
                  <c:v>115.17803035605138</c:v>
                </c:pt>
                <c:pt idx="172">
                  <c:v>116.51711826087977</c:v>
                </c:pt>
                <c:pt idx="173">
                  <c:v>117.86341557963149</c:v>
                </c:pt>
                <c:pt idx="174">
                  <c:v>119.21690903024488</c:v>
                </c:pt>
                <c:pt idx="175">
                  <c:v>120.57758529940213</c:v>
                </c:pt>
                <c:pt idx="176">
                  <c:v>121.94543104268463</c:v>
                </c:pt>
                <c:pt idx="177">
                  <c:v>123.32043288472903</c:v>
                </c:pt>
                <c:pt idx="178">
                  <c:v>124.70257741938399</c:v>
                </c:pt>
                <c:pt idx="179">
                  <c:v>126.09185120986761</c:v>
                </c:pt>
                <c:pt idx="180">
                  <c:v>127.48824078892561</c:v>
                </c:pt>
                <c:pt idx="181">
                  <c:v>128.89173265899001</c:v>
                </c:pt>
                <c:pt idx="182">
                  <c:v>130.30231329233868</c:v>
                </c:pt>
                <c:pt idx="183">
                  <c:v>131.71996913125531</c:v>
                </c:pt>
                <c:pt idx="184">
                  <c:v>133.14468658819018</c:v>
                </c:pt>
                <c:pt idx="185">
                  <c:v>134.5764520459214</c:v>
                </c:pt>
                <c:pt idx="186">
                  <c:v>136.01525185771692</c:v>
                </c:pt>
                <c:pt idx="187">
                  <c:v>137.46107234749695</c:v>
                </c:pt>
                <c:pt idx="188">
                  <c:v>138.91389980999708</c:v>
                </c:pt>
                <c:pt idx="189">
                  <c:v>140.37372051093192</c:v>
                </c:pt>
                <c:pt idx="190">
                  <c:v>141.84052068715931</c:v>
                </c:pt>
                <c:pt idx="191">
                  <c:v>143.3142865468451</c:v>
                </c:pt>
                <c:pt idx="192">
                  <c:v>144.79500426962835</c:v>
                </c:pt>
                <c:pt idx="193">
                  <c:v>146.28266000678727</c:v>
                </c:pt>
                <c:pt idx="194">
                  <c:v>147.77723988140539</c:v>
                </c:pt>
                <c:pt idx="195">
                  <c:v>149.27872998853849</c:v>
                </c:pt>
                <c:pt idx="196">
                  <c:v>150.78711639538182</c:v>
                </c:pt>
                <c:pt idx="197">
                  <c:v>152.30238514143795</c:v>
                </c:pt>
                <c:pt idx="198">
                  <c:v>153.82452223868503</c:v>
                </c:pt>
                <c:pt idx="199">
                  <c:v>155.35351367174545</c:v>
                </c:pt>
                <c:pt idx="200">
                  <c:v>156.88934539805496</c:v>
                </c:pt>
                <c:pt idx="201">
                  <c:v>158.43200334803237</c:v>
                </c:pt>
                <c:pt idx="202">
                  <c:v>159.9814734252495</c:v>
                </c:pt>
                <c:pt idx="203">
                  <c:v>161.53774150660163</c:v>
                </c:pt>
                <c:pt idx="204">
                  <c:v>163.10079344247833</c:v>
                </c:pt>
                <c:pt idx="205">
                  <c:v>164.67061505693471</c:v>
                </c:pt>
                <c:pt idx="206">
                  <c:v>166.24719173060396</c:v>
                </c:pt>
                <c:pt idx="207">
                  <c:v>167.83050798329563</c:v>
                </c:pt>
                <c:pt idx="208">
                  <c:v>169.42054789113925</c:v>
                </c:pt>
                <c:pt idx="209">
                  <c:v>171.01729550405503</c:v>
                </c:pt>
                <c:pt idx="210">
                  <c:v>172.62073484595024</c:v>
                </c:pt>
                <c:pt idx="211">
                  <c:v>174.23084991491604</c:v>
                </c:pt>
                <c:pt idx="212">
                  <c:v>175.84762468342444</c:v>
                </c:pt>
                <c:pt idx="213">
                  <c:v>177.47104309852568</c:v>
                </c:pt>
                <c:pt idx="214">
                  <c:v>179.10108908204572</c:v>
                </c:pt>
                <c:pt idx="215">
                  <c:v>180.73774653078399</c:v>
                </c:pt>
                <c:pt idx="216">
                  <c:v>182.38099931671158</c:v>
                </c:pt>
                <c:pt idx="217">
                  <c:v>184.03083128716938</c:v>
                </c:pt>
                <c:pt idx="218">
                  <c:v>185.68722626506656</c:v>
                </c:pt>
                <c:pt idx="219">
                  <c:v>187.35016804907931</c:v>
                </c:pt>
                <c:pt idx="220">
                  <c:v>189.01964041384969</c:v>
                </c:pt>
                <c:pt idx="221">
                  <c:v>190.69562711018463</c:v>
                </c:pt>
                <c:pt idx="222">
                  <c:v>192.37811186525525</c:v>
                </c:pt>
                <c:pt idx="223">
                  <c:v>194.06707838279615</c:v>
                </c:pt>
                <c:pt idx="224">
                  <c:v>195.76251034330505</c:v>
                </c:pt>
                <c:pt idx="225">
                  <c:v>197.46439140424241</c:v>
                </c:pt>
                <c:pt idx="226">
                  <c:v>199.17270520023123</c:v>
                </c:pt>
                <c:pt idx="227">
                  <c:v>200.8874353432571</c:v>
                </c:pt>
                <c:pt idx="228">
                  <c:v>202.60856542286811</c:v>
                </c:pt>
                <c:pt idx="229">
                  <c:v>204.33607900637509</c:v>
                </c:pt>
                <c:pt idx="230">
                  <c:v>206.0699596390518</c:v>
                </c:pt>
                <c:pt idx="231">
                  <c:v>207.81019084433535</c:v>
                </c:pt>
                <c:pt idx="232">
                  <c:v>209.55675612402646</c:v>
                </c:pt>
                <c:pt idx="233">
                  <c:v>211.30963895849001</c:v>
                </c:pt>
                <c:pt idx="234">
                  <c:v>213.06882280685559</c:v>
                </c:pt>
                <c:pt idx="235">
                  <c:v>214.83429110721798</c:v>
                </c:pt>
                <c:pt idx="236">
                  <c:v>216.60602727683781</c:v>
                </c:pt>
                <c:pt idx="237">
                  <c:v>218.38401471234209</c:v>
                </c:pt>
                <c:pt idx="238">
                  <c:v>220.168236789925</c:v>
                </c:pt>
                <c:pt idx="239">
                  <c:v>221.9586768655484</c:v>
                </c:pt>
                <c:pt idx="240">
                  <c:v>223.75531827514251</c:v>
                </c:pt>
                <c:pt idx="241">
                  <c:v>225.55814433480657</c:v>
                </c:pt>
                <c:pt idx="242">
                  <c:v>227.36713689740657</c:v>
                </c:pt>
                <c:pt idx="243">
                  <c:v>229.18227490839107</c:v>
                </c:pt>
                <c:pt idx="244">
                  <c:v>231.00353584916806</c:v>
                </c:pt>
                <c:pt idx="245">
                  <c:v>232.83089718130574</c:v>
                </c:pt>
                <c:pt idx="246">
                  <c:v>234.66433634681687</c:v>
                </c:pt>
                <c:pt idx="247">
                  <c:v>236.50383076844264</c:v>
                </c:pt>
                <c:pt idx="248">
                  <c:v>238.34935784993638</c:v>
                </c:pt>
                <c:pt idx="249">
                  <c:v>240.2008949763466</c:v>
                </c:pt>
                <c:pt idx="250">
                  <c:v>242.0584195142998</c:v>
                </c:pt>
                <c:pt idx="251">
                  <c:v>243.92190881228277</c:v>
                </c:pt>
                <c:pt idx="252">
                  <c:v>245.79134020092451</c:v>
                </c:pt>
                <c:pt idx="253">
                  <c:v>247.66669099327771</c:v>
                </c:pt>
                <c:pt idx="254">
                  <c:v>249.54793848509965</c:v>
                </c:pt>
                <c:pt idx="255">
                  <c:v>251.4350599551328</c:v>
                </c:pt>
                <c:pt idx="256">
                  <c:v>253.32803266538477</c:v>
                </c:pt>
                <c:pt idx="257">
                  <c:v>255.2268338614079</c:v>
                </c:pt>
                <c:pt idx="258">
                  <c:v>257.13144077257829</c:v>
                </c:pt>
                <c:pt idx="259">
                  <c:v>259.04183061237421</c:v>
                </c:pt>
                <c:pt idx="260">
                  <c:v>260.9579805786542</c:v>
                </c:pt>
                <c:pt idx="261">
                  <c:v>262.8798678539344</c:v>
                </c:pt>
                <c:pt idx="262">
                  <c:v>264.80746960566546</c:v>
                </c:pt>
                <c:pt idx="263">
                  <c:v>266.74076298650891</c:v>
                </c:pt>
                <c:pt idx="264">
                  <c:v>268.67972513461274</c:v>
                </c:pt>
                <c:pt idx="265">
                  <c:v>270.62433317388667</c:v>
                </c:pt>
                <c:pt idx="266">
                  <c:v>272.57456421427668</c:v>
                </c:pt>
                <c:pt idx="267">
                  <c:v>274.53039535203885</c:v>
                </c:pt>
                <c:pt idx="268">
                  <c:v>276.49180367001287</c:v>
                </c:pt>
                <c:pt idx="269">
                  <c:v>278.45876623789445</c:v>
                </c:pt>
                <c:pt idx="270">
                  <c:v>280.43126011250763</c:v>
                </c:pt>
                <c:pt idx="271">
                  <c:v>282.40926233807602</c:v>
                </c:pt>
                <c:pt idx="272">
                  <c:v>284.3927499464935</c:v>
                </c:pt>
                <c:pt idx="273">
                  <c:v>286.38169995759444</c:v>
                </c:pt>
                <c:pt idx="274">
                  <c:v>288.37608937942298</c:v>
                </c:pt>
                <c:pt idx="275">
                  <c:v>290.37589520850162</c:v>
                </c:pt>
                <c:pt idx="276">
                  <c:v>292.38109443009938</c:v>
                </c:pt>
                <c:pt idx="277">
                  <c:v>294.39166401849894</c:v>
                </c:pt>
                <c:pt idx="278">
                  <c:v>296.40758093726328</c:v>
                </c:pt>
                <c:pt idx="279">
                  <c:v>298.42882213950139</c:v>
                </c:pt>
                <c:pt idx="280">
                  <c:v>300.45536456813352</c:v>
                </c:pt>
                <c:pt idx="281">
                  <c:v>302.48718515615536</c:v>
                </c:pt>
                <c:pt idx="282">
                  <c:v>304.52426082690164</c:v>
                </c:pt>
                <c:pt idx="283">
                  <c:v>306.56656849430897</c:v>
                </c:pt>
                <c:pt idx="284">
                  <c:v>308.61408675959296</c:v>
                </c:pt>
                <c:pt idx="285">
                  <c:v>310.6667976083549</c:v>
                </c:pt>
                <c:pt idx="286">
                  <c:v>312.72468471406745</c:v>
                </c:pt>
                <c:pt idx="287">
                  <c:v>314.78773174108568</c:v>
                </c:pt>
                <c:pt idx="288">
                  <c:v>316.85592234481788</c:v>
                </c:pt>
                <c:pt idx="289">
                  <c:v>318.92924017189574</c:v>
                </c:pt>
                <c:pt idx="290">
                  <c:v>321.00766886034449</c:v>
                </c:pt>
                <c:pt idx="291">
                  <c:v>323.09119203975251</c:v>
                </c:pt>
                <c:pt idx="292">
                  <c:v>325.17979333144058</c:v>
                </c:pt>
                <c:pt idx="293">
                  <c:v>327.2734563486307</c:v>
                </c:pt>
                <c:pt idx="294">
                  <c:v>329.37216469661479</c:v>
                </c:pt>
                <c:pt idx="295">
                  <c:v>331.47590197292254</c:v>
                </c:pt>
                <c:pt idx="296">
                  <c:v>333.58465176748928</c:v>
                </c:pt>
                <c:pt idx="297">
                  <c:v>335.69839766282314</c:v>
                </c:pt>
                <c:pt idx="298">
                  <c:v>337.81712323417213</c:v>
                </c:pt>
                <c:pt idx="299">
                  <c:v>339.94081204969046</c:v>
                </c:pt>
                <c:pt idx="300">
                  <c:v>342.06944767060475</c:v>
                </c:pt>
                <c:pt idx="301">
                  <c:v>344.20301365137954</c:v>
                </c:pt>
                <c:pt idx="302">
                  <c:v>346.34149353988255</c:v>
                </c:pt>
                <c:pt idx="303">
                  <c:v>348.48487087754961</c:v>
                </c:pt>
                <c:pt idx="304">
                  <c:v>350.63312919954882</c:v>
                </c:pt>
                <c:pt idx="305">
                  <c:v>352.7862520349446</c:v>
                </c:pt>
                <c:pt idx="306">
                  <c:v>354.94422290686106</c:v>
                </c:pt>
                <c:pt idx="307">
                  <c:v>357.10702533264521</c:v>
                </c:pt>
                <c:pt idx="308">
                  <c:v>359.27464282402934</c:v>
                </c:pt>
                <c:pt idx="309">
                  <c:v>361.44705888729322</c:v>
                </c:pt>
                <c:pt idx="310">
                  <c:v>363.62425702342574</c:v>
                </c:pt>
                <c:pt idx="311">
                  <c:v>365.80622072828618</c:v>
                </c:pt>
                <c:pt idx="312">
                  <c:v>367.99293349276485</c:v>
                </c:pt>
                <c:pt idx="313">
                  <c:v>370.18437880294334</c:v>
                </c:pt>
                <c:pt idx="314">
                  <c:v>372.38054014025431</c:v>
                </c:pt>
                <c:pt idx="315">
                  <c:v>374.5814009816408</c:v>
                </c:pt>
                <c:pt idx="316">
                  <c:v>376.78694479971506</c:v>
                </c:pt>
                <c:pt idx="317">
                  <c:v>378.99715506291682</c:v>
                </c:pt>
                <c:pt idx="318">
                  <c:v>381.212015235671</c:v>
                </c:pt>
                <c:pt idx="319">
                  <c:v>383.43150877854532</c:v>
                </c:pt>
                <c:pt idx="320">
                  <c:v>385.65561914840691</c:v>
                </c:pt>
                <c:pt idx="321">
                  <c:v>387.88432979857862</c:v>
                </c:pt>
                <c:pt idx="322">
                  <c:v>390.1176241789949</c:v>
                </c:pt>
                <c:pt idx="323">
                  <c:v>392.35548573635714</c:v>
                </c:pt>
                <c:pt idx="324">
                  <c:v>394.59789791428835</c:v>
                </c:pt>
                <c:pt idx="325">
                  <c:v>396.84484415348749</c:v>
                </c:pt>
                <c:pt idx="326">
                  <c:v>399.09630799617696</c:v>
                </c:pt>
                <c:pt idx="327">
                  <c:v>401.35227319055349</c:v>
                </c:pt>
                <c:pt idx="328">
                  <c:v>403.61272358658442</c:v>
                </c:pt>
                <c:pt idx="329">
                  <c:v>405.87764303179728</c:v>
                </c:pt>
                <c:pt idx="330">
                  <c:v>408.14701537142707</c:v>
                </c:pt>
                <c:pt idx="331">
                  <c:v>410.42082444856277</c:v>
                </c:pt>
                <c:pt idx="332">
                  <c:v>412.69905410429345</c:v>
                </c:pt>
                <c:pt idx="333">
                  <c:v>414.98168817785404</c:v>
                </c:pt>
                <c:pt idx="334">
                  <c:v>417.26871050677016</c:v>
                </c:pt>
                <c:pt idx="335">
                  <c:v>419.56010492700295</c:v>
                </c:pt>
                <c:pt idx="336">
                  <c:v>421.8558552730928</c:v>
                </c:pt>
                <c:pt idx="337">
                  <c:v>424.15594537830304</c:v>
                </c:pt>
                <c:pt idx="338">
                  <c:v>426.46035907476289</c:v>
                </c:pt>
                <c:pt idx="339">
                  <c:v>428.76908019360974</c:v>
                </c:pt>
                <c:pt idx="340">
                  <c:v>431.08209256513118</c:v>
                </c:pt>
                <c:pt idx="341">
                  <c:v>433.39938001890624</c:v>
                </c:pt>
                <c:pt idx="342">
                  <c:v>435.72092638394628</c:v>
                </c:pt>
                <c:pt idx="343">
                  <c:v>438.04671548883516</c:v>
                </c:pt>
                <c:pt idx="344">
                  <c:v>440.37673116186897</c:v>
                </c:pt>
                <c:pt idx="345">
                  <c:v>442.71095723119515</c:v>
                </c:pt>
                <c:pt idx="346">
                  <c:v>445.04937752495101</c:v>
                </c:pt>
                <c:pt idx="347">
                  <c:v>447.39197587140194</c:v>
                </c:pt>
                <c:pt idx="348">
                  <c:v>449.73873609907872</c:v>
                </c:pt>
                <c:pt idx="349">
                  <c:v>452.08964203691443</c:v>
                </c:pt>
                <c:pt idx="350">
                  <c:v>454.44467751438094</c:v>
                </c:pt>
                <c:pt idx="351">
                  <c:v>456.80382636162449</c:v>
                </c:pt>
                <c:pt idx="352">
                  <c:v>459.16707240960096</c:v>
                </c:pt>
                <c:pt idx="353">
                  <c:v>461.53439949021055</c:v>
                </c:pt>
                <c:pt idx="354">
                  <c:v>463.9057914364318</c:v>
                </c:pt>
                <c:pt idx="355">
                  <c:v>466.28123208245512</c:v>
                </c:pt>
                <c:pt idx="356">
                  <c:v>468.66070526381549</c:v>
                </c:pt>
                <c:pt idx="357">
                  <c:v>471.04419481752507</c:v>
                </c:pt>
                <c:pt idx="358">
                  <c:v>473.4316845822047</c:v>
                </c:pt>
                <c:pt idx="359">
                  <c:v>475.82315839821513</c:v>
                </c:pt>
                <c:pt idx="360">
                  <c:v>478.21860010778767</c:v>
                </c:pt>
                <c:pt idx="361">
                  <c:v>480.61799355515399</c:v>
                </c:pt>
                <c:pt idx="362">
                  <c:v>483.02132258667564</c:v>
                </c:pt>
                <c:pt idx="363">
                  <c:v>485.42857105097283</c:v>
                </c:pt>
                <c:pt idx="364">
                  <c:v>487.83972279905254</c:v>
                </c:pt>
                <c:pt idx="365">
                  <c:v>490.25476168443623</c:v>
                </c:pt>
                <c:pt idx="366">
                  <c:v>492.67367420887518</c:v>
                </c:pt>
                <c:pt idx="367">
                  <c:v>495.09645216765875</c:v>
                </c:pt>
                <c:pt idx="368">
                  <c:v>497.52309000166952</c:v>
                </c:pt>
                <c:pt idx="369">
                  <c:v>499.95358214980331</c:v>
                </c:pt>
                <c:pt idx="370">
                  <c:v>502.38792304901108</c:v>
                </c:pt>
                <c:pt idx="371">
                  <c:v>504.82610713434059</c:v>
                </c:pt>
                <c:pt idx="372">
                  <c:v>507.26812883897844</c:v>
                </c:pt>
                <c:pt idx="373">
                  <c:v>509.71398259429139</c:v>
                </c:pt>
                <c:pt idx="374">
                  <c:v>512.16366282986826</c:v>
                </c:pt>
                <c:pt idx="375">
                  <c:v>514.61716397356111</c:v>
                </c:pt>
                <c:pt idx="376">
                  <c:v>517.07448045152682</c:v>
                </c:pt>
                <c:pt idx="377">
                  <c:v>519.53560668826844</c:v>
                </c:pt>
                <c:pt idx="378">
                  <c:v>522.00053710667646</c:v>
                </c:pt>
                <c:pt idx="379">
                  <c:v>524.46926612806988</c:v>
                </c:pt>
                <c:pt idx="380">
                  <c:v>526.94178817223735</c:v>
                </c:pt>
                <c:pt idx="381">
                  <c:v>529.41809480143672</c:v>
                </c:pt>
                <c:pt idx="382">
                  <c:v>531.89817186494156</c:v>
                </c:pt>
                <c:pt idx="383">
                  <c:v>534.38200235801844</c:v>
                </c:pt>
                <c:pt idx="384">
                  <c:v>536.86956928040161</c:v>
                </c:pt>
                <c:pt idx="385">
                  <c:v>539.36085563642223</c:v>
                </c:pt>
                <c:pt idx="386">
                  <c:v>541.85584443513699</c:v>
                </c:pt>
                <c:pt idx="387">
                  <c:v>544.35451869045528</c:v>
                </c:pt>
                <c:pt idx="388">
                  <c:v>546.85686142126667</c:v>
                </c:pt>
                <c:pt idx="389">
                  <c:v>549.36285565156709</c:v>
                </c:pt>
                <c:pt idx="390">
                  <c:v>551.87248441058443</c:v>
                </c:pt>
                <c:pt idx="391">
                  <c:v>554.38573073290354</c:v>
                </c:pt>
                <c:pt idx="392">
                  <c:v>556.9025776585903</c:v>
                </c:pt>
                <c:pt idx="393">
                  <c:v>559.42300823331561</c:v>
                </c:pt>
                <c:pt idx="394">
                  <c:v>561.94700550847767</c:v>
                </c:pt>
                <c:pt idx="395">
                  <c:v>564.47455254132467</c:v>
                </c:pt>
                <c:pt idx="396">
                  <c:v>567.00563239507608</c:v>
                </c:pt>
                <c:pt idx="397">
                  <c:v>569.54022813904328</c:v>
                </c:pt>
                <c:pt idx="398">
                  <c:v>572.07832284874985</c:v>
                </c:pt>
                <c:pt idx="399">
                  <c:v>574.61989960605081</c:v>
                </c:pt>
                <c:pt idx="400">
                  <c:v>577.16494149925143</c:v>
                </c:pt>
                <c:pt idx="401">
                  <c:v>579.7134293809554</c:v>
                </c:pt>
                <c:pt idx="402">
                  <c:v>582.26533962656458</c:v>
                </c:pt>
                <c:pt idx="403">
                  <c:v>584.82064637933536</c:v>
                </c:pt>
                <c:pt idx="404">
                  <c:v>587.37932379482743</c:v>
                </c:pt>
                <c:pt idx="405">
                  <c:v>589.94134604110957</c:v>
                </c:pt>
                <c:pt idx="406">
                  <c:v>592.50668729896449</c:v>
                </c:pt>
                <c:pt idx="407">
                  <c:v>595.07532176209168</c:v>
                </c:pt>
                <c:pt idx="408">
                  <c:v>597.64722363730891</c:v>
                </c:pt>
                <c:pt idx="409">
                  <c:v>600.2223671447523</c:v>
                </c:pt>
                <c:pt idx="410">
                  <c:v>602.80072651807461</c:v>
                </c:pt>
                <c:pt idx="411">
                  <c:v>605.38226362786168</c:v>
                </c:pt>
                <c:pt idx="412">
                  <c:v>607.96691560961267</c:v>
                </c:pt>
                <c:pt idx="413">
                  <c:v>610.55460725718456</c:v>
                </c:pt>
                <c:pt idx="414">
                  <c:v>613.14526341212638</c:v>
                </c:pt>
                <c:pt idx="415">
                  <c:v>615.73880896478317</c:v>
                </c:pt>
                <c:pt idx="416">
                  <c:v>618.33516885538825</c:v>
                </c:pt>
                <c:pt idx="417">
                  <c:v>620.93426807514436</c:v>
                </c:pt>
                <c:pt idx="418">
                  <c:v>623.53603166729283</c:v>
                </c:pt>
                <c:pt idx="419">
                  <c:v>626.14038472817185</c:v>
                </c:pt>
                <c:pt idx="420">
                  <c:v>628.74724537442728</c:v>
                </c:pt>
                <c:pt idx="421">
                  <c:v>631.35651771397045</c:v>
                </c:pt>
                <c:pt idx="422">
                  <c:v>633.96809889210795</c:v>
                </c:pt>
                <c:pt idx="423">
                  <c:v>636.58188613430775</c:v>
                </c:pt>
                <c:pt idx="424">
                  <c:v>639.19777674801162</c:v>
                </c:pt>
                <c:pt idx="425">
                  <c:v>641.8156681244252</c:v>
                </c:pt>
                <c:pt idx="426">
                  <c:v>644.43545774028735</c:v>
                </c:pt>
                <c:pt idx="427">
                  <c:v>647.05704315961793</c:v>
                </c:pt>
                <c:pt idx="428">
                  <c:v>649.68032203544362</c:v>
                </c:pt>
                <c:pt idx="429">
                  <c:v>652.30519211150329</c:v>
                </c:pt>
                <c:pt idx="430">
                  <c:v>654.93155122393091</c:v>
                </c:pt>
                <c:pt idx="431">
                  <c:v>657.5592973029178</c:v>
                </c:pt>
                <c:pt idx="432">
                  <c:v>660.18831705355319</c:v>
                </c:pt>
                <c:pt idx="433">
                  <c:v>662.81847464582984</c:v>
                </c:pt>
                <c:pt idx="434">
                  <c:v>665.44962306010348</c:v>
                </c:pt>
                <c:pt idx="435">
                  <c:v>668.08161542419873</c:v>
                </c:pt>
                <c:pt idx="436">
                  <c:v>670.71430501665748</c:v>
                </c:pt>
                <c:pt idx="437">
                  <c:v>673.34754526994288</c:v>
                </c:pt>
                <c:pt idx="438">
                  <c:v>675.98118977359934</c:v>
                </c:pt>
                <c:pt idx="439">
                  <c:v>678.6150922773669</c:v>
                </c:pt>
                <c:pt idx="440">
                  <c:v>681.24910669425208</c:v>
                </c:pt>
                <c:pt idx="441">
                  <c:v>683.88308710355341</c:v>
                </c:pt>
                <c:pt idx="442">
                  <c:v>686.51689462337754</c:v>
                </c:pt>
                <c:pt idx="443">
                  <c:v>689.15040427543317</c:v>
                </c:pt>
                <c:pt idx="444">
                  <c:v>691.78349810123439</c:v>
                </c:pt>
                <c:pt idx="445">
                  <c:v>694.41605828542538</c:v>
                </c:pt>
                <c:pt idx="446">
                  <c:v>697.04796715756731</c:v>
                </c:pt>
                <c:pt idx="447">
                  <c:v>699.67910719389579</c:v>
                </c:pt>
                <c:pt idx="448">
                  <c:v>702.30936101904945</c:v>
                </c:pt>
                <c:pt idx="449">
                  <c:v>704.93861140777028</c:v>
                </c:pt>
                <c:pt idx="450">
                  <c:v>707.56674128657414</c:v>
                </c:pt>
                <c:pt idx="451">
                  <c:v>710.19363373539363</c:v>
                </c:pt>
                <c:pt idx="452">
                  <c:v>712.81917198919189</c:v>
                </c:pt>
                <c:pt idx="453">
                  <c:v>715.44324926883144</c:v>
                </c:pt>
                <c:pt idx="454">
                  <c:v>718.06577859851507</c:v>
                </c:pt>
                <c:pt idx="455">
                  <c:v>720.68668295008877</c:v>
                </c:pt>
                <c:pt idx="456">
                  <c:v>723.30588540023746</c:v>
                </c:pt>
                <c:pt idx="457">
                  <c:v>725.92330913100648</c:v>
                </c:pt>
                <c:pt idx="458">
                  <c:v>728.53887743031214</c:v>
                </c:pt>
                <c:pt idx="459">
                  <c:v>731.15251369243992</c:v>
                </c:pt>
                <c:pt idx="460">
                  <c:v>733.76414141853127</c:v>
                </c:pt>
                <c:pt idx="461">
                  <c:v>736.37369305874404</c:v>
                </c:pt>
                <c:pt idx="462">
                  <c:v>738.98111884143589</c:v>
                </c:pt>
                <c:pt idx="463">
                  <c:v>741.58637790564012</c:v>
                </c:pt>
                <c:pt idx="464">
                  <c:v>744.18942944628725</c:v>
                </c:pt>
                <c:pt idx="465">
                  <c:v>746.79023271422307</c:v>
                </c:pt>
                <c:pt idx="466">
                  <c:v>749.38873959016667</c:v>
                </c:pt>
                <c:pt idx="467">
                  <c:v>751.98488716982456</c:v>
                </c:pt>
                <c:pt idx="468">
                  <c:v>754.57852252038674</c:v>
                </c:pt>
                <c:pt idx="469">
                  <c:v>757.16942874812855</c:v>
                </c:pt>
                <c:pt idx="470">
                  <c:v>759.75750897956016</c:v>
                </c:pt>
                <c:pt idx="471">
                  <c:v>762.34276767407391</c:v>
                </c:pt>
                <c:pt idx="472">
                  <c:v>764.92520927774012</c:v>
                </c:pt>
                <c:pt idx="473">
                  <c:v>767.50483822336014</c:v>
                </c:pt>
                <c:pt idx="474">
                  <c:v>770.08165893051876</c:v>
                </c:pt>
                <c:pt idx="475">
                  <c:v>772.65567580563686</c:v>
                </c:pt>
                <c:pt idx="476">
                  <c:v>775.22689324202315</c:v>
                </c:pt>
                <c:pt idx="477">
                  <c:v>777.79531561992633</c:v>
                </c:pt>
                <c:pt idx="478">
                  <c:v>780.36094730658658</c:v>
                </c:pt>
                <c:pt idx="479">
                  <c:v>782.92379265628688</c:v>
                </c:pt>
                <c:pt idx="480">
                  <c:v>785.48385601040411</c:v>
                </c:pt>
                <c:pt idx="481">
                  <c:v>788.04114169745981</c:v>
                </c:pt>
                <c:pt idx="482">
                  <c:v>790.59565403317083</c:v>
                </c:pt>
                <c:pt idx="483">
                  <c:v>793.14739732049964</c:v>
                </c:pt>
                <c:pt idx="484">
                  <c:v>795.69637584970417</c:v>
                </c:pt>
                <c:pt idx="485">
                  <c:v>798.24259389838801</c:v>
                </c:pt>
                <c:pt idx="486">
                  <c:v>800.78605573154982</c:v>
                </c:pt>
                <c:pt idx="487">
                  <c:v>803.32676560163247</c:v>
                </c:pt>
                <c:pt idx="488">
                  <c:v>805.86472774857225</c:v>
                </c:pt>
                <c:pt idx="489">
                  <c:v>808.39994639984786</c:v>
                </c:pt>
                <c:pt idx="490">
                  <c:v>810.93242577052888</c:v>
                </c:pt>
                <c:pt idx="491">
                  <c:v>813.46217006332404</c:v>
                </c:pt>
                <c:pt idx="492">
                  <c:v>815.98918346862934</c:v>
                </c:pt>
                <c:pt idx="493">
                  <c:v>818.51347016457623</c:v>
                </c:pt>
                <c:pt idx="494">
                  <c:v>821.03503431707884</c:v>
                </c:pt>
                <c:pt idx="495">
                  <c:v>823.55388007988165</c:v>
                </c:pt>
                <c:pt idx="496">
                  <c:v>826.07001159460663</c:v>
                </c:pt>
                <c:pt idx="497">
                  <c:v>828.58343299080002</c:v>
                </c:pt>
                <c:pt idx="498">
                  <c:v>831.09414838597945</c:v>
                </c:pt>
                <c:pt idx="499">
                  <c:v>833.60216188567995</c:v>
                </c:pt>
                <c:pt idx="500">
                  <c:v>836.10747758350044</c:v>
                </c:pt>
                <c:pt idx="501">
                  <c:v>861.01257165723757</c:v>
                </c:pt>
                <c:pt idx="502">
                  <c:v>885.65051542412959</c:v>
                </c:pt>
                <c:pt idx="503">
                  <c:v>910.02528700209302</c:v>
                </c:pt>
                <c:pt idx="504">
                  <c:v>934.14075123234056</c:v>
                </c:pt>
                <c:pt idx="505">
                  <c:v>958.0006639235088</c:v>
                </c:pt>
                <c:pt idx="506">
                  <c:v>981.60867589596035</c:v>
                </c:pt>
                <c:pt idx="507">
                  <c:v>1004.9683368375148</c:v>
                </c:pt>
                <c:pt idx="508">
                  <c:v>1028.0830989811241</c:v>
                </c:pt>
                <c:pt idx="509">
                  <c:v>1050.9563206143273</c:v>
                </c:pt>
                <c:pt idx="510">
                  <c:v>1073.5912694296894</c:v>
                </c:pt>
                <c:pt idx="511">
                  <c:v>1095.9911257248414</c:v>
                </c:pt>
                <c:pt idx="512">
                  <c:v>1118.1589854601978</c:v>
                </c:pt>
                <c:pt idx="513">
                  <c:v>1140.0978631819232</c:v>
                </c:pt>
                <c:pt idx="514">
                  <c:v>1161.8106948172513</c:v>
                </c:pt>
                <c:pt idx="515">
                  <c:v>1183.3003403488226</c:v>
                </c:pt>
                <c:pt idx="516">
                  <c:v>1204.5695863743065</c:v>
                </c:pt>
                <c:pt idx="517">
                  <c:v>1225.6211485571914</c:v>
                </c:pt>
                <c:pt idx="518">
                  <c:v>1246.4576739742779</c:v>
                </c:pt>
                <c:pt idx="519">
                  <c:v>1267.0817433650823</c:v>
                </c:pt>
                <c:pt idx="520">
                  <c:v>1287.4958732880539</c:v>
                </c:pt>
                <c:pt idx="521">
                  <c:v>1307.7025181882202</c:v>
                </c:pt>
                <c:pt idx="522">
                  <c:v>1327.7040723806124</c:v>
                </c:pt>
                <c:pt idx="523">
                  <c:v>1347.5028719535737</c:v>
                </c:pt>
                <c:pt idx="524">
                  <c:v>1367.1011965958194</c:v>
                </c:pt>
                <c:pt idx="525">
                  <c:v>1386.5012713508995</c:v>
                </c:pt>
                <c:pt idx="526">
                  <c:v>1405.7052683025154</c:v>
                </c:pt>
                <c:pt idx="527">
                  <c:v>1424.7153081939452</c:v>
                </c:pt>
                <c:pt idx="528">
                  <c:v>1443.5334619846592</c:v>
                </c:pt>
                <c:pt idx="529">
                  <c:v>1462.161752347035</c:v>
                </c:pt>
                <c:pt idx="530">
                  <c:v>1480.602155105928</c:v>
                </c:pt>
                <c:pt idx="531">
                  <c:v>1498.8566006237045</c:v>
                </c:pt>
                <c:pt idx="532">
                  <c:v>1516.9269751332042</c:v>
                </c:pt>
                <c:pt idx="533">
                  <c:v>1534.815122020972</c:v>
                </c:pt>
                <c:pt idx="534">
                  <c:v>1552.5228430629732</c:v>
                </c:pt>
                <c:pt idx="535">
                  <c:v>1570.0518996148946</c:v>
                </c:pt>
                <c:pt idx="536">
                  <c:v>1587.4040137590243</c:v>
                </c:pt>
                <c:pt idx="537">
                  <c:v>1604.5808694095983</c:v>
                </c:pt>
                <c:pt idx="538">
                  <c:v>1621.5841133784127</c:v>
                </c:pt>
                <c:pt idx="539">
                  <c:v>1638.4153564024016</c:v>
                </c:pt>
                <c:pt idx="540">
                  <c:v>1655.076174134804</c:v>
                </c:pt>
                <c:pt idx="541">
                  <c:v>1671.5681081014545</c:v>
                </c:pt>
                <c:pt idx="542">
                  <c:v>1687.8926666236644</c:v>
                </c:pt>
                <c:pt idx="543">
                  <c:v>1704.0513257090809</c:v>
                </c:pt>
                <c:pt idx="544">
                  <c:v>1720.0455299118523</c:v>
                </c:pt>
                <c:pt idx="545">
                  <c:v>1735.8766931633552</c:v>
                </c:pt>
                <c:pt idx="546">
                  <c:v>1751.5461995746853</c:v>
                </c:pt>
                <c:pt idx="547">
                  <c:v>1767.0554042120552</c:v>
                </c:pt>
                <c:pt idx="548">
                  <c:v>1782.4056338461851</c:v>
                </c:pt>
                <c:pt idx="549">
                  <c:v>1797.5981876767262</c:v>
                </c:pt>
                <c:pt idx="550">
                  <c:v>1812.634338032706</c:v>
                </c:pt>
                <c:pt idx="551">
                  <c:v>1827.5153310499368</c:v>
                </c:pt>
                <c:pt idx="552">
                  <c:v>1842.2423873262906</c:v>
                </c:pt>
                <c:pt idx="553">
                  <c:v>1856.8167025556961</c:v>
                </c:pt>
                <c:pt idx="554">
                  <c:v>1871.2394481416814</c:v>
                </c:pt>
                <c:pt idx="555">
                  <c:v>1885.5117717912422</c:v>
                </c:pt>
                <c:pt idx="556">
                  <c:v>1899.6347980897863</c:v>
                </c:pt>
                <c:pt idx="557">
                  <c:v>1913.6096290578682</c:v>
                </c:pt>
                <c:pt idx="558">
                  <c:v>1927.4373446903965</c:v>
                </c:pt>
                <c:pt idx="559">
                  <c:v>1941.1190034789684</c:v>
                </c:pt>
                <c:pt idx="560">
                  <c:v>1954.6556429179564</c:v>
                </c:pt>
                <c:pt idx="561">
                  <c:v>1968.0482799949443</c:v>
                </c:pt>
                <c:pt idx="562">
                  <c:v>1981.2979116660854</c:v>
                </c:pt>
                <c:pt idx="563">
                  <c:v>1994.4055153169286</c:v>
                </c:pt>
                <c:pt idx="564">
                  <c:v>2007.3720492092409</c:v>
                </c:pt>
                <c:pt idx="565">
                  <c:v>2020.198452914324</c:v>
                </c:pt>
                <c:pt idx="566">
                  <c:v>2032.8856477333097</c:v>
                </c:pt>
                <c:pt idx="567">
                  <c:v>2045.4345371048933</c:v>
                </c:pt>
                <c:pt idx="568">
                  <c:v>2057.8460070009473</c:v>
                </c:pt>
                <c:pt idx="569">
                  <c:v>2070.1209263104424</c:v>
                </c:pt>
                <c:pt idx="570">
                  <c:v>2082.2601472120764</c:v>
                </c:pt>
                <c:pt idx="571">
                  <c:v>2094.2645055360067</c:v>
                </c:pt>
                <c:pt idx="572">
                  <c:v>2106.1348211150585</c:v>
                </c:pt>
                <c:pt idx="573">
                  <c:v>2117.8718981257671</c:v>
                </c:pt>
                <c:pt idx="574">
                  <c:v>2129.4765254196027</c:v>
                </c:pt>
                <c:pt idx="575">
                  <c:v>2140.9494768447034</c:v>
                </c:pt>
                <c:pt idx="576">
                  <c:v>2152.2915115584415</c:v>
                </c:pt>
                <c:pt idx="577">
                  <c:v>2163.5033743311242</c:v>
                </c:pt>
                <c:pt idx="578">
                  <c:v>2174.5857958411243</c:v>
                </c:pt>
                <c:pt idx="579">
                  <c:v>2185.5394929617232</c:v>
                </c:pt>
                <c:pt idx="580">
                  <c:v>2196.3651690399392</c:v>
                </c:pt>
                <c:pt idx="581">
                  <c:v>2207.0635141676021</c:v>
                </c:pt>
                <c:pt idx="582">
                  <c:v>2217.6352054449248</c:v>
                </c:pt>
                <c:pt idx="583">
                  <c:v>2228.0809072368152</c:v>
                </c:pt>
                <c:pt idx="584">
                  <c:v>2238.4012714221617</c:v>
                </c:pt>
                <c:pt idx="585">
                  <c:v>2248.5969376363159</c:v>
                </c:pt>
                <c:pt idx="586">
                  <c:v>2258.6685335069915</c:v>
                </c:pt>
                <c:pt idx="587">
                  <c:v>2268.6166748837823</c:v>
                </c:pt>
                <c:pt idx="588">
                  <c:v>2278.4419660615085</c:v>
                </c:pt>
                <c:pt idx="589">
                  <c:v>2288.1449999975775</c:v>
                </c:pt>
                <c:pt idx="590">
                  <c:v>2297.7263585235505</c:v>
                </c:pt>
                <c:pt idx="591">
                  <c:v>2307.1866125510933</c:v>
                </c:pt>
                <c:pt idx="592">
                  <c:v>2316.5263222724875</c:v>
                </c:pt>
                <c:pt idx="593">
                  <c:v>2325.7460373558683</c:v>
                </c:pt>
                <c:pt idx="594">
                  <c:v>2334.8462971353511</c:v>
                </c:pt>
                <c:pt idx="595">
                  <c:v>2343.8276307962055</c:v>
                </c:pt>
                <c:pt idx="596">
                  <c:v>2352.6905575552287</c:v>
                </c:pt>
                <c:pt idx="597">
                  <c:v>2361.4355868364614</c:v>
                </c:pt>
                <c:pt idx="598">
                  <c:v>2370.0632184423944</c:v>
                </c:pt>
                <c:pt idx="599">
                  <c:v>2378.5739427207955</c:v>
                </c:pt>
                <c:pt idx="600">
                  <c:v>2386.9682407272971</c:v>
                </c:pt>
                <c:pt idx="601">
                  <c:v>2395.2465843838718</c:v>
                </c:pt>
                <c:pt idx="602">
                  <c:v>2403.4094366333156</c:v>
                </c:pt>
                <c:pt idx="603">
                  <c:v>2411.4572515898699</c:v>
                </c:pt>
                <c:pt idx="604">
                  <c:v>2419.3904746860908</c:v>
                </c:pt>
                <c:pt idx="605">
                  <c:v>2427.2095428160878</c:v>
                </c:pt>
                <c:pt idx="606">
                  <c:v>2434.9148844752381</c:v>
                </c:pt>
                <c:pt idx="607">
                  <c:v>2442.5069198964884</c:v>
                </c:pt>
                <c:pt idx="608">
                  <c:v>2449.9860611833487</c:v>
                </c:pt>
                <c:pt idx="609">
                  <c:v>2457.3527124396824</c:v>
                </c:pt>
                <c:pt idx="610">
                  <c:v>2464.6072698963894</c:v>
                </c:pt>
                <c:pt idx="611">
                  <c:v>2471.7501220350878</c:v>
                </c:pt>
                <c:pt idx="612">
                  <c:v>2478.7816497088838</c:v>
                </c:pt>
                <c:pt idx="613">
                  <c:v>2485.7022262603282</c:v>
                </c:pt>
                <c:pt idx="614">
                  <c:v>2492.5122176366513</c:v>
                </c:pt>
                <c:pt idx="615">
                  <c:v>2499.2119825023656</c:v>
                </c:pt>
                <c:pt idx="616">
                  <c:v>2505.8018723493301</c:v>
                </c:pt>
                <c:pt idx="617">
                  <c:v>2512.2822316043594</c:v>
                </c:pt>
                <c:pt idx="618">
                  <c:v>2518.6533977344707</c:v>
                </c:pt>
                <c:pt idx="619">
                  <c:v>2524.9157013498484</c:v>
                </c:pt>
                <c:pt idx="620">
                  <c:v>2531.0694663046202</c:v>
                </c:pt>
                <c:pt idx="621">
                  <c:v>2537.1150097955228</c:v>
                </c:pt>
                <c:pt idx="622">
                  <c:v>2543.0526424585464</c:v>
                </c:pt>
                <c:pt idx="623">
                  <c:v>2548.8826684636415</c:v>
                </c:pt>
                <c:pt idx="624">
                  <c:v>2554.6053856075737</c:v>
                </c:pt>
                <c:pt idx="625">
                  <c:v>2560.221085405009</c:v>
                </c:pt>
                <c:pt idx="626">
                  <c:v>2565.730053177921</c:v>
                </c:pt>
                <c:pt idx="627">
                  <c:v>2571.1325681433991</c:v>
                </c:pt>
                <c:pt idx="628">
                  <c:v>2576.428903499951</c:v>
                </c:pt>
                <c:pt idx="629">
                  <c:v>2581.6193265123866</c:v>
                </c:pt>
                <c:pt idx="630">
                  <c:v>2586.7040985953699</c:v>
                </c:pt>
                <c:pt idx="631">
                  <c:v>2591.683475395736</c:v>
                </c:pt>
                <c:pt idx="632">
                  <c:v>2596.5577068736634</c:v>
                </c:pt>
                <c:pt idx="633">
                  <c:v>2601.3270373827982</c:v>
                </c:pt>
                <c:pt idx="634">
                  <c:v>2605.9917057494276</c:v>
                </c:pt>
                <c:pt idx="635">
                  <c:v>2610.5519453508077</c:v>
                </c:pt>
                <c:pt idx="636">
                  <c:v>2615.0079841927441</c:v>
                </c:pt>
                <c:pt idx="637">
                  <c:v>2619.3600449865385</c:v>
                </c:pt>
                <c:pt idx="638">
                  <c:v>2623.6083452254079</c:v>
                </c:pt>
                <c:pt idx="639">
                  <c:v>2627.7530972604955</c:v>
                </c:pt>
                <c:pt idx="640">
                  <c:v>2631.7945083765894</c:v>
                </c:pt>
                <c:pt idx="641">
                  <c:v>2635.7327808676755</c:v>
                </c:pt>
                <c:pt idx="642">
                  <c:v>2639.5681121124526</c:v>
                </c:pt>
                <c:pt idx="643">
                  <c:v>2643.3006946499436</c:v>
                </c:pt>
                <c:pt idx="644">
                  <c:v>2646.9307162553405</c:v>
                </c:pt>
                <c:pt idx="645">
                  <c:v>2650.45836001623</c:v>
                </c:pt>
                <c:pt idx="646">
                  <c:v>2653.8838044093472</c:v>
                </c:pt>
                <c:pt idx="647">
                  <c:v>2657.2072233780164</c:v>
                </c:pt>
                <c:pt idx="648">
                  <c:v>2660.4287864104344</c:v>
                </c:pt>
                <c:pt idx="649">
                  <c:v>2663.5486586189718</c:v>
                </c:pt>
                <c:pt idx="650">
                  <c:v>2666.5670008206562</c:v>
                </c:pt>
                <c:pt idx="651">
                  <c:v>2669.4839696190184</c:v>
                </c:pt>
                <c:pt idx="652">
                  <c:v>2672.2997174874849</c:v>
                </c:pt>
                <c:pt idx="653">
                  <c:v>2675.0143928545012</c:v>
                </c:pt>
                <c:pt idx="654">
                  <c:v>2677.628140190574</c:v>
                </c:pt>
                <c:pt idx="655">
                  <c:v>2680.1411000974281</c:v>
                </c:pt>
                <c:pt idx="656">
                  <c:v>2682.553409399467</c:v>
                </c:pt>
                <c:pt idx="657">
                  <c:v>2684.8652012377352</c:v>
                </c:pt>
                <c:pt idx="658">
                  <c:v>2687.0766051665664</c:v>
                </c:pt>
                <c:pt idx="659">
                  <c:v>2689.1877472531137</c:v>
                </c:pt>
                <c:pt idx="660">
                  <c:v>2691.1987501799363</c:v>
                </c:pt>
                <c:pt idx="661">
                  <c:v>2693.1097333508205</c:v>
                </c:pt>
                <c:pt idx="662">
                  <c:v>2694.9208129999952</c:v>
                </c:pt>
                <c:pt idx="663">
                  <c:v>2696.6321023048909</c:v>
                </c:pt>
                <c:pt idx="664">
                  <c:v>2698.2437115025709</c:v>
                </c:pt>
                <c:pt idx="665">
                  <c:v>2699.7557480099513</c:v>
                </c:pt>
                <c:pt idx="666">
                  <c:v>2701.1683165478853</c:v>
                </c:pt>
                <c:pt idx="667">
                  <c:v>2702.4815192691813</c:v>
                </c:pt>
                <c:pt idx="668">
                  <c:v>2703.6954558905741</c:v>
                </c:pt>
                <c:pt idx="669">
                  <c:v>2704.8102238286442</c:v>
                </c:pt>
                <c:pt idx="670">
                  <c:v>2705.8259183396381</c:v>
                </c:pt>
                <c:pt idx="671">
                  <c:v>2706.7426326631048</c:v>
                </c:pt>
                <c:pt idx="672">
                  <c:v>2707.5604581692182</c:v>
                </c:pt>
                <c:pt idx="673">
                  <c:v>2708.2794845096073</c:v>
                </c:pt>
                <c:pt idx="674">
                  <c:v>2708.899799771481</c:v>
                </c:pt>
                <c:pt idx="675">
                  <c:v>2709.4214906347725</c:v>
                </c:pt>
                <c:pt idx="676">
                  <c:v>2709.8446425319994</c:v>
                </c:pt>
                <c:pt idx="677">
                  <c:v>2710.1693398104794</c:v>
                </c:pt>
                <c:pt idx="678">
                  <c:v>2710.3956658965089</c:v>
                </c:pt>
                <c:pt idx="679">
                  <c:v>2710.5237034610714</c:v>
                </c:pt>
                <c:pt idx="680">
                  <c:v>2710.5535345866106</c:v>
                </c:pt>
                <c:pt idx="681">
                  <c:v>2710.4852409343848</c:v>
                </c:pt>
                <c:pt idx="682">
                  <c:v>2710.3189039118829</c:v>
                </c:pt>
                <c:pt idx="683">
                  <c:v>2710.0546048397896</c:v>
                </c:pt>
                <c:pt idx="684">
                  <c:v>2709.6924251179685</c:v>
                </c:pt>
                <c:pt idx="685">
                  <c:v>2709.2324463899363</c:v>
                </c:pt>
                <c:pt idx="686">
                  <c:v>2708.6747507053196</c:v>
                </c:pt>
                <c:pt idx="687">
                  <c:v>2708.0194206797905</c:v>
                </c:pt>
                <c:pt idx="688">
                  <c:v>2707.2665396520129</c:v>
                </c:pt>
                <c:pt idx="689">
                  <c:v>2706.4161918371483</c:v>
                </c:pt>
                <c:pt idx="690">
                  <c:v>2705.4684624765223</c:v>
                </c:pt>
                <c:pt idx="691">
                  <c:v>2704.4234379830723</c:v>
                </c:pt>
                <c:pt idx="692">
                  <c:v>2703.2812060822566</c:v>
                </c:pt>
                <c:pt idx="693">
                  <c:v>2702.0418559481391</c:v>
                </c:pt>
                <c:pt idx="694">
                  <c:v>2700.7054783344133</c:v>
                </c:pt>
                <c:pt idx="695">
                  <c:v>2699.272165700178</c:v>
                </c:pt>
                <c:pt idx="696">
                  <c:v>2697.7420123303154</c:v>
                </c:pt>
                <c:pt idx="697">
                  <c:v>2696.1151144503724</c:v>
                </c:pt>
                <c:pt idx="698">
                  <c:v>2694.3915703358866</c:v>
                </c:pt>
                <c:pt idx="699">
                  <c:v>2692.5714804161335</c:v>
                </c:pt>
                <c:pt idx="700">
                  <c:v>2690.6549473723094</c:v>
                </c:pt>
                <c:pt idx="701">
                  <c:v>2688.6420762302005</c:v>
                </c:pt>
                <c:pt idx="702">
                  <c:v>2686.5329744474075</c:v>
                </c:pt>
                <c:pt idx="703">
                  <c:v>2684.3277519952321</c:v>
                </c:pt>
                <c:pt idx="704">
                  <c:v>2682.0265214353426</c:v>
                </c:pt>
                <c:pt idx="705">
                  <c:v>2679.6293979913589</c:v>
                </c:pt>
                <c:pt idx="706">
                  <c:v>2677.1364996155116</c:v>
                </c:pt>
                <c:pt idx="707">
                  <c:v>2674.5479470505393</c:v>
                </c:pt>
                <c:pt idx="708">
                  <c:v>2671.8638638869952</c:v>
                </c:pt>
                <c:pt idx="709">
                  <c:v>2669.0843766161456</c:v>
                </c:pt>
                <c:pt idx="710">
                  <c:v>2666.2096146786384</c:v>
                </c:pt>
                <c:pt idx="711">
                  <c:v>2663.2397105091281</c:v>
                </c:pt>
                <c:pt idx="712">
                  <c:v>2660.1747995770397</c:v>
                </c:pt>
                <c:pt idx="713">
                  <c:v>2657.0150204236515</c:v>
                </c:pt>
                <c:pt idx="714">
                  <c:v>2653.7605146956757</c:v>
                </c:pt>
                <c:pt idx="715">
                  <c:v>2650.4114271755102</c:v>
                </c:pt>
                <c:pt idx="716">
                  <c:v>2646.9679058083302</c:v>
                </c:pt>
                <c:pt idx="717">
                  <c:v>2643.4301017261851</c:v>
                </c:pt>
                <c:pt idx="718">
                  <c:v>2639.7981692692524</c:v>
                </c:pt>
                <c:pt idx="719">
                  <c:v>2636.072266004403</c:v>
                </c:pt>
                <c:pt idx="720">
                  <c:v>2632.2525527412213</c:v>
                </c:pt>
                <c:pt idx="721">
                  <c:v>2628.3391935456161</c:v>
                </c:pt>
                <c:pt idx="722">
                  <c:v>2624.3323557511517</c:v>
                </c:pt>
                <c:pt idx="723">
                  <c:v>2620.2322099682237</c:v>
                </c:pt>
                <c:pt idx="724">
                  <c:v>2616.0389300911975</c:v>
                </c:pt>
                <c:pt idx="725">
                  <c:v>2611.7526933036147</c:v>
                </c:pt>
                <c:pt idx="726">
                  <c:v>2607.3736800815786</c:v>
                </c:pt>
                <c:pt idx="727">
                  <c:v>2602.9020741954109</c:v>
                </c:pt>
                <c:pt idx="728">
                  <c:v>2598.3380627096731</c:v>
                </c:pt>
                <c:pt idx="729">
                  <c:v>2593.6818359816421</c:v>
                </c:pt>
                <c:pt idx="730">
                  <c:v>2588.9335876583164</c:v>
                </c:pt>
                <c:pt idx="731">
                  <c:v>2584.0935146720335</c:v>
                </c:pt>
                <c:pt idx="732">
                  <c:v>2579.1618172347685</c:v>
                </c:pt>
                <c:pt idx="733">
                  <c:v>2574.1386988311788</c:v>
                </c:pt>
                <c:pt idx="734">
                  <c:v>2569.0243662104622</c:v>
                </c:pt>
                <c:pt idx="735">
                  <c:v>2563.8190293770845</c:v>
                </c:pt>
                <c:pt idx="736">
                  <c:v>2558.5229015804316</c:v>
                </c:pt>
                <c:pt idx="737">
                  <c:v>2553.1361993034388</c:v>
                </c:pt>
                <c:pt idx="738">
                  <c:v>2547.659142250247</c:v>
                </c:pt>
                <c:pt idx="739">
                  <c:v>2542.0919533329279</c:v>
                </c:pt>
                <c:pt idx="740">
                  <c:v>2536.4348586573269</c:v>
                </c:pt>
                <c:pt idx="741">
                  <c:v>2530.6880875080556</c:v>
                </c:pt>
                <c:pt idx="742">
                  <c:v>2524.8518723326783</c:v>
                </c:pt>
                <c:pt idx="743">
                  <c:v>2518.9264487251271</c:v>
                </c:pt>
                <c:pt idx="744">
                  <c:v>2512.9120554083734</c:v>
                </c:pt>
                <c:pt idx="745">
                  <c:v>2506.8089342163953</c:v>
                </c:pt>
                <c:pt idx="746">
                  <c:v>2500.6173300754622</c:v>
                </c:pt>
                <c:pt idx="747">
                  <c:v>2494.3374909847721</c:v>
                </c:pt>
                <c:pt idx="748">
                  <c:v>2487.9696679964609</c:v>
                </c:pt>
                <c:pt idx="749">
                  <c:v>2481.5141151950124</c:v>
                </c:pt>
                <c:pt idx="750">
                  <c:v>2474.971089676093</c:v>
                </c:pt>
                <c:pt idx="751">
                  <c:v>2468.3408515248302</c:v>
                </c:pt>
                <c:pt idx="752">
                  <c:v>2461.6236637935576</c:v>
                </c:pt>
                <c:pt idx="753">
                  <c:v>2454.819792479047</c:v>
                </c:pt>
                <c:pt idx="754">
                  <c:v>2447.9295064992443</c:v>
                </c:pt>
                <c:pt idx="755">
                  <c:v>2440.9530776695306</c:v>
                </c:pt>
                <c:pt idx="756">
                  <c:v>2433.8907806785214</c:v>
                </c:pt>
                <c:pt idx="757">
                  <c:v>2426.7428930634237</c:v>
                </c:pt>
                <c:pt idx="758">
                  <c:v>2419.509695184965</c:v>
                </c:pt>
                <c:pt idx="759">
                  <c:v>2412.1914702019089</c:v>
                </c:pt>
                <c:pt idx="760">
                  <c:v>2404.7885040451738</c:v>
                </c:pt>
                <c:pt idx="761">
                  <c:v>2397.3010853915634</c:v>
                </c:pt>
                <c:pt idx="762">
                  <c:v>2389.729505637129</c:v>
                </c:pt>
                <c:pt idx="763">
                  <c:v>2382.074058870171</c:v>
                </c:pt>
                <c:pt idx="764">
                  <c:v>2374.3350418438927</c:v>
                </c:pt>
                <c:pt idx="765">
                  <c:v>2366.5127539487203</c:v>
                </c:pt>
                <c:pt idx="766">
                  <c:v>2358.6074971842986</c:v>
                </c:pt>
                <c:pt idx="767">
                  <c:v>2350.6195761311737</c:v>
                </c:pt>
                <c:pt idx="768">
                  <c:v>2342.5492979221731</c:v>
                </c:pt>
                <c:pt idx="769">
                  <c:v>2334.3969722134948</c:v>
                </c:pt>
                <c:pt idx="770">
                  <c:v>2326.1629111555139</c:v>
                </c:pt>
                <c:pt idx="771">
                  <c:v>2317.8474293633162</c:v>
                </c:pt>
                <c:pt idx="772">
                  <c:v>2309.4508438869711</c:v>
                </c:pt>
                <c:pt idx="773">
                  <c:v>2300.9734741815496</c:v>
                </c:pt>
                <c:pt idx="774">
                  <c:v>2292.4156420768968</c:v>
                </c:pt>
                <c:pt idx="775">
                  <c:v>2283.7776717471725</c:v>
                </c:pt>
                <c:pt idx="776">
                  <c:v>2275.0598896801598</c:v>
                </c:pt>
                <c:pt idx="777">
                  <c:v>2266.2626246463592</c:v>
                </c:pt>
                <c:pt idx="778">
                  <c:v>2257.3862076678702</c:v>
                </c:pt>
                <c:pt idx="779">
                  <c:v>2248.4309719870716</c:v>
                </c:pt>
                <c:pt idx="780">
                  <c:v>2239.397253035107</c:v>
                </c:pt>
                <c:pt idx="781">
                  <c:v>2230.2853884001843</c:v>
                </c:pt>
                <c:pt idx="782">
                  <c:v>2221.0957177956957</c:v>
                </c:pt>
                <c:pt idx="783">
                  <c:v>2211.8285830281675</c:v>
                </c:pt>
                <c:pt idx="784">
                  <c:v>2202.4843279650463</c:v>
                </c:pt>
                <c:pt idx="785">
                  <c:v>2193.0632985023276</c:v>
                </c:pt>
                <c:pt idx="786">
                  <c:v>2183.5658425320371</c:v>
                </c:pt>
                <c:pt idx="787">
                  <c:v>2173.9923099095677</c:v>
                </c:pt>
                <c:pt idx="788">
                  <c:v>2164.3430524208852</c:v>
                </c:pt>
                <c:pt idx="789">
                  <c:v>2154.6184237496027</c:v>
                </c:pt>
                <c:pt idx="790">
                  <c:v>2144.8187794439355</c:v>
                </c:pt>
                <c:pt idx="791">
                  <c:v>2134.9444768835428</c:v>
                </c:pt>
                <c:pt idx="792">
                  <c:v>2124.9958752462617</c:v>
                </c:pt>
                <c:pt idx="793">
                  <c:v>2114.9733354747386</c:v>
                </c:pt>
                <c:pt idx="794">
                  <c:v>2104.8772202429695</c:v>
                </c:pt>
                <c:pt idx="795">
                  <c:v>2094.7078939227517</c:v>
                </c:pt>
                <c:pt idx="796">
                  <c:v>2084.4657225500537</c:v>
                </c:pt>
                <c:pt idx="797">
                  <c:v>2074.1510737913122</c:v>
                </c:pt>
                <c:pt idx="798">
                  <c:v>2063.7643169096609</c:v>
                </c:pt>
                <c:pt idx="799">
                  <c:v>2053.3058227310962</c:v>
                </c:pt>
                <c:pt idx="800">
                  <c:v>2042.7759636105889</c:v>
                </c:pt>
                <c:pt idx="801">
                  <c:v>2032.1751133981463</c:v>
                </c:pt>
                <c:pt idx="802">
                  <c:v>2021.5036474048309</c:v>
                </c:pt>
                <c:pt idx="803">
                  <c:v>2010.7619423687429</c:v>
                </c:pt>
                <c:pt idx="804">
                  <c:v>1999.9503764209717</c:v>
                </c:pt>
                <c:pt idx="805">
                  <c:v>1989.0693290515226</c:v>
                </c:pt>
                <c:pt idx="806">
                  <c:v>1978.1191810752241</c:v>
                </c:pt>
                <c:pt idx="807">
                  <c:v>1967.100314597624</c:v>
                </c:pt>
                <c:pt idx="808">
                  <c:v>1956.0131129808772</c:v>
                </c:pt>
                <c:pt idx="809">
                  <c:v>1944.8579608096329</c:v>
                </c:pt>
                <c:pt idx="810">
                  <c:v>1933.6352438569265</c:v>
                </c:pt>
                <c:pt idx="811">
                  <c:v>1922.3453490500824</c:v>
                </c:pt>
                <c:pt idx="812">
                  <c:v>1910.9886644366322</c:v>
                </c:pt>
                <c:pt idx="813">
                  <c:v>1899.5655791502559</c:v>
                </c:pt>
                <c:pt idx="814">
                  <c:v>1888.0764833767496</c:v>
                </c:pt>
                <c:pt idx="815">
                  <c:v>1876.5217683200269</c:v>
                </c:pt>
                <c:pt idx="816">
                  <c:v>1864.901826168159</c:v>
                </c:pt>
                <c:pt idx="817">
                  <c:v>1853.2170500594582</c:v>
                </c:pt>
                <c:pt idx="818">
                  <c:v>1841.4678340486116</c:v>
                </c:pt>
                <c:pt idx="819">
                  <c:v>1829.6545730728697</c:v>
                </c:pt>
                <c:pt idx="820">
                  <c:v>1817.7776629182949</c:v>
                </c:pt>
                <c:pt idx="821">
                  <c:v>1805.8375001860766</c:v>
                </c:pt>
                <c:pt idx="822">
                  <c:v>1793.8344822589152</c:v>
                </c:pt>
                <c:pt idx="823">
                  <c:v>1781.7690072674841</c:v>
                </c:pt>
                <c:pt idx="824">
                  <c:v>1769.6414740569717</c:v>
                </c:pt>
                <c:pt idx="825">
                  <c:v>1757.4522821537103</c:v>
                </c:pt>
                <c:pt idx="826">
                  <c:v>1745.2018317318957</c:v>
                </c:pt>
                <c:pt idx="827">
                  <c:v>1732.8905235804039</c:v>
                </c:pt>
                <c:pt idx="828">
                  <c:v>1720.5187590697078</c:v>
                </c:pt>
                <c:pt idx="829">
                  <c:v>1708.0869401189022</c:v>
                </c:pt>
                <c:pt idx="830">
                  <c:v>1695.5954691628369</c:v>
                </c:pt>
                <c:pt idx="831">
                  <c:v>1683.0447491193681</c:v>
                </c:pt>
                <c:pt idx="832">
                  <c:v>1670.4351833567291</c:v>
                </c:pt>
                <c:pt idx="833">
                  <c:v>1657.7671756610262</c:v>
                </c:pt>
                <c:pt idx="834">
                  <c:v>1645.0411302038647</c:v>
                </c:pt>
                <c:pt idx="835">
                  <c:v>1632.2574515101091</c:v>
                </c:pt>
                <c:pt idx="836">
                  <c:v>1619.4165444257826</c:v>
                </c:pt>
                <c:pt idx="837">
                  <c:v>1606.5188140861087</c:v>
                </c:pt>
                <c:pt idx="838">
                  <c:v>1593.564665883702</c:v>
                </c:pt>
                <c:pt idx="839">
                  <c:v>1580.5545054369099</c:v>
                </c:pt>
                <c:pt idx="840">
                  <c:v>1567.4887385583115</c:v>
                </c:pt>
                <c:pt idx="841">
                  <c:v>1554.3677712233764</c:v>
                </c:pt>
                <c:pt idx="842">
                  <c:v>1541.1920095392884</c:v>
                </c:pt>
                <c:pt idx="843">
                  <c:v>1527.9618597139374</c:v>
                </c:pt>
                <c:pt idx="844">
                  <c:v>1514.6777280250856</c:v>
                </c:pt>
                <c:pt idx="845">
                  <c:v>1501.3400207897084</c:v>
                </c:pt>
                <c:pt idx="846">
                  <c:v>1487.9491443335178</c:v>
                </c:pt>
                <c:pt idx="847">
                  <c:v>1474.5055049606692</c:v>
                </c:pt>
                <c:pt idx="848">
                  <c:v>1461.0095089236565</c:v>
                </c:pt>
                <c:pt idx="849">
                  <c:v>1447.4615623933996</c:v>
                </c:pt>
                <c:pt idx="850">
                  <c:v>1433.8620714295278</c:v>
                </c:pt>
                <c:pt idx="851">
                  <c:v>1420.2114419508609</c:v>
                </c:pt>
                <c:pt idx="852">
                  <c:v>1406.5100797060954</c:v>
                </c:pt>
                <c:pt idx="853">
                  <c:v>1392.7583902446941</c:v>
                </c:pt>
                <c:pt idx="854">
                  <c:v>1378.9567788879872</c:v>
                </c:pt>
                <c:pt idx="855">
                  <c:v>1365.1056507004857</c:v>
                </c:pt>
                <c:pt idx="856">
                  <c:v>1351.205410461411</c:v>
                </c:pt>
                <c:pt idx="857">
                  <c:v>1337.2564626364428</c:v>
                </c:pt>
                <c:pt idx="858">
                  <c:v>1323.2592113496908</c:v>
                </c:pt>
                <c:pt idx="859">
                  <c:v>1309.2140603558903</c:v>
                </c:pt>
                <c:pt idx="860">
                  <c:v>1295.1214130128276</c:v>
                </c:pt>
                <c:pt idx="861">
                  <c:v>1280.9816722539956</c:v>
                </c:pt>
                <c:pt idx="862">
                  <c:v>1266.795240561484</c:v>
                </c:pt>
                <c:pt idx="863">
                  <c:v>1252.5625199391054</c:v>
                </c:pt>
                <c:pt idx="864">
                  <c:v>1238.2839118857623</c:v>
                </c:pt>
                <c:pt idx="865">
                  <c:v>1223.9598173690551</c:v>
                </c:pt>
                <c:pt idx="866">
                  <c:v>1209.5906367991354</c:v>
                </c:pt>
                <c:pt idx="867">
                  <c:v>1195.1767700028058</c:v>
                </c:pt>
                <c:pt idx="868">
                  <c:v>1180.7186161978696</c:v>
                </c:pt>
                <c:pt idx="869">
                  <c:v>1166.2165739677323</c:v>
                </c:pt>
                <c:pt idx="870">
                  <c:v>1151.6710412362575</c:v>
                </c:pt>
                <c:pt idx="871">
                  <c:v>1137.0824152428777</c:v>
                </c:pt>
                <c:pt idx="872">
                  <c:v>1122.4510925179659</c:v>
                </c:pt>
                <c:pt idx="873">
                  <c:v>1107.7774688584652</c:v>
                </c:pt>
                <c:pt idx="874">
                  <c:v>1093.0619393037819</c:v>
                </c:pt>
                <c:pt idx="875">
                  <c:v>1078.304898111943</c:v>
                </c:pt>
                <c:pt idx="876">
                  <c:v>1063.5067387360195</c:v>
                </c:pt>
                <c:pt idx="877">
                  <c:v>1048.667853800818</c:v>
                </c:pt>
                <c:pt idx="878">
                  <c:v>1033.7886350798401</c:v>
                </c:pt>
                <c:pt idx="879">
                  <c:v>1018.869473472516</c:v>
                </c:pt>
                <c:pt idx="880">
                  <c:v>1003.9107589817079</c:v>
                </c:pt>
                <c:pt idx="881">
                  <c:v>988.91288069148891</c:v>
                </c:pt>
                <c:pt idx="882">
                  <c:v>973.87622674519753</c:v>
                </c:pt>
                <c:pt idx="883">
                  <c:v>958.80118432376821</c:v>
                </c:pt>
                <c:pt idx="884">
                  <c:v>943.68813962434103</c:v>
                </c:pt>
                <c:pt idx="885">
                  <c:v>928.53747783914969</c:v>
                </c:pt>
                <c:pt idx="886">
                  <c:v>913.34958313469053</c:v>
                </c:pt>
                <c:pt idx="887">
                  <c:v>898.12483863117268</c:v>
                </c:pt>
                <c:pt idx="888">
                  <c:v>882.86362638225057</c:v>
                </c:pt>
                <c:pt idx="889">
                  <c:v>867.56632735504036</c:v>
                </c:pt>
                <c:pt idx="890">
                  <c:v>852.23332141041942</c:v>
                </c:pt>
                <c:pt idx="891">
                  <c:v>836.86498728361153</c:v>
                </c:pt>
                <c:pt idx="892">
                  <c:v>821.46170256505764</c:v>
                </c:pt>
                <c:pt idx="893">
                  <c:v>806.02384368157243</c:v>
                </c:pt>
                <c:pt idx="894">
                  <c:v>790.55178587778801</c:v>
                </c:pt>
                <c:pt idx="895">
                  <c:v>775.04590319788451</c:v>
                </c:pt>
                <c:pt idx="896">
                  <c:v>759.50656846760887</c:v>
                </c:pt>
                <c:pt idx="897">
                  <c:v>743.93415327658158</c:v>
                </c:pt>
                <c:pt idx="898">
                  <c:v>728.32902796089138</c:v>
                </c:pt>
                <c:pt idx="899">
                  <c:v>712.69156158597877</c:v>
                </c:pt>
                <c:pt idx="900">
                  <c:v>697.02212192980869</c:v>
                </c:pt>
                <c:pt idx="901">
                  <c:v>681.32107546633131</c:v>
                </c:pt>
                <c:pt idx="902">
                  <c:v>665.58878734923235</c:v>
                </c:pt>
                <c:pt idx="903">
                  <c:v>649.82562139597212</c:v>
                </c:pt>
                <c:pt idx="904">
                  <c:v>634.03194007211289</c:v>
                </c:pt>
                <c:pt idx="905">
                  <c:v>618.20810447593567</c:v>
                </c:pt>
                <c:pt idx="906">
                  <c:v>602.35447432334479</c:v>
                </c:pt>
                <c:pt idx="907">
                  <c:v>586.47140793306107</c:v>
                </c:pt>
                <c:pt idx="908">
                  <c:v>570.55926221210245</c:v>
                </c:pt>
                <c:pt idx="909">
                  <c:v>554.61839264155276</c:v>
                </c:pt>
                <c:pt idx="910">
                  <c:v>538.64915326261632</c:v>
                </c:pt>
                <c:pt idx="911">
                  <c:v>522.65189666296044</c:v>
                </c:pt>
                <c:pt idx="912">
                  <c:v>506.62697396334289</c:v>
                </c:pt>
                <c:pt idx="913">
                  <c:v>490.57473480452506</c:v>
                </c:pt>
                <c:pt idx="914">
                  <c:v>474.49552733446984</c:v>
                </c:pt>
                <c:pt idx="915">
                  <c:v>458.38969819582331</c:v>
                </c:pt>
                <c:pt idx="916">
                  <c:v>442.25759251367981</c:v>
                </c:pt>
                <c:pt idx="917">
                  <c:v>426.09955388362908</c:v>
                </c:pt>
                <c:pt idx="918">
                  <c:v>409.91592436008523</c:v>
                </c:pt>
                <c:pt idx="919">
                  <c:v>393.70704444489593</c:v>
                </c:pt>
                <c:pt idx="920">
                  <c:v>377.47325307623129</c:v>
                </c:pt>
                <c:pt idx="921">
                  <c:v>361.21488761775129</c:v>
                </c:pt>
                <c:pt idx="922">
                  <c:v>344.93228384805059</c:v>
                </c:pt>
                <c:pt idx="923">
                  <c:v>328.6257759503797</c:v>
                </c:pt>
                <c:pt idx="924">
                  <c:v>312.29569650264142</c:v>
                </c:pt>
                <c:pt idx="925">
                  <c:v>295.94237646766089</c:v>
                </c:pt>
                <c:pt idx="926">
                  <c:v>279.56614518372862</c:v>
                </c:pt>
                <c:pt idx="927">
                  <c:v>263.16733035541472</c:v>
                </c:pt>
                <c:pt idx="928">
                  <c:v>246.74625804465305</c:v>
                </c:pt>
                <c:pt idx="929">
                  <c:v>230.30325266209417</c:v>
                </c:pt>
                <c:pt idx="930">
                  <c:v>213.83863695872537</c:v>
                </c:pt>
                <c:pt idx="931">
                  <c:v>197.35273201775627</c:v>
                </c:pt>
                <c:pt idx="932">
                  <c:v>180.84585724676873</c:v>
                </c:pt>
                <c:pt idx="933">
                  <c:v>164.31833037012933</c:v>
                </c:pt>
                <c:pt idx="934">
                  <c:v>147.7704674216628</c:v>
                </c:pt>
                <c:pt idx="935">
                  <c:v>131.20258273758495</c:v>
                </c:pt>
                <c:pt idx="936">
                  <c:v>114.61498894969317</c:v>
                </c:pt>
                <c:pt idx="937">
                  <c:v>98.007996978813054</c:v>
                </c:pt>
                <c:pt idx="938">
                  <c:v>81.381916028499205</c:v>
                </c:pt>
                <c:pt idx="939">
                  <c:v>64.737053578988593</c:v>
                </c:pt>
                <c:pt idx="940">
                  <c:v>48.073715381404583</c:v>
                </c:pt>
                <c:pt idx="941">
                  <c:v>31.392205452209758</c:v>
                </c:pt>
                <c:pt idx="942">
                  <c:v>14.69282606790582</c:v>
                </c:pt>
                <c:pt idx="943">
                  <c:v>-2.0241222400214909</c:v>
                </c:pt>
                <c:pt idx="944">
                  <c:v>-2.0408479064373886</c:v>
                </c:pt>
                <c:pt idx="945">
                  <c:v>-2.0575735899743273</c:v>
                </c:pt>
                <c:pt idx="946">
                  <c:v>-2.0742992906320117</c:v>
                </c:pt>
                <c:pt idx="947">
                  <c:v>-2.0910250084101465</c:v>
                </c:pt>
                <c:pt idx="948">
                  <c:v>-2.1077507433084359</c:v>
                </c:pt>
                <c:pt idx="949">
                  <c:v>-2.1244764953265842</c:v>
                </c:pt>
                <c:pt idx="950">
                  <c:v>-2.1412022644642961</c:v>
                </c:pt>
                <c:pt idx="951">
                  <c:v>-2.1579280507212757</c:v>
                </c:pt>
                <c:pt idx="952">
                  <c:v>-2.1746538540972273</c:v>
                </c:pt>
                <c:pt idx="953">
                  <c:v>-2.1913796745918557</c:v>
                </c:pt>
                <c:pt idx="954">
                  <c:v>-2.208105512204865</c:v>
                </c:pt>
                <c:pt idx="955">
                  <c:v>-2.2248313669359598</c:v>
                </c:pt>
                <c:pt idx="956">
                  <c:v>-2.2415572387848446</c:v>
                </c:pt>
                <c:pt idx="957">
                  <c:v>-2.2582831277512234</c:v>
                </c:pt>
                <c:pt idx="958">
                  <c:v>-2.275009033834801</c:v>
                </c:pt>
                <c:pt idx="959">
                  <c:v>-2.2917349570352816</c:v>
                </c:pt>
                <c:pt idx="960">
                  <c:v>-2.3084608973523699</c:v>
                </c:pt>
                <c:pt idx="961">
                  <c:v>-2.3251868547857701</c:v>
                </c:pt>
                <c:pt idx="962">
                  <c:v>-2.3419128293351865</c:v>
                </c:pt>
                <c:pt idx="963">
                  <c:v>-2.3586388210003237</c:v>
                </c:pt>
                <c:pt idx="964">
                  <c:v>-2.3753648297808865</c:v>
                </c:pt>
                <c:pt idx="965">
                  <c:v>-2.392090855676579</c:v>
                </c:pt>
                <c:pt idx="966">
                  <c:v>-2.4088168986871055</c:v>
                </c:pt>
                <c:pt idx="967">
                  <c:v>-2.4255429588121706</c:v>
                </c:pt>
                <c:pt idx="968">
                  <c:v>-2.4422690360514787</c:v>
                </c:pt>
                <c:pt idx="969">
                  <c:v>-2.4589951304047339</c:v>
                </c:pt>
                <c:pt idx="970">
                  <c:v>-2.475721241871641</c:v>
                </c:pt>
                <c:pt idx="971">
                  <c:v>-2.4924473704519046</c:v>
                </c:pt>
                <c:pt idx="972">
                  <c:v>-2.5091735161452289</c:v>
                </c:pt>
                <c:pt idx="973">
                  <c:v>-2.5258996789513182</c:v>
                </c:pt>
                <c:pt idx="974">
                  <c:v>-2.5426258588698771</c:v>
                </c:pt>
                <c:pt idx="975">
                  <c:v>-2.5593520559006104</c:v>
                </c:pt>
                <c:pt idx="976">
                  <c:v>-2.5760782700432219</c:v>
                </c:pt>
                <c:pt idx="977">
                  <c:v>-2.5928045012974166</c:v>
                </c:pt>
                <c:pt idx="978">
                  <c:v>-2.6095307496628988</c:v>
                </c:pt>
                <c:pt idx="979">
                  <c:v>-2.6262570151393727</c:v>
                </c:pt>
                <c:pt idx="980">
                  <c:v>-2.6429832977265431</c:v>
                </c:pt>
                <c:pt idx="981">
                  <c:v>-2.6597095974241141</c:v>
                </c:pt>
                <c:pt idx="982">
                  <c:v>-2.6764359142317904</c:v>
                </c:pt>
                <c:pt idx="983">
                  <c:v>-2.6931622481492763</c:v>
                </c:pt>
                <c:pt idx="984">
                  <c:v>-2.7098885991762764</c:v>
                </c:pt>
                <c:pt idx="985">
                  <c:v>-2.7266149673124955</c:v>
                </c:pt>
                <c:pt idx="986">
                  <c:v>-2.7433413525576378</c:v>
                </c:pt>
                <c:pt idx="987">
                  <c:v>-2.7600677549114074</c:v>
                </c:pt>
                <c:pt idx="988">
                  <c:v>-2.7767941743735092</c:v>
                </c:pt>
                <c:pt idx="989">
                  <c:v>-2.7935206109436472</c:v>
                </c:pt>
                <c:pt idx="990">
                  <c:v>-2.8102470646215263</c:v>
                </c:pt>
                <c:pt idx="991">
                  <c:v>-2.826973535406851</c:v>
                </c:pt>
                <c:pt idx="992">
                  <c:v>-2.8437000232993257</c:v>
                </c:pt>
                <c:pt idx="993">
                  <c:v>-2.860426528298655</c:v>
                </c:pt>
                <c:pt idx="994">
                  <c:v>-2.8771530504045431</c:v>
                </c:pt>
                <c:pt idx="995">
                  <c:v>-2.8938795896166947</c:v>
                </c:pt>
                <c:pt idx="996">
                  <c:v>-2.910606145934814</c:v>
                </c:pt>
                <c:pt idx="997">
                  <c:v>-2.9273327193586058</c:v>
                </c:pt>
                <c:pt idx="998">
                  <c:v>-2.9440593098877743</c:v>
                </c:pt>
                <c:pt idx="999">
                  <c:v>-2.9607859175220241</c:v>
                </c:pt>
                <c:pt idx="1000">
                  <c:v>-2.97751254226106</c:v>
                </c:pt>
              </c:numCache>
            </c:numRef>
          </c:yVal>
          <c:smooth val="1"/>
          <c:extLst>
            <c:ext xmlns:c16="http://schemas.microsoft.com/office/drawing/2014/chart" uri="{C3380CC4-5D6E-409C-BE32-E72D297353CC}">
              <c16:uniqueId val="{00000002-AEC5-4DB4-900B-02E79FDE56EC}"/>
            </c:ext>
          </c:extLst>
        </c:ser>
        <c:ser>
          <c:idx val="2"/>
          <c:order val="3"/>
          <c:tx>
            <c:strRef>
              <c:f>Trajecto!$B$108</c:f>
              <c:strCache>
                <c:ptCount val="1"/>
                <c:pt idx="0">
                  <c:v>Fusée sous parachute</c:v>
                </c:pt>
              </c:strCache>
            </c:strRef>
          </c:tx>
          <c:spPr>
            <a:ln w="25400">
              <a:solidFill>
                <a:srgbClr val="008000"/>
              </a:solidFill>
              <a:prstDash val="solid"/>
            </a:ln>
          </c:spPr>
          <c:marker>
            <c:symbol val="none"/>
          </c:marker>
          <c:dLbls>
            <c:dLbl>
              <c:idx val="1"/>
              <c:spPr>
                <a:noFill/>
                <a:ln w="25400">
                  <a:noFill/>
                </a:ln>
              </c:spPr>
              <c:txPr>
                <a:bodyPr/>
                <a:lstStyle/>
                <a:p>
                  <a:pPr>
                    <a:defRPr sz="700" b="1" i="0" u="none" strike="noStrike" baseline="0">
                      <a:solidFill>
                        <a:srgbClr val="008000"/>
                      </a:solidFill>
                      <a:latin typeface="Arial"/>
                      <a:ea typeface="Arial"/>
                      <a:cs typeface="Arial"/>
                    </a:defRPr>
                  </a:pPr>
                  <a:endParaRPr lang="fr-FR"/>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AEC5-4DB4-900B-02E79FDE56EC}"/>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Trajecto!$B$131:$B$137</c:f>
              <c:numCache>
                <c:formatCode>0.0</c:formatCode>
                <c:ptCount val="7"/>
                <c:pt idx="0">
                  <c:v>20</c:v>
                </c:pt>
                <c:pt idx="1">
                  <c:v>105.84946113894212</c:v>
                </c:pt>
                <c:pt idx="2">
                  <c:v>191.69892227788424</c:v>
                </c:pt>
                <c:pt idx="3">
                  <c:v>189.74827050075567</c:v>
                </c:pt>
                <c:pt idx="4">
                  <c:v>191.69892227788424</c:v>
                </c:pt>
                <c:pt idx="5">
                  <c:v>184.8182705007556</c:v>
                </c:pt>
                <c:pt idx="6">
                  <c:v>191.69892227788424</c:v>
                </c:pt>
              </c:numCache>
            </c:numRef>
          </c:xVal>
          <c:yVal>
            <c:numRef>
              <c:f>Trajecto!$C$129:$C$135</c:f>
              <c:numCache>
                <c:formatCode>0</c:formatCode>
                <c:ptCount val="7"/>
                <c:pt idx="0">
                  <c:v>2666.5670008206562</c:v>
                </c:pt>
                <c:pt idx="1">
                  <c:v>1333.2835004103281</c:v>
                </c:pt>
                <c:pt idx="2">
                  <c:v>0</c:v>
                </c:pt>
                <c:pt idx="3">
                  <c:v>100.92516969963032</c:v>
                </c:pt>
                <c:pt idx="4">
                  <c:v>0</c:v>
                </c:pt>
                <c:pt idx="5">
                  <c:v>38.490135292982245</c:v>
                </c:pt>
                <c:pt idx="6">
                  <c:v>0</c:v>
                </c:pt>
              </c:numCache>
            </c:numRef>
          </c:yVal>
          <c:smooth val="0"/>
          <c:extLst>
            <c:ext xmlns:c16="http://schemas.microsoft.com/office/drawing/2014/chart" uri="{C3380CC4-5D6E-409C-BE32-E72D297353CC}">
              <c16:uniqueId val="{00000004-AEC5-4DB4-900B-02E79FDE56EC}"/>
            </c:ext>
          </c:extLst>
        </c:ser>
        <c:ser>
          <c:idx val="3"/>
          <c:order val="4"/>
          <c:tx>
            <c:strRef>
              <c:f>Trajecto!$B$109</c:f>
              <c:strCache>
                <c:ptCount val="1"/>
              </c:strCache>
            </c:strRef>
          </c:tx>
          <c:spPr>
            <a:ln w="25400">
              <a:solidFill>
                <a:srgbClr val="FF6600"/>
              </a:solidFill>
              <a:prstDash val="solid"/>
            </a:ln>
          </c:spPr>
          <c:marker>
            <c:symbol val="none"/>
          </c:marker>
          <c:dLbls>
            <c:dLbl>
              <c:idx val="1"/>
              <c:spPr>
                <a:noFill/>
                <a:ln w="25400">
                  <a:noFill/>
                </a:ln>
              </c:spPr>
              <c:txPr>
                <a:bodyPr/>
                <a:lstStyle/>
                <a:p>
                  <a:pPr>
                    <a:defRPr sz="700" b="1" i="0" u="none" strike="noStrike" baseline="0">
                      <a:solidFill>
                        <a:srgbClr val="FF66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AEC5-4DB4-900B-02E79FDE56EC}"/>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Trajecto!$B$148:$B$154</c:f>
              <c:numCache>
                <c:formatCode>0.0</c:formatCode>
                <c:ptCount val="7"/>
                <c:pt idx="0">
                  <c:v>0</c:v>
                </c:pt>
                <c:pt idx="1">
                  <c:v>0</c:v>
                </c:pt>
                <c:pt idx="2">
                  <c:v>0</c:v>
                </c:pt>
                <c:pt idx="3">
                  <c:v>0</c:v>
                </c:pt>
                <c:pt idx="4">
                  <c:v>0</c:v>
                </c:pt>
                <c:pt idx="5">
                  <c:v>0</c:v>
                </c:pt>
                <c:pt idx="6">
                  <c:v>0</c:v>
                </c:pt>
              </c:numCache>
            </c:numRef>
          </c:xVal>
          <c:yVal>
            <c:numRef>
              <c:f>Trajecto!$C$146:$C$152</c:f>
              <c:numCache>
                <c:formatCode>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6-AEC5-4DB4-900B-02E79FDE56EC}"/>
            </c:ext>
          </c:extLst>
        </c:ser>
        <c:ser>
          <c:idx val="5"/>
          <c:order val="5"/>
          <c:tx>
            <c:strRef>
              <c:f>Trajecto!$B$106</c:f>
              <c:strCache>
                <c:ptCount val="1"/>
                <c:pt idx="0">
                  <c:v>Phase ascendante</c:v>
                </c:pt>
              </c:strCache>
            </c:strRef>
          </c:tx>
          <c:spPr>
            <a:ln w="25400">
              <a:solidFill>
                <a:srgbClr val="00008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2.0100000000000011</c:v>
                </c:pt>
                <c:pt idx="202">
                  <c:v>2.0200000000000009</c:v>
                </c:pt>
                <c:pt idx="203">
                  <c:v>2.0300000000000007</c:v>
                </c:pt>
                <c:pt idx="204">
                  <c:v>2.0400000000000005</c:v>
                </c:pt>
                <c:pt idx="205">
                  <c:v>2.0500000000000003</c:v>
                </c:pt>
                <c:pt idx="206">
                  <c:v>2.06</c:v>
                </c:pt>
                <c:pt idx="207">
                  <c:v>2.0699999999999998</c:v>
                </c:pt>
                <c:pt idx="208">
                  <c:v>2.0799999999999996</c:v>
                </c:pt>
                <c:pt idx="209">
                  <c:v>2.0899999999999994</c:v>
                </c:pt>
                <c:pt idx="210">
                  <c:v>2.0999999999999992</c:v>
                </c:pt>
                <c:pt idx="211">
                  <c:v>2.109999999999999</c:v>
                </c:pt>
                <c:pt idx="212">
                  <c:v>2.1199999999999988</c:v>
                </c:pt>
                <c:pt idx="213">
                  <c:v>2.1299999999999986</c:v>
                </c:pt>
                <c:pt idx="214">
                  <c:v>2.1399999999999983</c:v>
                </c:pt>
                <c:pt idx="215">
                  <c:v>2.1499999999999981</c:v>
                </c:pt>
                <c:pt idx="216">
                  <c:v>2.1599999999999979</c:v>
                </c:pt>
                <c:pt idx="217">
                  <c:v>2.1699999999999977</c:v>
                </c:pt>
                <c:pt idx="218">
                  <c:v>2.1799999999999975</c:v>
                </c:pt>
                <c:pt idx="219">
                  <c:v>2.1899999999999973</c:v>
                </c:pt>
                <c:pt idx="220">
                  <c:v>2.1999999999999971</c:v>
                </c:pt>
                <c:pt idx="221">
                  <c:v>2.2099999999999969</c:v>
                </c:pt>
                <c:pt idx="222">
                  <c:v>2.2199999999999966</c:v>
                </c:pt>
                <c:pt idx="223">
                  <c:v>2.2299999999999964</c:v>
                </c:pt>
                <c:pt idx="224">
                  <c:v>2.2399999999999962</c:v>
                </c:pt>
                <c:pt idx="225">
                  <c:v>2.249999999999996</c:v>
                </c:pt>
                <c:pt idx="226">
                  <c:v>2.2599999999999958</c:v>
                </c:pt>
                <c:pt idx="227">
                  <c:v>2.2699999999999956</c:v>
                </c:pt>
                <c:pt idx="228">
                  <c:v>2.2799999999999954</c:v>
                </c:pt>
                <c:pt idx="229">
                  <c:v>2.2899999999999952</c:v>
                </c:pt>
                <c:pt idx="230">
                  <c:v>2.2999999999999949</c:v>
                </c:pt>
                <c:pt idx="231">
                  <c:v>2.3099999999999947</c:v>
                </c:pt>
                <c:pt idx="232">
                  <c:v>2.3199999999999945</c:v>
                </c:pt>
                <c:pt idx="233">
                  <c:v>2.3299999999999943</c:v>
                </c:pt>
                <c:pt idx="234">
                  <c:v>2.3399999999999941</c:v>
                </c:pt>
                <c:pt idx="235">
                  <c:v>2.3499999999999939</c:v>
                </c:pt>
                <c:pt idx="236">
                  <c:v>2.3599999999999937</c:v>
                </c:pt>
                <c:pt idx="237">
                  <c:v>2.3699999999999934</c:v>
                </c:pt>
                <c:pt idx="238">
                  <c:v>2.3799999999999932</c:v>
                </c:pt>
                <c:pt idx="239">
                  <c:v>2.389999999999993</c:v>
                </c:pt>
                <c:pt idx="240">
                  <c:v>2.3999999999999928</c:v>
                </c:pt>
                <c:pt idx="241">
                  <c:v>2.4099999999999926</c:v>
                </c:pt>
                <c:pt idx="242">
                  <c:v>2.4199999999999924</c:v>
                </c:pt>
                <c:pt idx="243">
                  <c:v>2.4299999999999922</c:v>
                </c:pt>
                <c:pt idx="244">
                  <c:v>2.439999999999992</c:v>
                </c:pt>
                <c:pt idx="245">
                  <c:v>2.4499999999999917</c:v>
                </c:pt>
                <c:pt idx="246">
                  <c:v>2.4599999999999915</c:v>
                </c:pt>
                <c:pt idx="247">
                  <c:v>2.4699999999999913</c:v>
                </c:pt>
                <c:pt idx="248">
                  <c:v>2.4799999999999911</c:v>
                </c:pt>
                <c:pt idx="249">
                  <c:v>2.4899999999999909</c:v>
                </c:pt>
                <c:pt idx="250">
                  <c:v>2.4999999999999907</c:v>
                </c:pt>
                <c:pt idx="251">
                  <c:v>2.5099999999999905</c:v>
                </c:pt>
                <c:pt idx="252">
                  <c:v>2.5199999999999902</c:v>
                </c:pt>
                <c:pt idx="253">
                  <c:v>2.52999999999999</c:v>
                </c:pt>
                <c:pt idx="254">
                  <c:v>2.5399999999999898</c:v>
                </c:pt>
                <c:pt idx="255">
                  <c:v>2.5499999999999896</c:v>
                </c:pt>
                <c:pt idx="256">
                  <c:v>2.5599999999999894</c:v>
                </c:pt>
                <c:pt idx="257">
                  <c:v>2.5699999999999892</c:v>
                </c:pt>
                <c:pt idx="258">
                  <c:v>2.579999999999989</c:v>
                </c:pt>
                <c:pt idx="259">
                  <c:v>2.5899999999999888</c:v>
                </c:pt>
                <c:pt idx="260">
                  <c:v>2.5999999999999885</c:v>
                </c:pt>
                <c:pt idx="261">
                  <c:v>2.6099999999999883</c:v>
                </c:pt>
                <c:pt idx="262">
                  <c:v>2.6199999999999881</c:v>
                </c:pt>
                <c:pt idx="263">
                  <c:v>2.6299999999999879</c:v>
                </c:pt>
                <c:pt idx="264">
                  <c:v>2.6399999999999877</c:v>
                </c:pt>
                <c:pt idx="265">
                  <c:v>2.6499999999999875</c:v>
                </c:pt>
                <c:pt idx="266">
                  <c:v>2.6599999999999873</c:v>
                </c:pt>
                <c:pt idx="267">
                  <c:v>2.6699999999999871</c:v>
                </c:pt>
                <c:pt idx="268">
                  <c:v>2.6799999999999868</c:v>
                </c:pt>
                <c:pt idx="269">
                  <c:v>2.6899999999999866</c:v>
                </c:pt>
                <c:pt idx="270">
                  <c:v>2.6999999999999864</c:v>
                </c:pt>
                <c:pt idx="271">
                  <c:v>2.7099999999999862</c:v>
                </c:pt>
                <c:pt idx="272">
                  <c:v>2.719999999999986</c:v>
                </c:pt>
                <c:pt idx="273">
                  <c:v>2.7299999999999858</c:v>
                </c:pt>
                <c:pt idx="274">
                  <c:v>2.7399999999999856</c:v>
                </c:pt>
                <c:pt idx="275">
                  <c:v>2.7499999999999853</c:v>
                </c:pt>
                <c:pt idx="276">
                  <c:v>2.7599999999999851</c:v>
                </c:pt>
                <c:pt idx="277">
                  <c:v>2.7699999999999849</c:v>
                </c:pt>
                <c:pt idx="278">
                  <c:v>2.7799999999999847</c:v>
                </c:pt>
                <c:pt idx="279">
                  <c:v>2.7899999999999845</c:v>
                </c:pt>
                <c:pt idx="280">
                  <c:v>2.7999999999999843</c:v>
                </c:pt>
                <c:pt idx="281">
                  <c:v>2.8099999999999841</c:v>
                </c:pt>
                <c:pt idx="282">
                  <c:v>2.8199999999999839</c:v>
                </c:pt>
                <c:pt idx="283">
                  <c:v>2.8299999999999836</c:v>
                </c:pt>
                <c:pt idx="284">
                  <c:v>2.8399999999999834</c:v>
                </c:pt>
                <c:pt idx="285">
                  <c:v>2.8499999999999832</c:v>
                </c:pt>
                <c:pt idx="286">
                  <c:v>2.859999999999983</c:v>
                </c:pt>
                <c:pt idx="287">
                  <c:v>2.8699999999999828</c:v>
                </c:pt>
                <c:pt idx="288">
                  <c:v>2.8799999999999826</c:v>
                </c:pt>
                <c:pt idx="289">
                  <c:v>2.8899999999999824</c:v>
                </c:pt>
                <c:pt idx="290">
                  <c:v>2.8999999999999821</c:v>
                </c:pt>
                <c:pt idx="291">
                  <c:v>2.9099999999999819</c:v>
                </c:pt>
                <c:pt idx="292">
                  <c:v>2.9199999999999817</c:v>
                </c:pt>
                <c:pt idx="293">
                  <c:v>2.9299999999999815</c:v>
                </c:pt>
                <c:pt idx="294">
                  <c:v>2.9399999999999813</c:v>
                </c:pt>
                <c:pt idx="295">
                  <c:v>2.9499999999999811</c:v>
                </c:pt>
                <c:pt idx="296">
                  <c:v>2.9599999999999809</c:v>
                </c:pt>
                <c:pt idx="297">
                  <c:v>2.9699999999999807</c:v>
                </c:pt>
                <c:pt idx="298">
                  <c:v>2.9799999999999804</c:v>
                </c:pt>
                <c:pt idx="299">
                  <c:v>2.9899999999999802</c:v>
                </c:pt>
                <c:pt idx="300">
                  <c:v>2.99999999999998</c:v>
                </c:pt>
                <c:pt idx="301">
                  <c:v>3.0099999999999798</c:v>
                </c:pt>
                <c:pt idx="302">
                  <c:v>3.0199999999999796</c:v>
                </c:pt>
                <c:pt idx="303">
                  <c:v>3.0299999999999794</c:v>
                </c:pt>
                <c:pt idx="304">
                  <c:v>3.0399999999999792</c:v>
                </c:pt>
                <c:pt idx="305">
                  <c:v>3.049999999999979</c:v>
                </c:pt>
                <c:pt idx="306">
                  <c:v>3.0599999999999787</c:v>
                </c:pt>
                <c:pt idx="307">
                  <c:v>3.0699999999999785</c:v>
                </c:pt>
                <c:pt idx="308">
                  <c:v>3.0799999999999783</c:v>
                </c:pt>
                <c:pt idx="309">
                  <c:v>3.0899999999999781</c:v>
                </c:pt>
                <c:pt idx="310">
                  <c:v>3.0999999999999779</c:v>
                </c:pt>
                <c:pt idx="311">
                  <c:v>3.1099999999999777</c:v>
                </c:pt>
                <c:pt idx="312">
                  <c:v>3.1199999999999775</c:v>
                </c:pt>
                <c:pt idx="313">
                  <c:v>3.1299999999999772</c:v>
                </c:pt>
                <c:pt idx="314">
                  <c:v>3.139999999999977</c:v>
                </c:pt>
                <c:pt idx="315">
                  <c:v>3.1499999999999768</c:v>
                </c:pt>
                <c:pt idx="316">
                  <c:v>3.1599999999999766</c:v>
                </c:pt>
                <c:pt idx="317">
                  <c:v>3.1699999999999764</c:v>
                </c:pt>
                <c:pt idx="318">
                  <c:v>3.1799999999999762</c:v>
                </c:pt>
                <c:pt idx="319">
                  <c:v>3.189999999999976</c:v>
                </c:pt>
                <c:pt idx="320">
                  <c:v>3.1999999999999758</c:v>
                </c:pt>
                <c:pt idx="321">
                  <c:v>3.2099999999999755</c:v>
                </c:pt>
                <c:pt idx="322">
                  <c:v>3.2199999999999753</c:v>
                </c:pt>
                <c:pt idx="323">
                  <c:v>3.2299999999999751</c:v>
                </c:pt>
                <c:pt idx="324">
                  <c:v>3.2399999999999749</c:v>
                </c:pt>
                <c:pt idx="325">
                  <c:v>3.2499999999999747</c:v>
                </c:pt>
                <c:pt idx="326">
                  <c:v>3.2599999999999745</c:v>
                </c:pt>
                <c:pt idx="327">
                  <c:v>3.2699999999999743</c:v>
                </c:pt>
                <c:pt idx="328">
                  <c:v>3.279999999999974</c:v>
                </c:pt>
                <c:pt idx="329">
                  <c:v>3.2899999999999738</c:v>
                </c:pt>
                <c:pt idx="330">
                  <c:v>3.2999999999999736</c:v>
                </c:pt>
                <c:pt idx="331">
                  <c:v>3.3099999999999734</c:v>
                </c:pt>
                <c:pt idx="332">
                  <c:v>3.3199999999999732</c:v>
                </c:pt>
                <c:pt idx="333">
                  <c:v>3.329999999999973</c:v>
                </c:pt>
                <c:pt idx="334">
                  <c:v>3.3399999999999728</c:v>
                </c:pt>
                <c:pt idx="335">
                  <c:v>3.3499999999999726</c:v>
                </c:pt>
                <c:pt idx="336">
                  <c:v>3.3599999999999723</c:v>
                </c:pt>
                <c:pt idx="337">
                  <c:v>3.3699999999999721</c:v>
                </c:pt>
                <c:pt idx="338">
                  <c:v>3.3799999999999719</c:v>
                </c:pt>
                <c:pt idx="339">
                  <c:v>3.3899999999999717</c:v>
                </c:pt>
                <c:pt idx="340">
                  <c:v>3.3999999999999715</c:v>
                </c:pt>
                <c:pt idx="341">
                  <c:v>3.4099999999999713</c:v>
                </c:pt>
                <c:pt idx="342">
                  <c:v>3.4199999999999711</c:v>
                </c:pt>
                <c:pt idx="343">
                  <c:v>3.4299999999999708</c:v>
                </c:pt>
                <c:pt idx="344">
                  <c:v>3.4399999999999706</c:v>
                </c:pt>
                <c:pt idx="345">
                  <c:v>3.4499999999999704</c:v>
                </c:pt>
                <c:pt idx="346">
                  <c:v>3.4599999999999702</c:v>
                </c:pt>
                <c:pt idx="347">
                  <c:v>3.46999999999997</c:v>
                </c:pt>
                <c:pt idx="348">
                  <c:v>3.4799999999999698</c:v>
                </c:pt>
                <c:pt idx="349">
                  <c:v>3.4899999999999696</c:v>
                </c:pt>
                <c:pt idx="350">
                  <c:v>3.4999999999999694</c:v>
                </c:pt>
                <c:pt idx="351">
                  <c:v>3.5099999999999691</c:v>
                </c:pt>
                <c:pt idx="352">
                  <c:v>3.5199999999999689</c:v>
                </c:pt>
                <c:pt idx="353">
                  <c:v>3.5299999999999687</c:v>
                </c:pt>
                <c:pt idx="354">
                  <c:v>3.5399999999999685</c:v>
                </c:pt>
                <c:pt idx="355">
                  <c:v>3.5499999999999683</c:v>
                </c:pt>
                <c:pt idx="356">
                  <c:v>3.5599999999999681</c:v>
                </c:pt>
                <c:pt idx="357">
                  <c:v>3.5699999999999679</c:v>
                </c:pt>
                <c:pt idx="358">
                  <c:v>3.5799999999999677</c:v>
                </c:pt>
                <c:pt idx="359">
                  <c:v>3.5899999999999674</c:v>
                </c:pt>
                <c:pt idx="360">
                  <c:v>3.5999999999999672</c:v>
                </c:pt>
                <c:pt idx="361">
                  <c:v>3.609999999999967</c:v>
                </c:pt>
                <c:pt idx="362">
                  <c:v>3.6199999999999668</c:v>
                </c:pt>
                <c:pt idx="363">
                  <c:v>3.6299999999999666</c:v>
                </c:pt>
                <c:pt idx="364">
                  <c:v>3.6399999999999664</c:v>
                </c:pt>
                <c:pt idx="365">
                  <c:v>3.6499999999999662</c:v>
                </c:pt>
                <c:pt idx="366">
                  <c:v>3.6599999999999659</c:v>
                </c:pt>
                <c:pt idx="367">
                  <c:v>3.6699999999999657</c:v>
                </c:pt>
                <c:pt idx="368">
                  <c:v>3.6799999999999655</c:v>
                </c:pt>
                <c:pt idx="369">
                  <c:v>3.6899999999999653</c:v>
                </c:pt>
                <c:pt idx="370">
                  <c:v>3.6999999999999651</c:v>
                </c:pt>
                <c:pt idx="371">
                  <c:v>3.7099999999999649</c:v>
                </c:pt>
                <c:pt idx="372">
                  <c:v>3.7199999999999647</c:v>
                </c:pt>
                <c:pt idx="373">
                  <c:v>3.7299999999999645</c:v>
                </c:pt>
                <c:pt idx="374">
                  <c:v>3.7399999999999642</c:v>
                </c:pt>
                <c:pt idx="375">
                  <c:v>3.749999999999964</c:v>
                </c:pt>
                <c:pt idx="376">
                  <c:v>3.7599999999999638</c:v>
                </c:pt>
                <c:pt idx="377">
                  <c:v>3.7699999999999636</c:v>
                </c:pt>
                <c:pt idx="378">
                  <c:v>3.7799999999999634</c:v>
                </c:pt>
                <c:pt idx="379">
                  <c:v>3.7899999999999632</c:v>
                </c:pt>
                <c:pt idx="380">
                  <c:v>3.799999999999963</c:v>
                </c:pt>
                <c:pt idx="381">
                  <c:v>3.8099999999999627</c:v>
                </c:pt>
                <c:pt idx="382">
                  <c:v>3.8199999999999625</c:v>
                </c:pt>
                <c:pt idx="383">
                  <c:v>3.8299999999999623</c:v>
                </c:pt>
                <c:pt idx="384">
                  <c:v>3.8399999999999621</c:v>
                </c:pt>
                <c:pt idx="385">
                  <c:v>3.8499999999999619</c:v>
                </c:pt>
                <c:pt idx="386">
                  <c:v>3.8599999999999617</c:v>
                </c:pt>
                <c:pt idx="387">
                  <c:v>3.8699999999999615</c:v>
                </c:pt>
                <c:pt idx="388">
                  <c:v>3.8799999999999613</c:v>
                </c:pt>
                <c:pt idx="389">
                  <c:v>3.889999999999961</c:v>
                </c:pt>
                <c:pt idx="390">
                  <c:v>3.8999999999999608</c:v>
                </c:pt>
                <c:pt idx="391">
                  <c:v>3.9099999999999606</c:v>
                </c:pt>
                <c:pt idx="392">
                  <c:v>3.9199999999999604</c:v>
                </c:pt>
                <c:pt idx="393">
                  <c:v>3.9299999999999602</c:v>
                </c:pt>
                <c:pt idx="394">
                  <c:v>3.93999999999996</c:v>
                </c:pt>
                <c:pt idx="395">
                  <c:v>3.9499999999999598</c:v>
                </c:pt>
                <c:pt idx="396">
                  <c:v>3.9599999999999596</c:v>
                </c:pt>
                <c:pt idx="397">
                  <c:v>3.9699999999999593</c:v>
                </c:pt>
                <c:pt idx="398">
                  <c:v>3.9799999999999591</c:v>
                </c:pt>
                <c:pt idx="399">
                  <c:v>3.9899999999999589</c:v>
                </c:pt>
                <c:pt idx="400">
                  <c:v>3.9999999999999587</c:v>
                </c:pt>
                <c:pt idx="401">
                  <c:v>4.0099999999999589</c:v>
                </c:pt>
                <c:pt idx="402">
                  <c:v>4.0199999999999587</c:v>
                </c:pt>
                <c:pt idx="403">
                  <c:v>4.0299999999999585</c:v>
                </c:pt>
                <c:pt idx="404">
                  <c:v>4.0399999999999583</c:v>
                </c:pt>
                <c:pt idx="405">
                  <c:v>4.0499999999999581</c:v>
                </c:pt>
                <c:pt idx="406">
                  <c:v>4.0599999999999579</c:v>
                </c:pt>
                <c:pt idx="407">
                  <c:v>4.0699999999999577</c:v>
                </c:pt>
                <c:pt idx="408">
                  <c:v>4.0799999999999574</c:v>
                </c:pt>
                <c:pt idx="409">
                  <c:v>4.0899999999999572</c:v>
                </c:pt>
                <c:pt idx="410">
                  <c:v>4.099999999999957</c:v>
                </c:pt>
                <c:pt idx="411">
                  <c:v>4.1099999999999568</c:v>
                </c:pt>
                <c:pt idx="412">
                  <c:v>4.1199999999999566</c:v>
                </c:pt>
                <c:pt idx="413">
                  <c:v>4.1299999999999564</c:v>
                </c:pt>
                <c:pt idx="414">
                  <c:v>4.1399999999999562</c:v>
                </c:pt>
                <c:pt idx="415">
                  <c:v>4.1499999999999559</c:v>
                </c:pt>
                <c:pt idx="416">
                  <c:v>4.1599999999999557</c:v>
                </c:pt>
                <c:pt idx="417">
                  <c:v>4.1699999999999555</c:v>
                </c:pt>
                <c:pt idx="418">
                  <c:v>4.1799999999999553</c:v>
                </c:pt>
                <c:pt idx="419">
                  <c:v>4.1899999999999551</c:v>
                </c:pt>
                <c:pt idx="420">
                  <c:v>4.1999999999999549</c:v>
                </c:pt>
                <c:pt idx="421">
                  <c:v>4.2099999999999547</c:v>
                </c:pt>
                <c:pt idx="422">
                  <c:v>4.2199999999999545</c:v>
                </c:pt>
                <c:pt idx="423">
                  <c:v>4.2299999999999542</c:v>
                </c:pt>
                <c:pt idx="424">
                  <c:v>4.239999999999954</c:v>
                </c:pt>
                <c:pt idx="425">
                  <c:v>4.2499999999999538</c:v>
                </c:pt>
                <c:pt idx="426">
                  <c:v>4.2599999999999536</c:v>
                </c:pt>
                <c:pt idx="427">
                  <c:v>4.2699999999999534</c:v>
                </c:pt>
                <c:pt idx="428">
                  <c:v>4.2799999999999532</c:v>
                </c:pt>
                <c:pt idx="429">
                  <c:v>4.289999999999953</c:v>
                </c:pt>
                <c:pt idx="430">
                  <c:v>4.2999999999999527</c:v>
                </c:pt>
                <c:pt idx="431">
                  <c:v>4.3099999999999525</c:v>
                </c:pt>
                <c:pt idx="432">
                  <c:v>4.3199999999999523</c:v>
                </c:pt>
                <c:pt idx="433">
                  <c:v>4.3299999999999521</c:v>
                </c:pt>
                <c:pt idx="434">
                  <c:v>4.3399999999999519</c:v>
                </c:pt>
                <c:pt idx="435">
                  <c:v>4.3499999999999517</c:v>
                </c:pt>
                <c:pt idx="436">
                  <c:v>4.3599999999999515</c:v>
                </c:pt>
                <c:pt idx="437">
                  <c:v>4.3699999999999513</c:v>
                </c:pt>
                <c:pt idx="438">
                  <c:v>4.379999999999951</c:v>
                </c:pt>
                <c:pt idx="439">
                  <c:v>4.3899999999999508</c:v>
                </c:pt>
                <c:pt idx="440">
                  <c:v>4.3999999999999506</c:v>
                </c:pt>
                <c:pt idx="441">
                  <c:v>4.4099999999999504</c:v>
                </c:pt>
                <c:pt idx="442">
                  <c:v>4.4199999999999502</c:v>
                </c:pt>
                <c:pt idx="443">
                  <c:v>4.42999999999995</c:v>
                </c:pt>
                <c:pt idx="444">
                  <c:v>4.4399999999999498</c:v>
                </c:pt>
                <c:pt idx="445">
                  <c:v>4.4499999999999496</c:v>
                </c:pt>
                <c:pt idx="446">
                  <c:v>4.4599999999999493</c:v>
                </c:pt>
                <c:pt idx="447">
                  <c:v>4.4699999999999491</c:v>
                </c:pt>
                <c:pt idx="448">
                  <c:v>4.4799999999999489</c:v>
                </c:pt>
                <c:pt idx="449">
                  <c:v>4.4899999999999487</c:v>
                </c:pt>
                <c:pt idx="450">
                  <c:v>4.4999999999999485</c:v>
                </c:pt>
                <c:pt idx="451">
                  <c:v>4.5099999999999483</c:v>
                </c:pt>
                <c:pt idx="452">
                  <c:v>4.5199999999999481</c:v>
                </c:pt>
                <c:pt idx="453">
                  <c:v>4.5299999999999478</c:v>
                </c:pt>
                <c:pt idx="454">
                  <c:v>4.5399999999999476</c:v>
                </c:pt>
                <c:pt idx="455">
                  <c:v>4.5499999999999474</c:v>
                </c:pt>
                <c:pt idx="456">
                  <c:v>4.5599999999999472</c:v>
                </c:pt>
                <c:pt idx="457">
                  <c:v>4.569999999999947</c:v>
                </c:pt>
                <c:pt idx="458">
                  <c:v>4.5799999999999468</c:v>
                </c:pt>
                <c:pt idx="459">
                  <c:v>4.5899999999999466</c:v>
                </c:pt>
                <c:pt idx="460">
                  <c:v>4.5999999999999464</c:v>
                </c:pt>
                <c:pt idx="461">
                  <c:v>4.6099999999999461</c:v>
                </c:pt>
                <c:pt idx="462">
                  <c:v>4.6199999999999459</c:v>
                </c:pt>
                <c:pt idx="463">
                  <c:v>4.6299999999999457</c:v>
                </c:pt>
                <c:pt idx="464">
                  <c:v>4.6399999999999455</c:v>
                </c:pt>
                <c:pt idx="465">
                  <c:v>4.6499999999999453</c:v>
                </c:pt>
                <c:pt idx="466">
                  <c:v>4.6599999999999451</c:v>
                </c:pt>
                <c:pt idx="467">
                  <c:v>4.6699999999999449</c:v>
                </c:pt>
                <c:pt idx="468">
                  <c:v>4.6799999999999446</c:v>
                </c:pt>
                <c:pt idx="469">
                  <c:v>4.6899999999999444</c:v>
                </c:pt>
                <c:pt idx="470">
                  <c:v>4.6999999999999442</c:v>
                </c:pt>
                <c:pt idx="471">
                  <c:v>4.709999999999944</c:v>
                </c:pt>
                <c:pt idx="472">
                  <c:v>4.7199999999999438</c:v>
                </c:pt>
                <c:pt idx="473">
                  <c:v>4.7299999999999436</c:v>
                </c:pt>
                <c:pt idx="474">
                  <c:v>4.7399999999999434</c:v>
                </c:pt>
                <c:pt idx="475">
                  <c:v>4.7499999999999432</c:v>
                </c:pt>
                <c:pt idx="476">
                  <c:v>4.7599999999999429</c:v>
                </c:pt>
                <c:pt idx="477">
                  <c:v>4.7699999999999427</c:v>
                </c:pt>
                <c:pt idx="478">
                  <c:v>4.7799999999999425</c:v>
                </c:pt>
                <c:pt idx="479">
                  <c:v>4.7899999999999423</c:v>
                </c:pt>
                <c:pt idx="480">
                  <c:v>4.7999999999999421</c:v>
                </c:pt>
                <c:pt idx="481">
                  <c:v>4.8099999999999419</c:v>
                </c:pt>
                <c:pt idx="482">
                  <c:v>4.8199999999999417</c:v>
                </c:pt>
                <c:pt idx="483">
                  <c:v>4.8299999999999415</c:v>
                </c:pt>
                <c:pt idx="484">
                  <c:v>4.8399999999999412</c:v>
                </c:pt>
                <c:pt idx="485">
                  <c:v>4.849999999999941</c:v>
                </c:pt>
                <c:pt idx="486">
                  <c:v>4.8599999999999408</c:v>
                </c:pt>
                <c:pt idx="487">
                  <c:v>4.8699999999999406</c:v>
                </c:pt>
                <c:pt idx="488">
                  <c:v>4.8799999999999404</c:v>
                </c:pt>
                <c:pt idx="489">
                  <c:v>4.8899999999999402</c:v>
                </c:pt>
                <c:pt idx="490">
                  <c:v>4.89999999999994</c:v>
                </c:pt>
                <c:pt idx="491">
                  <c:v>4.9099999999999397</c:v>
                </c:pt>
                <c:pt idx="492">
                  <c:v>4.9199999999999395</c:v>
                </c:pt>
                <c:pt idx="493">
                  <c:v>4.9299999999999393</c:v>
                </c:pt>
                <c:pt idx="494">
                  <c:v>4.9399999999999391</c:v>
                </c:pt>
                <c:pt idx="495">
                  <c:v>4.9499999999999389</c:v>
                </c:pt>
                <c:pt idx="496">
                  <c:v>4.9599999999999387</c:v>
                </c:pt>
                <c:pt idx="497">
                  <c:v>4.9699999999999385</c:v>
                </c:pt>
                <c:pt idx="498">
                  <c:v>4.9799999999999383</c:v>
                </c:pt>
                <c:pt idx="499">
                  <c:v>4.989999999999938</c:v>
                </c:pt>
                <c:pt idx="500">
                  <c:v>4.9999999999999378</c:v>
                </c:pt>
                <c:pt idx="501">
                  <c:v>5.0999999999999375</c:v>
                </c:pt>
                <c:pt idx="502">
                  <c:v>5.1999999999999371</c:v>
                </c:pt>
                <c:pt idx="503">
                  <c:v>5.2999999999999368</c:v>
                </c:pt>
                <c:pt idx="504">
                  <c:v>5.3999999999999364</c:v>
                </c:pt>
                <c:pt idx="505">
                  <c:v>5.4999999999999361</c:v>
                </c:pt>
                <c:pt idx="506">
                  <c:v>5.5999999999999357</c:v>
                </c:pt>
                <c:pt idx="507">
                  <c:v>5.6999999999999353</c:v>
                </c:pt>
                <c:pt idx="508">
                  <c:v>5.799999999999935</c:v>
                </c:pt>
                <c:pt idx="509">
                  <c:v>5.8999999999999346</c:v>
                </c:pt>
                <c:pt idx="510">
                  <c:v>5.9999999999999343</c:v>
                </c:pt>
                <c:pt idx="511">
                  <c:v>6.0999999999999339</c:v>
                </c:pt>
                <c:pt idx="512">
                  <c:v>6.1999999999999336</c:v>
                </c:pt>
                <c:pt idx="513">
                  <c:v>6.2999999999999332</c:v>
                </c:pt>
                <c:pt idx="514">
                  <c:v>6.3999999999999329</c:v>
                </c:pt>
                <c:pt idx="515">
                  <c:v>6.4999999999999325</c:v>
                </c:pt>
                <c:pt idx="516">
                  <c:v>6.5999999999999321</c:v>
                </c:pt>
                <c:pt idx="517">
                  <c:v>6.6999999999999318</c:v>
                </c:pt>
                <c:pt idx="518">
                  <c:v>6.7999999999999314</c:v>
                </c:pt>
                <c:pt idx="519">
                  <c:v>6.8999999999999311</c:v>
                </c:pt>
                <c:pt idx="520">
                  <c:v>6.9999999999999307</c:v>
                </c:pt>
                <c:pt idx="521">
                  <c:v>7.0999999999999304</c:v>
                </c:pt>
                <c:pt idx="522">
                  <c:v>7.19999999999993</c:v>
                </c:pt>
                <c:pt idx="523">
                  <c:v>7.2999999999999297</c:v>
                </c:pt>
                <c:pt idx="524">
                  <c:v>7.3999999999999293</c:v>
                </c:pt>
                <c:pt idx="525">
                  <c:v>7.4999999999999289</c:v>
                </c:pt>
                <c:pt idx="526">
                  <c:v>7.5999999999999286</c:v>
                </c:pt>
                <c:pt idx="527">
                  <c:v>7.6999999999999282</c:v>
                </c:pt>
                <c:pt idx="528">
                  <c:v>7.7999999999999279</c:v>
                </c:pt>
                <c:pt idx="529">
                  <c:v>7.8999999999999275</c:v>
                </c:pt>
                <c:pt idx="530">
                  <c:v>7.9999999999999272</c:v>
                </c:pt>
                <c:pt idx="531">
                  <c:v>8.0999999999999268</c:v>
                </c:pt>
                <c:pt idx="532">
                  <c:v>8.1999999999999265</c:v>
                </c:pt>
                <c:pt idx="533">
                  <c:v>8.2999999999999261</c:v>
                </c:pt>
                <c:pt idx="534">
                  <c:v>8.3999999999999257</c:v>
                </c:pt>
                <c:pt idx="535">
                  <c:v>8.4999999999999254</c:v>
                </c:pt>
                <c:pt idx="536">
                  <c:v>8.599999999999925</c:v>
                </c:pt>
                <c:pt idx="537">
                  <c:v>8.6999999999999247</c:v>
                </c:pt>
                <c:pt idx="538">
                  <c:v>8.7999999999999243</c:v>
                </c:pt>
                <c:pt idx="539">
                  <c:v>8.899999999999924</c:v>
                </c:pt>
                <c:pt idx="540">
                  <c:v>8.9999999999999236</c:v>
                </c:pt>
                <c:pt idx="541">
                  <c:v>9.0999999999999233</c:v>
                </c:pt>
                <c:pt idx="542">
                  <c:v>9.1999999999999229</c:v>
                </c:pt>
                <c:pt idx="543">
                  <c:v>9.2999999999999226</c:v>
                </c:pt>
                <c:pt idx="544">
                  <c:v>9.3999999999999222</c:v>
                </c:pt>
                <c:pt idx="545">
                  <c:v>9.4999999999999218</c:v>
                </c:pt>
                <c:pt idx="546">
                  <c:v>9.5999999999999215</c:v>
                </c:pt>
                <c:pt idx="547">
                  <c:v>9.6999999999999211</c:v>
                </c:pt>
                <c:pt idx="548">
                  <c:v>9.7999999999999208</c:v>
                </c:pt>
                <c:pt idx="549">
                  <c:v>9.8999999999999204</c:v>
                </c:pt>
                <c:pt idx="550">
                  <c:v>9.9999999999999201</c:v>
                </c:pt>
                <c:pt idx="551">
                  <c:v>10.09999999999992</c:v>
                </c:pt>
                <c:pt idx="552">
                  <c:v>10.199999999999919</c:v>
                </c:pt>
                <c:pt idx="553">
                  <c:v>10.299999999999919</c:v>
                </c:pt>
                <c:pt idx="554">
                  <c:v>10.399999999999919</c:v>
                </c:pt>
                <c:pt idx="555">
                  <c:v>10.499999999999918</c:v>
                </c:pt>
                <c:pt idx="556">
                  <c:v>10.599999999999918</c:v>
                </c:pt>
                <c:pt idx="557">
                  <c:v>10.699999999999918</c:v>
                </c:pt>
                <c:pt idx="558">
                  <c:v>10.799999999999917</c:v>
                </c:pt>
                <c:pt idx="559">
                  <c:v>10.899999999999917</c:v>
                </c:pt>
                <c:pt idx="560">
                  <c:v>10.999999999999917</c:v>
                </c:pt>
                <c:pt idx="561">
                  <c:v>11.099999999999916</c:v>
                </c:pt>
                <c:pt idx="562">
                  <c:v>11.199999999999916</c:v>
                </c:pt>
                <c:pt idx="563">
                  <c:v>11.299999999999915</c:v>
                </c:pt>
                <c:pt idx="564">
                  <c:v>11.399999999999915</c:v>
                </c:pt>
                <c:pt idx="565">
                  <c:v>11.499999999999915</c:v>
                </c:pt>
                <c:pt idx="566">
                  <c:v>11.599999999999914</c:v>
                </c:pt>
                <c:pt idx="567">
                  <c:v>11.699999999999914</c:v>
                </c:pt>
                <c:pt idx="568">
                  <c:v>11.799999999999914</c:v>
                </c:pt>
                <c:pt idx="569">
                  <c:v>11.899999999999913</c:v>
                </c:pt>
                <c:pt idx="570">
                  <c:v>11.999999999999913</c:v>
                </c:pt>
                <c:pt idx="571">
                  <c:v>12.099999999999913</c:v>
                </c:pt>
                <c:pt idx="572">
                  <c:v>12.199999999999912</c:v>
                </c:pt>
                <c:pt idx="573">
                  <c:v>12.299999999999912</c:v>
                </c:pt>
                <c:pt idx="574">
                  <c:v>12.399999999999912</c:v>
                </c:pt>
                <c:pt idx="575">
                  <c:v>12.499999999999911</c:v>
                </c:pt>
                <c:pt idx="576">
                  <c:v>12.599999999999911</c:v>
                </c:pt>
                <c:pt idx="577">
                  <c:v>12.69999999999991</c:v>
                </c:pt>
                <c:pt idx="578">
                  <c:v>12.79999999999991</c:v>
                </c:pt>
                <c:pt idx="579">
                  <c:v>12.89999999999991</c:v>
                </c:pt>
                <c:pt idx="580">
                  <c:v>12.999999999999909</c:v>
                </c:pt>
                <c:pt idx="581">
                  <c:v>13.099999999999909</c:v>
                </c:pt>
                <c:pt idx="582">
                  <c:v>13.199999999999909</c:v>
                </c:pt>
                <c:pt idx="583">
                  <c:v>13.299999999999908</c:v>
                </c:pt>
                <c:pt idx="584">
                  <c:v>13.399999999999908</c:v>
                </c:pt>
                <c:pt idx="585">
                  <c:v>13.499999999999908</c:v>
                </c:pt>
                <c:pt idx="586">
                  <c:v>13.599999999999907</c:v>
                </c:pt>
                <c:pt idx="587">
                  <c:v>13.699999999999907</c:v>
                </c:pt>
                <c:pt idx="588">
                  <c:v>13.799999999999907</c:v>
                </c:pt>
                <c:pt idx="589">
                  <c:v>13.899999999999906</c:v>
                </c:pt>
                <c:pt idx="590">
                  <c:v>13.999999999999906</c:v>
                </c:pt>
                <c:pt idx="591">
                  <c:v>14.099999999999905</c:v>
                </c:pt>
                <c:pt idx="592">
                  <c:v>14.199999999999905</c:v>
                </c:pt>
                <c:pt idx="593">
                  <c:v>14.299999999999905</c:v>
                </c:pt>
                <c:pt idx="594">
                  <c:v>14.399999999999904</c:v>
                </c:pt>
                <c:pt idx="595">
                  <c:v>14.499999999999904</c:v>
                </c:pt>
                <c:pt idx="596">
                  <c:v>14.599999999999904</c:v>
                </c:pt>
                <c:pt idx="597">
                  <c:v>14.699999999999903</c:v>
                </c:pt>
                <c:pt idx="598">
                  <c:v>14.799999999999903</c:v>
                </c:pt>
                <c:pt idx="599">
                  <c:v>14.899999999999903</c:v>
                </c:pt>
                <c:pt idx="600">
                  <c:v>14.999999999999902</c:v>
                </c:pt>
                <c:pt idx="601">
                  <c:v>15.099999999999902</c:v>
                </c:pt>
                <c:pt idx="602">
                  <c:v>15.199999999999902</c:v>
                </c:pt>
                <c:pt idx="603">
                  <c:v>15.299999999999901</c:v>
                </c:pt>
                <c:pt idx="604">
                  <c:v>15.399999999999901</c:v>
                </c:pt>
                <c:pt idx="605">
                  <c:v>15.499999999999901</c:v>
                </c:pt>
                <c:pt idx="606">
                  <c:v>15.5999999999999</c:v>
                </c:pt>
                <c:pt idx="607">
                  <c:v>15.6999999999999</c:v>
                </c:pt>
                <c:pt idx="608">
                  <c:v>15.799999999999899</c:v>
                </c:pt>
                <c:pt idx="609">
                  <c:v>15.899999999999899</c:v>
                </c:pt>
                <c:pt idx="610">
                  <c:v>15.999999999999899</c:v>
                </c:pt>
                <c:pt idx="611">
                  <c:v>16.099999999999898</c:v>
                </c:pt>
                <c:pt idx="612">
                  <c:v>16.1999999999999</c:v>
                </c:pt>
                <c:pt idx="613">
                  <c:v>16.299999999999901</c:v>
                </c:pt>
                <c:pt idx="614">
                  <c:v>16.399999999999903</c:v>
                </c:pt>
                <c:pt idx="615">
                  <c:v>16.499999999999904</c:v>
                </c:pt>
                <c:pt idx="616">
                  <c:v>16.599999999999905</c:v>
                </c:pt>
                <c:pt idx="617">
                  <c:v>16.699999999999907</c:v>
                </c:pt>
                <c:pt idx="618">
                  <c:v>16.799999999999908</c:v>
                </c:pt>
                <c:pt idx="619">
                  <c:v>16.89999999999991</c:v>
                </c:pt>
                <c:pt idx="620">
                  <c:v>16.999999999999911</c:v>
                </c:pt>
                <c:pt idx="621">
                  <c:v>17.099999999999913</c:v>
                </c:pt>
                <c:pt idx="622">
                  <c:v>17.199999999999914</c:v>
                </c:pt>
                <c:pt idx="623">
                  <c:v>17.299999999999915</c:v>
                </c:pt>
                <c:pt idx="624">
                  <c:v>17.399999999999917</c:v>
                </c:pt>
                <c:pt idx="625">
                  <c:v>17.499999999999918</c:v>
                </c:pt>
                <c:pt idx="626">
                  <c:v>17.59999999999992</c:v>
                </c:pt>
                <c:pt idx="627">
                  <c:v>17.699999999999921</c:v>
                </c:pt>
                <c:pt idx="628">
                  <c:v>17.799999999999923</c:v>
                </c:pt>
                <c:pt idx="629">
                  <c:v>17.899999999999924</c:v>
                </c:pt>
                <c:pt idx="630">
                  <c:v>17.999999999999925</c:v>
                </c:pt>
                <c:pt idx="631">
                  <c:v>18.099999999999927</c:v>
                </c:pt>
                <c:pt idx="632">
                  <c:v>18.199999999999928</c:v>
                </c:pt>
                <c:pt idx="633">
                  <c:v>18.29999999999993</c:v>
                </c:pt>
                <c:pt idx="634">
                  <c:v>18.399999999999931</c:v>
                </c:pt>
                <c:pt idx="635">
                  <c:v>18.499999999999932</c:v>
                </c:pt>
                <c:pt idx="636">
                  <c:v>18.599999999999934</c:v>
                </c:pt>
                <c:pt idx="637">
                  <c:v>18.699999999999935</c:v>
                </c:pt>
                <c:pt idx="638">
                  <c:v>18.799999999999937</c:v>
                </c:pt>
                <c:pt idx="639">
                  <c:v>18.899999999999938</c:v>
                </c:pt>
                <c:pt idx="640">
                  <c:v>18.99999999999994</c:v>
                </c:pt>
                <c:pt idx="641">
                  <c:v>19.099999999999941</c:v>
                </c:pt>
                <c:pt idx="642">
                  <c:v>19.199999999999942</c:v>
                </c:pt>
                <c:pt idx="643">
                  <c:v>19.299999999999944</c:v>
                </c:pt>
                <c:pt idx="644">
                  <c:v>19.399999999999945</c:v>
                </c:pt>
                <c:pt idx="645">
                  <c:v>19.499999999999947</c:v>
                </c:pt>
                <c:pt idx="646">
                  <c:v>19.599999999999948</c:v>
                </c:pt>
                <c:pt idx="647">
                  <c:v>19.69999999999995</c:v>
                </c:pt>
                <c:pt idx="648">
                  <c:v>19.799999999999951</c:v>
                </c:pt>
                <c:pt idx="649">
                  <c:v>19.899999999999952</c:v>
                </c:pt>
                <c:pt idx="650">
                  <c:v>19.999999999999954</c:v>
                </c:pt>
                <c:pt idx="651">
                  <c:v>20.099999999999955</c:v>
                </c:pt>
                <c:pt idx="652">
                  <c:v>20.199999999999957</c:v>
                </c:pt>
                <c:pt idx="653">
                  <c:v>20.299999999999958</c:v>
                </c:pt>
                <c:pt idx="654">
                  <c:v>20.399999999999959</c:v>
                </c:pt>
                <c:pt idx="655">
                  <c:v>20.499999999999961</c:v>
                </c:pt>
                <c:pt idx="656">
                  <c:v>20.599999999999962</c:v>
                </c:pt>
                <c:pt idx="657">
                  <c:v>20.699999999999964</c:v>
                </c:pt>
                <c:pt idx="658">
                  <c:v>20.799999999999965</c:v>
                </c:pt>
                <c:pt idx="659">
                  <c:v>20.899999999999967</c:v>
                </c:pt>
                <c:pt idx="660">
                  <c:v>20.999999999999968</c:v>
                </c:pt>
                <c:pt idx="661">
                  <c:v>21.099999999999969</c:v>
                </c:pt>
                <c:pt idx="662">
                  <c:v>21.199999999999971</c:v>
                </c:pt>
                <c:pt idx="663">
                  <c:v>21.299999999999972</c:v>
                </c:pt>
                <c:pt idx="664">
                  <c:v>21.399999999999974</c:v>
                </c:pt>
                <c:pt idx="665">
                  <c:v>21.499999999999975</c:v>
                </c:pt>
                <c:pt idx="666">
                  <c:v>21.599999999999977</c:v>
                </c:pt>
                <c:pt idx="667">
                  <c:v>21.699999999999978</c:v>
                </c:pt>
                <c:pt idx="668">
                  <c:v>21.799999999999979</c:v>
                </c:pt>
                <c:pt idx="669">
                  <c:v>21.899999999999981</c:v>
                </c:pt>
                <c:pt idx="670">
                  <c:v>21.999999999999982</c:v>
                </c:pt>
                <c:pt idx="671">
                  <c:v>22.099999999999984</c:v>
                </c:pt>
                <c:pt idx="672">
                  <c:v>22.199999999999985</c:v>
                </c:pt>
                <c:pt idx="673">
                  <c:v>22.299999999999986</c:v>
                </c:pt>
                <c:pt idx="674">
                  <c:v>22.399999999999988</c:v>
                </c:pt>
                <c:pt idx="675">
                  <c:v>22.499999999999989</c:v>
                </c:pt>
                <c:pt idx="676">
                  <c:v>22.599999999999991</c:v>
                </c:pt>
                <c:pt idx="677">
                  <c:v>22.699999999999992</c:v>
                </c:pt>
                <c:pt idx="678">
                  <c:v>22.799999999999994</c:v>
                </c:pt>
                <c:pt idx="679">
                  <c:v>22.899999999999995</c:v>
                </c:pt>
                <c:pt idx="680">
                  <c:v>22.999999999999996</c:v>
                </c:pt>
                <c:pt idx="681">
                  <c:v>23.099999999999998</c:v>
                </c:pt>
                <c:pt idx="682">
                  <c:v>23.2</c:v>
                </c:pt>
                <c:pt idx="683">
                  <c:v>23.3</c:v>
                </c:pt>
                <c:pt idx="684">
                  <c:v>23.400000000000002</c:v>
                </c:pt>
                <c:pt idx="685">
                  <c:v>23.500000000000004</c:v>
                </c:pt>
                <c:pt idx="686">
                  <c:v>23.600000000000005</c:v>
                </c:pt>
                <c:pt idx="687">
                  <c:v>23.700000000000006</c:v>
                </c:pt>
                <c:pt idx="688">
                  <c:v>23.800000000000008</c:v>
                </c:pt>
                <c:pt idx="689">
                  <c:v>23.900000000000009</c:v>
                </c:pt>
                <c:pt idx="690">
                  <c:v>24.000000000000011</c:v>
                </c:pt>
                <c:pt idx="691">
                  <c:v>24.100000000000012</c:v>
                </c:pt>
                <c:pt idx="692">
                  <c:v>24.200000000000014</c:v>
                </c:pt>
                <c:pt idx="693">
                  <c:v>24.300000000000015</c:v>
                </c:pt>
                <c:pt idx="694">
                  <c:v>24.400000000000016</c:v>
                </c:pt>
                <c:pt idx="695">
                  <c:v>24.500000000000018</c:v>
                </c:pt>
                <c:pt idx="696">
                  <c:v>24.600000000000019</c:v>
                </c:pt>
                <c:pt idx="697">
                  <c:v>24.700000000000021</c:v>
                </c:pt>
                <c:pt idx="698">
                  <c:v>24.800000000000022</c:v>
                </c:pt>
                <c:pt idx="699">
                  <c:v>24.900000000000023</c:v>
                </c:pt>
                <c:pt idx="700">
                  <c:v>25.000000000000025</c:v>
                </c:pt>
                <c:pt idx="701">
                  <c:v>25.100000000000026</c:v>
                </c:pt>
                <c:pt idx="702">
                  <c:v>25.200000000000028</c:v>
                </c:pt>
                <c:pt idx="703">
                  <c:v>25.300000000000029</c:v>
                </c:pt>
                <c:pt idx="704">
                  <c:v>25.400000000000031</c:v>
                </c:pt>
                <c:pt idx="705">
                  <c:v>25.500000000000032</c:v>
                </c:pt>
                <c:pt idx="706">
                  <c:v>25.600000000000033</c:v>
                </c:pt>
                <c:pt idx="707">
                  <c:v>25.700000000000035</c:v>
                </c:pt>
                <c:pt idx="708">
                  <c:v>25.800000000000036</c:v>
                </c:pt>
                <c:pt idx="709">
                  <c:v>25.900000000000038</c:v>
                </c:pt>
                <c:pt idx="710">
                  <c:v>26.000000000000039</c:v>
                </c:pt>
                <c:pt idx="711">
                  <c:v>26.100000000000041</c:v>
                </c:pt>
                <c:pt idx="712">
                  <c:v>26.200000000000042</c:v>
                </c:pt>
                <c:pt idx="713">
                  <c:v>26.300000000000043</c:v>
                </c:pt>
                <c:pt idx="714">
                  <c:v>26.400000000000045</c:v>
                </c:pt>
                <c:pt idx="715">
                  <c:v>26.500000000000046</c:v>
                </c:pt>
                <c:pt idx="716">
                  <c:v>26.600000000000048</c:v>
                </c:pt>
                <c:pt idx="717">
                  <c:v>26.700000000000049</c:v>
                </c:pt>
                <c:pt idx="718">
                  <c:v>26.80000000000005</c:v>
                </c:pt>
                <c:pt idx="719">
                  <c:v>26.900000000000052</c:v>
                </c:pt>
                <c:pt idx="720">
                  <c:v>27.000000000000053</c:v>
                </c:pt>
                <c:pt idx="721">
                  <c:v>27.100000000000055</c:v>
                </c:pt>
                <c:pt idx="722">
                  <c:v>27.200000000000056</c:v>
                </c:pt>
                <c:pt idx="723">
                  <c:v>27.300000000000058</c:v>
                </c:pt>
                <c:pt idx="724">
                  <c:v>27.400000000000059</c:v>
                </c:pt>
                <c:pt idx="725">
                  <c:v>27.50000000000006</c:v>
                </c:pt>
                <c:pt idx="726">
                  <c:v>27.600000000000062</c:v>
                </c:pt>
                <c:pt idx="727">
                  <c:v>27.700000000000063</c:v>
                </c:pt>
                <c:pt idx="728">
                  <c:v>27.800000000000065</c:v>
                </c:pt>
                <c:pt idx="729">
                  <c:v>27.900000000000066</c:v>
                </c:pt>
                <c:pt idx="730">
                  <c:v>28.000000000000068</c:v>
                </c:pt>
                <c:pt idx="731">
                  <c:v>28.100000000000069</c:v>
                </c:pt>
                <c:pt idx="732">
                  <c:v>28.20000000000007</c:v>
                </c:pt>
                <c:pt idx="733">
                  <c:v>28.300000000000072</c:v>
                </c:pt>
                <c:pt idx="734">
                  <c:v>28.400000000000073</c:v>
                </c:pt>
                <c:pt idx="735">
                  <c:v>28.500000000000075</c:v>
                </c:pt>
                <c:pt idx="736">
                  <c:v>28.600000000000076</c:v>
                </c:pt>
                <c:pt idx="737">
                  <c:v>28.700000000000077</c:v>
                </c:pt>
                <c:pt idx="738">
                  <c:v>28.800000000000079</c:v>
                </c:pt>
                <c:pt idx="739">
                  <c:v>28.90000000000008</c:v>
                </c:pt>
                <c:pt idx="740">
                  <c:v>29.000000000000082</c:v>
                </c:pt>
                <c:pt idx="741">
                  <c:v>29.100000000000083</c:v>
                </c:pt>
                <c:pt idx="742">
                  <c:v>29.200000000000085</c:v>
                </c:pt>
                <c:pt idx="743">
                  <c:v>29.300000000000086</c:v>
                </c:pt>
                <c:pt idx="744">
                  <c:v>29.400000000000087</c:v>
                </c:pt>
                <c:pt idx="745">
                  <c:v>29.500000000000089</c:v>
                </c:pt>
                <c:pt idx="746">
                  <c:v>29.60000000000009</c:v>
                </c:pt>
                <c:pt idx="747">
                  <c:v>29.700000000000092</c:v>
                </c:pt>
                <c:pt idx="748">
                  <c:v>29.800000000000093</c:v>
                </c:pt>
                <c:pt idx="749">
                  <c:v>29.900000000000095</c:v>
                </c:pt>
                <c:pt idx="750">
                  <c:v>30.000000000000096</c:v>
                </c:pt>
                <c:pt idx="751">
                  <c:v>30.100000000000097</c:v>
                </c:pt>
                <c:pt idx="752">
                  <c:v>30.200000000000099</c:v>
                </c:pt>
                <c:pt idx="753">
                  <c:v>30.3000000000001</c:v>
                </c:pt>
                <c:pt idx="754">
                  <c:v>30.400000000000102</c:v>
                </c:pt>
                <c:pt idx="755">
                  <c:v>30.500000000000103</c:v>
                </c:pt>
                <c:pt idx="756">
                  <c:v>30.600000000000104</c:v>
                </c:pt>
                <c:pt idx="757">
                  <c:v>30.700000000000106</c:v>
                </c:pt>
                <c:pt idx="758">
                  <c:v>30.800000000000107</c:v>
                </c:pt>
                <c:pt idx="759">
                  <c:v>30.900000000000109</c:v>
                </c:pt>
                <c:pt idx="760">
                  <c:v>31.00000000000011</c:v>
                </c:pt>
                <c:pt idx="761">
                  <c:v>31.100000000000112</c:v>
                </c:pt>
                <c:pt idx="762">
                  <c:v>31.200000000000113</c:v>
                </c:pt>
                <c:pt idx="763">
                  <c:v>31.300000000000114</c:v>
                </c:pt>
                <c:pt idx="764">
                  <c:v>31.400000000000116</c:v>
                </c:pt>
                <c:pt idx="765">
                  <c:v>31.500000000000117</c:v>
                </c:pt>
                <c:pt idx="766">
                  <c:v>31.600000000000119</c:v>
                </c:pt>
                <c:pt idx="767">
                  <c:v>31.70000000000012</c:v>
                </c:pt>
                <c:pt idx="768">
                  <c:v>31.800000000000122</c:v>
                </c:pt>
                <c:pt idx="769">
                  <c:v>31.900000000000123</c:v>
                </c:pt>
                <c:pt idx="770">
                  <c:v>32.000000000000121</c:v>
                </c:pt>
                <c:pt idx="771">
                  <c:v>32.100000000000122</c:v>
                </c:pt>
                <c:pt idx="772">
                  <c:v>32.200000000000124</c:v>
                </c:pt>
                <c:pt idx="773">
                  <c:v>32.300000000000125</c:v>
                </c:pt>
                <c:pt idx="774">
                  <c:v>32.400000000000126</c:v>
                </c:pt>
                <c:pt idx="775">
                  <c:v>32.500000000000128</c:v>
                </c:pt>
                <c:pt idx="776">
                  <c:v>32.600000000000129</c:v>
                </c:pt>
                <c:pt idx="777">
                  <c:v>32.700000000000131</c:v>
                </c:pt>
                <c:pt idx="778">
                  <c:v>32.800000000000132</c:v>
                </c:pt>
                <c:pt idx="779">
                  <c:v>32.900000000000134</c:v>
                </c:pt>
                <c:pt idx="780">
                  <c:v>33.000000000000135</c:v>
                </c:pt>
                <c:pt idx="781">
                  <c:v>33.100000000000136</c:v>
                </c:pt>
                <c:pt idx="782">
                  <c:v>33.200000000000138</c:v>
                </c:pt>
                <c:pt idx="783">
                  <c:v>33.300000000000139</c:v>
                </c:pt>
                <c:pt idx="784">
                  <c:v>33.400000000000141</c:v>
                </c:pt>
                <c:pt idx="785">
                  <c:v>33.500000000000142</c:v>
                </c:pt>
                <c:pt idx="786">
                  <c:v>33.600000000000144</c:v>
                </c:pt>
                <c:pt idx="787">
                  <c:v>33.700000000000145</c:v>
                </c:pt>
                <c:pt idx="788">
                  <c:v>33.800000000000146</c:v>
                </c:pt>
                <c:pt idx="789">
                  <c:v>33.900000000000148</c:v>
                </c:pt>
                <c:pt idx="790">
                  <c:v>34.000000000000149</c:v>
                </c:pt>
                <c:pt idx="791">
                  <c:v>34.100000000000151</c:v>
                </c:pt>
                <c:pt idx="792">
                  <c:v>34.200000000000152</c:v>
                </c:pt>
                <c:pt idx="793">
                  <c:v>34.300000000000153</c:v>
                </c:pt>
                <c:pt idx="794">
                  <c:v>34.400000000000155</c:v>
                </c:pt>
                <c:pt idx="795">
                  <c:v>34.500000000000156</c:v>
                </c:pt>
                <c:pt idx="796">
                  <c:v>34.600000000000158</c:v>
                </c:pt>
                <c:pt idx="797">
                  <c:v>34.700000000000159</c:v>
                </c:pt>
                <c:pt idx="798">
                  <c:v>34.800000000000161</c:v>
                </c:pt>
                <c:pt idx="799">
                  <c:v>34.900000000000162</c:v>
                </c:pt>
                <c:pt idx="800">
                  <c:v>35.000000000000163</c:v>
                </c:pt>
                <c:pt idx="801">
                  <c:v>35.100000000000165</c:v>
                </c:pt>
                <c:pt idx="802">
                  <c:v>35.200000000000166</c:v>
                </c:pt>
                <c:pt idx="803">
                  <c:v>35.300000000000168</c:v>
                </c:pt>
                <c:pt idx="804">
                  <c:v>35.400000000000169</c:v>
                </c:pt>
                <c:pt idx="805">
                  <c:v>35.500000000000171</c:v>
                </c:pt>
                <c:pt idx="806">
                  <c:v>35.600000000000172</c:v>
                </c:pt>
                <c:pt idx="807">
                  <c:v>35.700000000000173</c:v>
                </c:pt>
                <c:pt idx="808">
                  <c:v>35.800000000000175</c:v>
                </c:pt>
                <c:pt idx="809">
                  <c:v>35.900000000000176</c:v>
                </c:pt>
                <c:pt idx="810">
                  <c:v>36.000000000000178</c:v>
                </c:pt>
                <c:pt idx="811">
                  <c:v>36.100000000000179</c:v>
                </c:pt>
                <c:pt idx="812">
                  <c:v>36.20000000000018</c:v>
                </c:pt>
                <c:pt idx="813">
                  <c:v>36.300000000000182</c:v>
                </c:pt>
                <c:pt idx="814">
                  <c:v>36.400000000000183</c:v>
                </c:pt>
                <c:pt idx="815">
                  <c:v>36.500000000000185</c:v>
                </c:pt>
                <c:pt idx="816">
                  <c:v>36.600000000000186</c:v>
                </c:pt>
                <c:pt idx="817">
                  <c:v>36.700000000000188</c:v>
                </c:pt>
                <c:pt idx="818">
                  <c:v>36.800000000000189</c:v>
                </c:pt>
                <c:pt idx="819">
                  <c:v>36.90000000000019</c:v>
                </c:pt>
                <c:pt idx="820">
                  <c:v>37.000000000000192</c:v>
                </c:pt>
                <c:pt idx="821">
                  <c:v>37.100000000000193</c:v>
                </c:pt>
                <c:pt idx="822">
                  <c:v>37.200000000000195</c:v>
                </c:pt>
                <c:pt idx="823">
                  <c:v>37.300000000000196</c:v>
                </c:pt>
                <c:pt idx="824">
                  <c:v>37.400000000000198</c:v>
                </c:pt>
                <c:pt idx="825">
                  <c:v>37.500000000000199</c:v>
                </c:pt>
                <c:pt idx="826">
                  <c:v>37.6000000000002</c:v>
                </c:pt>
                <c:pt idx="827">
                  <c:v>37.700000000000202</c:v>
                </c:pt>
                <c:pt idx="828">
                  <c:v>37.800000000000203</c:v>
                </c:pt>
                <c:pt idx="829">
                  <c:v>37.900000000000205</c:v>
                </c:pt>
                <c:pt idx="830">
                  <c:v>38.000000000000206</c:v>
                </c:pt>
                <c:pt idx="831">
                  <c:v>38.100000000000207</c:v>
                </c:pt>
                <c:pt idx="832">
                  <c:v>38.200000000000209</c:v>
                </c:pt>
                <c:pt idx="833">
                  <c:v>38.30000000000021</c:v>
                </c:pt>
                <c:pt idx="834">
                  <c:v>38.400000000000212</c:v>
                </c:pt>
                <c:pt idx="835">
                  <c:v>38.500000000000213</c:v>
                </c:pt>
                <c:pt idx="836">
                  <c:v>38.600000000000215</c:v>
                </c:pt>
                <c:pt idx="837">
                  <c:v>38.700000000000216</c:v>
                </c:pt>
                <c:pt idx="838">
                  <c:v>38.800000000000217</c:v>
                </c:pt>
                <c:pt idx="839">
                  <c:v>38.900000000000219</c:v>
                </c:pt>
                <c:pt idx="840">
                  <c:v>39.00000000000022</c:v>
                </c:pt>
                <c:pt idx="841">
                  <c:v>39.100000000000222</c:v>
                </c:pt>
                <c:pt idx="842">
                  <c:v>39.200000000000223</c:v>
                </c:pt>
                <c:pt idx="843">
                  <c:v>39.300000000000225</c:v>
                </c:pt>
                <c:pt idx="844">
                  <c:v>39.400000000000226</c:v>
                </c:pt>
                <c:pt idx="845">
                  <c:v>39.500000000000227</c:v>
                </c:pt>
                <c:pt idx="846">
                  <c:v>39.600000000000229</c:v>
                </c:pt>
                <c:pt idx="847">
                  <c:v>39.70000000000023</c:v>
                </c:pt>
                <c:pt idx="848">
                  <c:v>39.800000000000232</c:v>
                </c:pt>
                <c:pt idx="849">
                  <c:v>39.900000000000233</c:v>
                </c:pt>
                <c:pt idx="850">
                  <c:v>40.000000000000234</c:v>
                </c:pt>
                <c:pt idx="851">
                  <c:v>40.100000000000236</c:v>
                </c:pt>
                <c:pt idx="852">
                  <c:v>40.200000000000237</c:v>
                </c:pt>
                <c:pt idx="853">
                  <c:v>40.300000000000239</c:v>
                </c:pt>
                <c:pt idx="854">
                  <c:v>40.40000000000024</c:v>
                </c:pt>
                <c:pt idx="855">
                  <c:v>40.500000000000242</c:v>
                </c:pt>
                <c:pt idx="856">
                  <c:v>40.600000000000243</c:v>
                </c:pt>
                <c:pt idx="857">
                  <c:v>40.700000000000244</c:v>
                </c:pt>
                <c:pt idx="858">
                  <c:v>40.800000000000246</c:v>
                </c:pt>
                <c:pt idx="859">
                  <c:v>40.900000000000247</c:v>
                </c:pt>
                <c:pt idx="860">
                  <c:v>41.000000000000249</c:v>
                </c:pt>
                <c:pt idx="861">
                  <c:v>41.10000000000025</c:v>
                </c:pt>
                <c:pt idx="862">
                  <c:v>41.200000000000252</c:v>
                </c:pt>
                <c:pt idx="863">
                  <c:v>41.300000000000253</c:v>
                </c:pt>
                <c:pt idx="864">
                  <c:v>41.400000000000254</c:v>
                </c:pt>
                <c:pt idx="865">
                  <c:v>41.500000000000256</c:v>
                </c:pt>
                <c:pt idx="866">
                  <c:v>41.600000000000257</c:v>
                </c:pt>
                <c:pt idx="867">
                  <c:v>41.700000000000259</c:v>
                </c:pt>
                <c:pt idx="868">
                  <c:v>41.80000000000026</c:v>
                </c:pt>
                <c:pt idx="869">
                  <c:v>41.900000000000261</c:v>
                </c:pt>
                <c:pt idx="870">
                  <c:v>42.000000000000263</c:v>
                </c:pt>
                <c:pt idx="871">
                  <c:v>42.100000000000264</c:v>
                </c:pt>
                <c:pt idx="872">
                  <c:v>42.200000000000266</c:v>
                </c:pt>
                <c:pt idx="873">
                  <c:v>42.300000000000267</c:v>
                </c:pt>
                <c:pt idx="874">
                  <c:v>42.400000000000269</c:v>
                </c:pt>
                <c:pt idx="875">
                  <c:v>42.50000000000027</c:v>
                </c:pt>
                <c:pt idx="876">
                  <c:v>42.600000000000271</c:v>
                </c:pt>
                <c:pt idx="877">
                  <c:v>42.700000000000273</c:v>
                </c:pt>
                <c:pt idx="878">
                  <c:v>42.800000000000274</c:v>
                </c:pt>
                <c:pt idx="879">
                  <c:v>42.900000000000276</c:v>
                </c:pt>
                <c:pt idx="880">
                  <c:v>43.000000000000277</c:v>
                </c:pt>
                <c:pt idx="881">
                  <c:v>43.100000000000279</c:v>
                </c:pt>
                <c:pt idx="882">
                  <c:v>43.20000000000028</c:v>
                </c:pt>
                <c:pt idx="883">
                  <c:v>43.300000000000281</c:v>
                </c:pt>
                <c:pt idx="884">
                  <c:v>43.400000000000283</c:v>
                </c:pt>
                <c:pt idx="885">
                  <c:v>43.500000000000284</c:v>
                </c:pt>
                <c:pt idx="886">
                  <c:v>43.600000000000286</c:v>
                </c:pt>
                <c:pt idx="887">
                  <c:v>43.700000000000287</c:v>
                </c:pt>
                <c:pt idx="888">
                  <c:v>43.800000000000288</c:v>
                </c:pt>
                <c:pt idx="889">
                  <c:v>43.90000000000029</c:v>
                </c:pt>
                <c:pt idx="890">
                  <c:v>44.000000000000291</c:v>
                </c:pt>
                <c:pt idx="891">
                  <c:v>44.100000000000293</c:v>
                </c:pt>
                <c:pt idx="892">
                  <c:v>44.200000000000294</c:v>
                </c:pt>
                <c:pt idx="893">
                  <c:v>44.300000000000296</c:v>
                </c:pt>
                <c:pt idx="894">
                  <c:v>44.400000000000297</c:v>
                </c:pt>
                <c:pt idx="895">
                  <c:v>44.500000000000298</c:v>
                </c:pt>
                <c:pt idx="896">
                  <c:v>44.6000000000003</c:v>
                </c:pt>
                <c:pt idx="897">
                  <c:v>44.700000000000301</c:v>
                </c:pt>
                <c:pt idx="898">
                  <c:v>44.800000000000303</c:v>
                </c:pt>
                <c:pt idx="899">
                  <c:v>44.900000000000304</c:v>
                </c:pt>
                <c:pt idx="900">
                  <c:v>45.000000000000306</c:v>
                </c:pt>
                <c:pt idx="901">
                  <c:v>45.100000000000307</c:v>
                </c:pt>
                <c:pt idx="902">
                  <c:v>45.200000000000308</c:v>
                </c:pt>
                <c:pt idx="903">
                  <c:v>45.30000000000031</c:v>
                </c:pt>
                <c:pt idx="904">
                  <c:v>45.400000000000311</c:v>
                </c:pt>
                <c:pt idx="905">
                  <c:v>45.500000000000313</c:v>
                </c:pt>
                <c:pt idx="906">
                  <c:v>45.600000000000314</c:v>
                </c:pt>
                <c:pt idx="907">
                  <c:v>45.700000000000315</c:v>
                </c:pt>
                <c:pt idx="908">
                  <c:v>45.800000000000317</c:v>
                </c:pt>
                <c:pt idx="909">
                  <c:v>45.900000000000318</c:v>
                </c:pt>
                <c:pt idx="910">
                  <c:v>46.00000000000032</c:v>
                </c:pt>
                <c:pt idx="911">
                  <c:v>46.100000000000321</c:v>
                </c:pt>
                <c:pt idx="912">
                  <c:v>46.200000000000323</c:v>
                </c:pt>
                <c:pt idx="913">
                  <c:v>46.300000000000324</c:v>
                </c:pt>
                <c:pt idx="914">
                  <c:v>46.400000000000325</c:v>
                </c:pt>
                <c:pt idx="915">
                  <c:v>46.500000000000327</c:v>
                </c:pt>
                <c:pt idx="916">
                  <c:v>46.600000000000328</c:v>
                </c:pt>
                <c:pt idx="917">
                  <c:v>46.70000000000033</c:v>
                </c:pt>
                <c:pt idx="918">
                  <c:v>46.800000000000331</c:v>
                </c:pt>
                <c:pt idx="919">
                  <c:v>46.900000000000333</c:v>
                </c:pt>
                <c:pt idx="920">
                  <c:v>47.000000000000334</c:v>
                </c:pt>
                <c:pt idx="921">
                  <c:v>47.100000000000335</c:v>
                </c:pt>
                <c:pt idx="922">
                  <c:v>47.200000000000337</c:v>
                </c:pt>
                <c:pt idx="923">
                  <c:v>47.300000000000338</c:v>
                </c:pt>
                <c:pt idx="924">
                  <c:v>47.40000000000034</c:v>
                </c:pt>
                <c:pt idx="925">
                  <c:v>47.500000000000341</c:v>
                </c:pt>
                <c:pt idx="926">
                  <c:v>47.600000000000342</c:v>
                </c:pt>
                <c:pt idx="927">
                  <c:v>47.700000000000344</c:v>
                </c:pt>
                <c:pt idx="928">
                  <c:v>47.800000000000345</c:v>
                </c:pt>
                <c:pt idx="929">
                  <c:v>47.900000000000347</c:v>
                </c:pt>
                <c:pt idx="930">
                  <c:v>48.000000000000348</c:v>
                </c:pt>
                <c:pt idx="931">
                  <c:v>48.10000000000035</c:v>
                </c:pt>
                <c:pt idx="932">
                  <c:v>48.200000000000351</c:v>
                </c:pt>
                <c:pt idx="933">
                  <c:v>48.300000000000352</c:v>
                </c:pt>
                <c:pt idx="934">
                  <c:v>48.400000000000354</c:v>
                </c:pt>
                <c:pt idx="935">
                  <c:v>48.500000000000355</c:v>
                </c:pt>
                <c:pt idx="936">
                  <c:v>48.600000000000357</c:v>
                </c:pt>
                <c:pt idx="937">
                  <c:v>48.700000000000358</c:v>
                </c:pt>
                <c:pt idx="938">
                  <c:v>48.80000000000036</c:v>
                </c:pt>
                <c:pt idx="939">
                  <c:v>48.900000000000361</c:v>
                </c:pt>
                <c:pt idx="940">
                  <c:v>49.000000000000362</c:v>
                </c:pt>
                <c:pt idx="941">
                  <c:v>49.100000000000364</c:v>
                </c:pt>
                <c:pt idx="942">
                  <c:v>49.200000000000365</c:v>
                </c:pt>
                <c:pt idx="943">
                  <c:v>49.300000000000367</c:v>
                </c:pt>
                <c:pt idx="944">
                  <c:v>49.30010000000037</c:v>
                </c:pt>
                <c:pt idx="945">
                  <c:v>49.300200000000373</c:v>
                </c:pt>
                <c:pt idx="946">
                  <c:v>49.300300000000377</c:v>
                </c:pt>
                <c:pt idx="947">
                  <c:v>49.30040000000038</c:v>
                </c:pt>
                <c:pt idx="948">
                  <c:v>49.300500000000383</c:v>
                </c:pt>
                <c:pt idx="949">
                  <c:v>49.300600000000387</c:v>
                </c:pt>
                <c:pt idx="950">
                  <c:v>49.30070000000039</c:v>
                </c:pt>
                <c:pt idx="951">
                  <c:v>49.300800000000393</c:v>
                </c:pt>
                <c:pt idx="952">
                  <c:v>49.300900000000397</c:v>
                </c:pt>
                <c:pt idx="953">
                  <c:v>49.3010000000004</c:v>
                </c:pt>
                <c:pt idx="954">
                  <c:v>49.301100000000403</c:v>
                </c:pt>
                <c:pt idx="955">
                  <c:v>49.301200000000406</c:v>
                </c:pt>
                <c:pt idx="956">
                  <c:v>49.30130000000041</c:v>
                </c:pt>
                <c:pt idx="957">
                  <c:v>49.301400000000413</c:v>
                </c:pt>
                <c:pt idx="958">
                  <c:v>49.301500000000416</c:v>
                </c:pt>
                <c:pt idx="959">
                  <c:v>49.30160000000042</c:v>
                </c:pt>
                <c:pt idx="960">
                  <c:v>49.301700000000423</c:v>
                </c:pt>
                <c:pt idx="961">
                  <c:v>49.301800000000426</c:v>
                </c:pt>
                <c:pt idx="962">
                  <c:v>49.30190000000043</c:v>
                </c:pt>
                <c:pt idx="963">
                  <c:v>49.302000000000433</c:v>
                </c:pt>
                <c:pt idx="964">
                  <c:v>49.302100000000436</c:v>
                </c:pt>
                <c:pt idx="965">
                  <c:v>49.30220000000044</c:v>
                </c:pt>
                <c:pt idx="966">
                  <c:v>49.302300000000443</c:v>
                </c:pt>
                <c:pt idx="967">
                  <c:v>49.302400000000446</c:v>
                </c:pt>
                <c:pt idx="968">
                  <c:v>49.30250000000045</c:v>
                </c:pt>
                <c:pt idx="969">
                  <c:v>49.302600000000453</c:v>
                </c:pt>
                <c:pt idx="970">
                  <c:v>49.302700000000456</c:v>
                </c:pt>
                <c:pt idx="971">
                  <c:v>49.30280000000046</c:v>
                </c:pt>
                <c:pt idx="972">
                  <c:v>49.302900000000463</c:v>
                </c:pt>
                <c:pt idx="973">
                  <c:v>49.303000000000466</c:v>
                </c:pt>
                <c:pt idx="974">
                  <c:v>49.30310000000047</c:v>
                </c:pt>
                <c:pt idx="975">
                  <c:v>49.303200000000473</c:v>
                </c:pt>
                <c:pt idx="976">
                  <c:v>49.303300000000476</c:v>
                </c:pt>
                <c:pt idx="977">
                  <c:v>49.30340000000048</c:v>
                </c:pt>
                <c:pt idx="978">
                  <c:v>49.303500000000483</c:v>
                </c:pt>
                <c:pt idx="979">
                  <c:v>49.303600000000486</c:v>
                </c:pt>
                <c:pt idx="980">
                  <c:v>49.303700000000489</c:v>
                </c:pt>
                <c:pt idx="981">
                  <c:v>49.303800000000493</c:v>
                </c:pt>
                <c:pt idx="982">
                  <c:v>49.303900000000496</c:v>
                </c:pt>
                <c:pt idx="983">
                  <c:v>49.304000000000499</c:v>
                </c:pt>
                <c:pt idx="984">
                  <c:v>49.304100000000503</c:v>
                </c:pt>
                <c:pt idx="985">
                  <c:v>49.304200000000506</c:v>
                </c:pt>
                <c:pt idx="986">
                  <c:v>49.304300000000509</c:v>
                </c:pt>
                <c:pt idx="987">
                  <c:v>49.304400000000513</c:v>
                </c:pt>
                <c:pt idx="988">
                  <c:v>49.304500000000516</c:v>
                </c:pt>
                <c:pt idx="989">
                  <c:v>49.304600000000519</c:v>
                </c:pt>
                <c:pt idx="990">
                  <c:v>49.304700000000523</c:v>
                </c:pt>
                <c:pt idx="991">
                  <c:v>49.304800000000526</c:v>
                </c:pt>
                <c:pt idx="992">
                  <c:v>49.304900000000529</c:v>
                </c:pt>
                <c:pt idx="993">
                  <c:v>49.305000000000533</c:v>
                </c:pt>
                <c:pt idx="994">
                  <c:v>49.305100000000536</c:v>
                </c:pt>
                <c:pt idx="995">
                  <c:v>49.305200000000539</c:v>
                </c:pt>
                <c:pt idx="996">
                  <c:v>49.305300000000543</c:v>
                </c:pt>
                <c:pt idx="997">
                  <c:v>49.305400000000546</c:v>
                </c:pt>
                <c:pt idx="998">
                  <c:v>49.305500000000549</c:v>
                </c:pt>
                <c:pt idx="999">
                  <c:v>49.305600000000553</c:v>
                </c:pt>
                <c:pt idx="1000">
                  <c:v>49.305700000000556</c:v>
                </c:pt>
              </c:numCache>
            </c:numRef>
          </c:xVal>
          <c:yVal>
            <c:numRef>
              <c:f>Calculs!$AE$4:$AE$1004</c:f>
              <c:numCache>
                <c:formatCode>0</c:formatCode>
                <c:ptCount val="1001"/>
                <c:pt idx="0">
                  <c:v>0</c:v>
                </c:pt>
                <c:pt idx="1">
                  <c:v>4.4279572656441422E-4</c:v>
                </c:pt>
                <c:pt idx="2">
                  <c:v>2.7845659552549399E-3</c:v>
                </c:pt>
                <c:pt idx="3">
                  <c:v>8.4593506145101884E-3</c:v>
                </c:pt>
                <c:pt idx="4">
                  <c:v>1.8308779906268193E-2</c:v>
                </c:pt>
                <c:pt idx="5">
                  <c:v>3.3175168883948745E-2</c:v>
                </c:pt>
                <c:pt idx="6">
                  <c:v>5.3901621016958577E-2</c:v>
                </c:pt>
                <c:pt idx="7">
                  <c:v>8.1332131042135242E-2</c:v>
                </c:pt>
                <c:pt idx="8">
                  <c:v>0.11631168714046478</c:v>
                </c:pt>
                <c:pt idx="9">
                  <c:v>0.1596863724764486</c:v>
                </c:pt>
                <c:pt idx="10">
                  <c:v>0.21230346613657358</c:v>
                </c:pt>
                <c:pt idx="11">
                  <c:v>0.27476944495113026</c:v>
                </c:pt>
                <c:pt idx="12">
                  <c:v>0.34720740833581992</c:v>
                </c:pt>
                <c:pt idx="13">
                  <c:v>0.429496537796903</c:v>
                </c:pt>
                <c:pt idx="14">
                  <c:v>0.52151208103113078</c:v>
                </c:pt>
                <c:pt idx="15">
                  <c:v>0.62312719351328583</c:v>
                </c:pt>
                <c:pt idx="16">
                  <c:v>0.73421478414008723</c:v>
                </c:pt>
                <c:pt idx="17">
                  <c:v>0.85464751921865045</c:v>
                </c:pt>
                <c:pt idx="18">
                  <c:v>0.9842978264538047</c:v>
                </c:pt>
                <c:pt idx="19">
                  <c:v>1.1230378989337295</c:v>
                </c:pt>
                <c:pt idx="20">
                  <c:v>1.2707396991133766</c:v>
                </c:pt>
                <c:pt idx="21">
                  <c:v>1.4272749627951438</c:v>
                </c:pt>
                <c:pt idx="22">
                  <c:v>1.592515203106273</c:v>
                </c:pt>
                <c:pt idx="23">
                  <c:v>1.7663317144724466</c:v>
                </c:pt>
                <c:pt idx="24">
                  <c:v>1.9485955765870577</c:v>
                </c:pt>
                <c:pt idx="25">
                  <c:v>2.1391776583756372</c:v>
                </c:pt>
                <c:pt idx="26">
                  <c:v>2.3379486219549204</c:v>
                </c:pt>
                <c:pt idx="27">
                  <c:v>2.5448114640407384</c:v>
                </c:pt>
                <c:pt idx="28">
                  <c:v>2.7597341126961408</c:v>
                </c:pt>
                <c:pt idx="29">
                  <c:v>2.9827169737567556</c:v>
                </c:pt>
                <c:pt idx="30">
                  <c:v>3.213760419916297</c:v>
                </c:pt>
                <c:pt idx="31">
                  <c:v>3.4528647906839045</c:v>
                </c:pt>
                <c:pt idx="32">
                  <c:v>3.7000303923421236</c:v>
                </c:pt>
                <c:pt idx="33">
                  <c:v>3.9552574979055302</c:v>
                </c:pt>
                <c:pt idx="34">
                  <c:v>4.2185315499017708</c:v>
                </c:pt>
                <c:pt idx="35">
                  <c:v>4.4898374653202602</c:v>
                </c:pt>
                <c:pt idx="36">
                  <c:v>4.7691744365682753</c:v>
                </c:pt>
                <c:pt idx="37">
                  <c:v>5.0565416370551262</c:v>
                </c:pt>
                <c:pt idx="38">
                  <c:v>5.3519382274349248</c:v>
                </c:pt>
                <c:pt idx="39">
                  <c:v>5.6553633545803503</c:v>
                </c:pt>
                <c:pt idx="40">
                  <c:v>5.9668161506299482</c:v>
                </c:pt>
                <c:pt idx="41">
                  <c:v>6.2862957321018547</c:v>
                </c:pt>
                <c:pt idx="42">
                  <c:v>6.6138011990677033</c:v>
                </c:pt>
                <c:pt idx="43">
                  <c:v>6.9493316343811893</c:v>
                </c:pt>
                <c:pt idx="44">
                  <c:v>7.2928861029564178</c:v>
                </c:pt>
                <c:pt idx="45">
                  <c:v>7.6444636510916872</c:v>
                </c:pt>
                <c:pt idx="46">
                  <c:v>8.0040633058348529</c:v>
                </c:pt>
                <c:pt idx="47">
                  <c:v>8.3716840743868115</c:v>
                </c:pt>
                <c:pt idx="48">
                  <c:v>8.7473249435400202</c:v>
                </c:pt>
                <c:pt idx="49">
                  <c:v>9.1309848791492794</c:v>
                </c:pt>
                <c:pt idx="50">
                  <c:v>9.5226628256322758</c:v>
                </c:pt>
                <c:pt idx="51">
                  <c:v>9.9223577054976317</c:v>
                </c:pt>
                <c:pt idx="52">
                  <c:v>10.33006841889844</c:v>
                </c:pt>
                <c:pt idx="53">
                  <c:v>10.745793843209418</c:v>
                </c:pt>
                <c:pt idx="54">
                  <c:v>11.169532832626027</c:v>
                </c:pt>
                <c:pt idx="55">
                  <c:v>11.601284217784031</c:v>
                </c:pt>
                <c:pt idx="56">
                  <c:v>12.041046805398096</c:v>
                </c:pt>
                <c:pt idx="57">
                  <c:v>12.488819377918182</c:v>
                </c:pt>
                <c:pt idx="58">
                  <c:v>12.944600693202551</c:v>
                </c:pt>
                <c:pt idx="59">
                  <c:v>13.40838948420636</c:v>
                </c:pt>
                <c:pt idx="60">
                  <c:v>13.880184458684836</c:v>
                </c:pt>
                <c:pt idx="61">
                  <c:v>14.359984298910158</c:v>
                </c:pt>
                <c:pt idx="62">
                  <c:v>14.847787661401227</c:v>
                </c:pt>
                <c:pt idx="63">
                  <c:v>15.343593176665555</c:v>
                </c:pt>
                <c:pt idx="64">
                  <c:v>15.847399448952586</c:v>
                </c:pt>
                <c:pt idx="65">
                  <c:v>16.3592050560178</c:v>
                </c:pt>
                <c:pt idx="66">
                  <c:v>16.879008548897001</c:v>
                </c:pt>
                <c:pt idx="67">
                  <c:v>17.406808451690249</c:v>
                </c:pt>
                <c:pt idx="68">
                  <c:v>17.942603261354897</c:v>
                </c:pt>
                <c:pt idx="69">
                  <c:v>18.486391447507291</c:v>
                </c:pt>
                <c:pt idx="70">
                  <c:v>19.038171452232671</c:v>
                </c:pt>
                <c:pt idx="71">
                  <c:v>19.597941689902861</c:v>
                </c:pt>
                <c:pt idx="72">
                  <c:v>20.165700175768404</c:v>
                </c:pt>
                <c:pt idx="73">
                  <c:v>20.741444154050047</c:v>
                </c:pt>
                <c:pt idx="74">
                  <c:v>21.325170468296179</c:v>
                </c:pt>
                <c:pt idx="75">
                  <c:v>21.91687593226121</c:v>
                </c:pt>
                <c:pt idx="76">
                  <c:v>22.516557329770823</c:v>
                </c:pt>
                <c:pt idx="77">
                  <c:v>23.124211414593258</c:v>
                </c:pt>
                <c:pt idx="78">
                  <c:v>23.739834910316418</c:v>
                </c:pt>
                <c:pt idx="79">
                  <c:v>24.363424510230509</c:v>
                </c:pt>
                <c:pt idx="80">
                  <c:v>24.994976877216001</c:v>
                </c:pt>
                <c:pt idx="81">
                  <c:v>25.63448864363669</c:v>
                </c:pt>
                <c:pt idx="82">
                  <c:v>26.281956411237637</c:v>
                </c:pt>
                <c:pt idx="83">
                  <c:v>26.937376751047807</c:v>
                </c:pt>
                <c:pt idx="84">
                  <c:v>27.600746203287237</c:v>
                </c:pt>
                <c:pt idx="85">
                  <c:v>28.272061277278503</c:v>
                </c:pt>
                <c:pt idx="86">
                  <c:v>28.951318451362411</c:v>
                </c:pt>
                <c:pt idx="87">
                  <c:v>29.638514172817686</c:v>
                </c:pt>
                <c:pt idx="88">
                  <c:v>30.333644857784545</c:v>
                </c:pt>
                <c:pt idx="89">
                  <c:v>31.036706891192008</c:v>
                </c:pt>
                <c:pt idx="90">
                  <c:v>31.747696626688839</c:v>
                </c:pt>
                <c:pt idx="91">
                  <c:v>32.466610386577962</c:v>
                </c:pt>
                <c:pt idx="92">
                  <c:v>33.193444461754254</c:v>
                </c:pt>
                <c:pt idx="93">
                  <c:v>33.928195111645628</c:v>
                </c:pt>
                <c:pt idx="94">
                  <c:v>34.670858564157228</c:v>
                </c:pt>
                <c:pt idx="95">
                  <c:v>35.42143101561873</c:v>
                </c:pt>
                <c:pt idx="96">
                  <c:v>36.179908630734609</c:v>
                </c:pt>
                <c:pt idx="97">
                  <c:v>36.946287542537256</c:v>
                </c:pt>
                <c:pt idx="98">
                  <c:v>37.72056385234292</c:v>
                </c:pt>
                <c:pt idx="99">
                  <c:v>38.502733629710349</c:v>
                </c:pt>
                <c:pt idx="100">
                  <c:v>39.292792912402064</c:v>
                </c:pt>
                <c:pt idx="101">
                  <c:v>40.090737706348229</c:v>
                </c:pt>
                <c:pt idx="102">
                  <c:v>40.896563985612978</c:v>
                </c:pt>
                <c:pt idx="103">
                  <c:v>41.710267692363189</c:v>
                </c:pt>
                <c:pt idx="104">
                  <c:v>42.531844736839631</c:v>
                </c:pt>
                <c:pt idx="105">
                  <c:v>43.361290997330386</c:v>
                </c:pt>
                <c:pt idx="106">
                  <c:v>44.198602320146563</c:v>
                </c:pt>
                <c:pt idx="107">
                  <c:v>45.043774519600177</c:v>
                </c:pt>
                <c:pt idx="108">
                  <c:v>45.896803377984163</c:v>
                </c:pt>
                <c:pt idx="109">
                  <c:v>46.757684645554498</c:v>
                </c:pt>
                <c:pt idx="110">
                  <c:v>47.626414040514348</c:v>
                </c:pt>
                <c:pt idx="111">
                  <c:v>48.502987249000228</c:v>
                </c:pt>
                <c:pt idx="112">
                  <c:v>49.387399925070085</c:v>
                </c:pt>
                <c:pt idx="113">
                  <c:v>50.279647690693338</c:v>
                </c:pt>
                <c:pt idx="114">
                  <c:v>51.179726135742719</c:v>
                </c:pt>
                <c:pt idx="115">
                  <c:v>52.087630817988</c:v>
                </c:pt>
                <c:pt idx="116">
                  <c:v>53.003357263091495</c:v>
                </c:pt>
                <c:pt idx="117">
                  <c:v>53.926900964605295</c:v>
                </c:pt>
                <c:pt idx="118">
                  <c:v>54.858257383970262</c:v>
                </c:pt>
                <c:pt idx="119">
                  <c:v>55.797421950516672</c:v>
                </c:pt>
                <c:pt idx="120">
                  <c:v>56.74439006146654</c:v>
                </c:pt>
                <c:pt idx="121">
                  <c:v>57.699157081937571</c:v>
                </c:pt>
                <c:pt idx="122">
                  <c:v>58.661718344948689</c:v>
                </c:pt>
                <c:pt idx="123">
                  <c:v>59.632069151427139</c:v>
                </c:pt>
                <c:pt idx="124">
                  <c:v>60.610204770217138</c:v>
                </c:pt>
                <c:pt idx="125">
                  <c:v>61.596120438090033</c:v>
                </c:pt>
                <c:pt idx="126">
                  <c:v>62.589811359755934</c:v>
                </c:pt>
                <c:pt idx="127">
                  <c:v>63.591272707876847</c:v>
                </c:pt>
                <c:pt idx="128">
                  <c:v>64.600499623081177</c:v>
                </c:pt>
                <c:pt idx="129">
                  <c:v>65.617485503560786</c:v>
                </c:pt>
                <c:pt idx="130">
                  <c:v>66.642220292654955</c:v>
                </c:pt>
                <c:pt idx="131">
                  <c:v>67.674692186725679</c:v>
                </c:pt>
                <c:pt idx="132">
                  <c:v>68.714889345092374</c:v>
                </c:pt>
                <c:pt idx="133">
                  <c:v>69.762799890141025</c:v>
                </c:pt>
                <c:pt idx="134">
                  <c:v>70.818411907434822</c:v>
                </c:pt>
                <c:pt idx="135">
                  <c:v>71.881713445826264</c:v>
                </c:pt>
                <c:pt idx="136">
                  <c:v>72.952692517570782</c:v>
                </c:pt>
                <c:pt idx="137">
                  <c:v>74.031337098441824</c:v>
                </c:pt>
                <c:pt idx="138">
                  <c:v>75.117635127847279</c:v>
                </c:pt>
                <c:pt idx="139">
                  <c:v>76.211574508947365</c:v>
                </c:pt>
                <c:pt idx="140">
                  <c:v>77.313143108773858</c:v>
                </c:pt>
                <c:pt idx="141">
                  <c:v>78.422328758350659</c:v>
                </c:pt>
                <c:pt idx="142">
                  <c:v>79.539119252815667</c:v>
                </c:pt>
                <c:pt idx="143">
                  <c:v>80.663502351543983</c:v>
                </c:pt>
                <c:pt idx="144">
                  <c:v>81.795465778272359</c:v>
                </c:pt>
                <c:pt idx="145">
                  <c:v>82.934997221224876</c:v>
                </c:pt>
                <c:pt idx="146">
                  <c:v>84.082084333239891</c:v>
                </c:pt>
                <c:pt idx="147">
                  <c:v>85.236714731898161</c:v>
                </c:pt>
                <c:pt idx="148">
                  <c:v>86.398875999652148</c:v>
                </c:pt>
                <c:pt idx="149">
                  <c:v>87.568555683956518</c:v>
                </c:pt>
                <c:pt idx="150">
                  <c:v>88.745741297399718</c:v>
                </c:pt>
                <c:pt idx="151">
                  <c:v>89.930420317836763</c:v>
                </c:pt>
                <c:pt idx="152">
                  <c:v>91.12258018852306</c:v>
                </c:pt>
                <c:pt idx="153">
                  <c:v>92.322208318249324</c:v>
                </c:pt>
                <c:pt idx="154">
                  <c:v>93.529292081477607</c:v>
                </c:pt>
                <c:pt idx="155">
                  <c:v>94.743818818478303</c:v>
                </c:pt>
                <c:pt idx="156">
                  <c:v>95.965775835468264</c:v>
                </c:pt>
                <c:pt idx="157">
                  <c:v>97.195150404749867</c:v>
                </c:pt>
                <c:pt idx="158">
                  <c:v>98.431929764851077</c:v>
                </c:pt>
                <c:pt idx="159">
                  <c:v>99.676101120666544</c:v>
                </c:pt>
                <c:pt idx="160">
                  <c:v>100.92765164359959</c:v>
                </c:pt>
                <c:pt idx="161">
                  <c:v>102.18656847170519</c:v>
                </c:pt>
                <c:pt idx="162">
                  <c:v>103.45283870983388</c:v>
                </c:pt>
                <c:pt idx="163">
                  <c:v>104.72644942977657</c:v>
                </c:pt>
                <c:pt idx="164">
                  <c:v>106.0073876704102</c:v>
                </c:pt>
                <c:pt idx="165">
                  <c:v>107.2956404378444</c:v>
                </c:pt>
                <c:pt idx="166">
                  <c:v>108.5911947055689</c:v>
                </c:pt>
                <c:pt idx="167">
                  <c:v>109.89403741460185</c:v>
                </c:pt>
                <c:pt idx="168">
                  <c:v>111.20415547363901</c:v>
                </c:pt>
                <c:pt idx="169">
                  <c:v>112.5215357592036</c:v>
                </c:pt>
                <c:pt idx="170">
                  <c:v>113.84616511579723</c:v>
                </c:pt>
                <c:pt idx="171">
                  <c:v>115.17803035605138</c:v>
                </c:pt>
                <c:pt idx="172">
                  <c:v>116.51711826087977</c:v>
                </c:pt>
                <c:pt idx="173">
                  <c:v>117.86341557963149</c:v>
                </c:pt>
                <c:pt idx="174">
                  <c:v>119.21690903024488</c:v>
                </c:pt>
                <c:pt idx="175">
                  <c:v>120.57758529940213</c:v>
                </c:pt>
                <c:pt idx="176">
                  <c:v>121.94543104268463</c:v>
                </c:pt>
                <c:pt idx="177">
                  <c:v>123.32043288472903</c:v>
                </c:pt>
                <c:pt idx="178">
                  <c:v>124.70257741938399</c:v>
                </c:pt>
                <c:pt idx="179">
                  <c:v>126.09185120986761</c:v>
                </c:pt>
                <c:pt idx="180">
                  <c:v>127.48824078892561</c:v>
                </c:pt>
                <c:pt idx="181">
                  <c:v>128.89173265899001</c:v>
                </c:pt>
                <c:pt idx="182">
                  <c:v>130.30231329233868</c:v>
                </c:pt>
                <c:pt idx="183">
                  <c:v>131.71996913125531</c:v>
                </c:pt>
                <c:pt idx="184">
                  <c:v>133.14468658819018</c:v>
                </c:pt>
                <c:pt idx="185">
                  <c:v>134.5764520459214</c:v>
                </c:pt>
                <c:pt idx="186">
                  <c:v>136.01525185771692</c:v>
                </c:pt>
                <c:pt idx="187">
                  <c:v>137.46107234749695</c:v>
                </c:pt>
                <c:pt idx="188">
                  <c:v>138.91389980999708</c:v>
                </c:pt>
                <c:pt idx="189">
                  <c:v>140.37372051093192</c:v>
                </c:pt>
                <c:pt idx="190">
                  <c:v>141.84052068715931</c:v>
                </c:pt>
                <c:pt idx="191">
                  <c:v>143.3142865468451</c:v>
                </c:pt>
                <c:pt idx="192">
                  <c:v>144.79500426962835</c:v>
                </c:pt>
                <c:pt idx="193">
                  <c:v>146.28266000678727</c:v>
                </c:pt>
                <c:pt idx="194">
                  <c:v>147.77723988140539</c:v>
                </c:pt>
                <c:pt idx="195">
                  <c:v>149.27872998853849</c:v>
                </c:pt>
                <c:pt idx="196">
                  <c:v>150.78711639538182</c:v>
                </c:pt>
                <c:pt idx="197">
                  <c:v>152.30238514143795</c:v>
                </c:pt>
                <c:pt idx="198">
                  <c:v>153.82452223868503</c:v>
                </c:pt>
                <c:pt idx="199">
                  <c:v>155.35351367174545</c:v>
                </c:pt>
                <c:pt idx="200">
                  <c:v>156.88934539805496</c:v>
                </c:pt>
                <c:pt idx="201">
                  <c:v>158.43200334803237</c:v>
                </c:pt>
                <c:pt idx="202">
                  <c:v>159.9814734252495</c:v>
                </c:pt>
                <c:pt idx="203">
                  <c:v>161.53774150660163</c:v>
                </c:pt>
                <c:pt idx="204">
                  <c:v>163.10079344247833</c:v>
                </c:pt>
                <c:pt idx="205">
                  <c:v>164.67061505693471</c:v>
                </c:pt>
                <c:pt idx="206">
                  <c:v>166.24719173060396</c:v>
                </c:pt>
                <c:pt idx="207">
                  <c:v>167.83050798329563</c:v>
                </c:pt>
                <c:pt idx="208">
                  <c:v>169.42054789113925</c:v>
                </c:pt>
                <c:pt idx="209">
                  <c:v>171.01729550405503</c:v>
                </c:pt>
                <c:pt idx="210">
                  <c:v>172.62073484595024</c:v>
                </c:pt>
                <c:pt idx="211">
                  <c:v>174.23084991491604</c:v>
                </c:pt>
                <c:pt idx="212">
                  <c:v>175.84762468342444</c:v>
                </c:pt>
                <c:pt idx="213">
                  <c:v>177.47104309852568</c:v>
                </c:pt>
                <c:pt idx="214">
                  <c:v>179.10108908204572</c:v>
                </c:pt>
                <c:pt idx="215">
                  <c:v>180.73774653078399</c:v>
                </c:pt>
                <c:pt idx="216">
                  <c:v>182.38099931671158</c:v>
                </c:pt>
                <c:pt idx="217">
                  <c:v>184.03083128716938</c:v>
                </c:pt>
                <c:pt idx="218">
                  <c:v>185.68722626506656</c:v>
                </c:pt>
                <c:pt idx="219">
                  <c:v>187.35016804907931</c:v>
                </c:pt>
                <c:pt idx="220">
                  <c:v>189.01964041384969</c:v>
                </c:pt>
                <c:pt idx="221">
                  <c:v>190.69562711018463</c:v>
                </c:pt>
                <c:pt idx="222">
                  <c:v>192.37811186525525</c:v>
                </c:pt>
                <c:pt idx="223">
                  <c:v>194.06707838279615</c:v>
                </c:pt>
                <c:pt idx="224">
                  <c:v>195.76251034330505</c:v>
                </c:pt>
                <c:pt idx="225">
                  <c:v>197.46439140424241</c:v>
                </c:pt>
                <c:pt idx="226">
                  <c:v>199.17270520023123</c:v>
                </c:pt>
                <c:pt idx="227">
                  <c:v>200.8874353432571</c:v>
                </c:pt>
                <c:pt idx="228">
                  <c:v>202.60856542286811</c:v>
                </c:pt>
                <c:pt idx="229">
                  <c:v>204.33607900637509</c:v>
                </c:pt>
                <c:pt idx="230">
                  <c:v>206.0699596390518</c:v>
                </c:pt>
                <c:pt idx="231">
                  <c:v>207.81019084433535</c:v>
                </c:pt>
                <c:pt idx="232">
                  <c:v>209.55675612402646</c:v>
                </c:pt>
                <c:pt idx="233">
                  <c:v>211.30963895849001</c:v>
                </c:pt>
                <c:pt idx="234">
                  <c:v>213.06882280685559</c:v>
                </c:pt>
                <c:pt idx="235">
                  <c:v>214.83429110721798</c:v>
                </c:pt>
                <c:pt idx="236">
                  <c:v>216.60602727683781</c:v>
                </c:pt>
                <c:pt idx="237">
                  <c:v>218.38401471234209</c:v>
                </c:pt>
                <c:pt idx="238">
                  <c:v>220.168236789925</c:v>
                </c:pt>
                <c:pt idx="239">
                  <c:v>221.9586768655484</c:v>
                </c:pt>
                <c:pt idx="240">
                  <c:v>223.75531827514251</c:v>
                </c:pt>
                <c:pt idx="241">
                  <c:v>225.55814433480657</c:v>
                </c:pt>
                <c:pt idx="242">
                  <c:v>227.36713689740657</c:v>
                </c:pt>
                <c:pt idx="243">
                  <c:v>229.18227490839107</c:v>
                </c:pt>
                <c:pt idx="244">
                  <c:v>231.00353584916806</c:v>
                </c:pt>
                <c:pt idx="245">
                  <c:v>232.83089718130574</c:v>
                </c:pt>
                <c:pt idx="246">
                  <c:v>234.66433634681687</c:v>
                </c:pt>
                <c:pt idx="247">
                  <c:v>236.50383076844264</c:v>
                </c:pt>
                <c:pt idx="248">
                  <c:v>238.34935784993638</c:v>
                </c:pt>
                <c:pt idx="249">
                  <c:v>240.2008949763466</c:v>
                </c:pt>
                <c:pt idx="250">
                  <c:v>242.0584195142998</c:v>
                </c:pt>
                <c:pt idx="251">
                  <c:v>243.92190881228277</c:v>
                </c:pt>
                <c:pt idx="252">
                  <c:v>245.79134020092451</c:v>
                </c:pt>
                <c:pt idx="253">
                  <c:v>247.66669099327771</c:v>
                </c:pt>
                <c:pt idx="254">
                  <c:v>249.54793848509965</c:v>
                </c:pt>
                <c:pt idx="255">
                  <c:v>251.4350599551328</c:v>
                </c:pt>
                <c:pt idx="256">
                  <c:v>253.32803266538477</c:v>
                </c:pt>
                <c:pt idx="257">
                  <c:v>255.2268338614079</c:v>
                </c:pt>
                <c:pt idx="258">
                  <c:v>257.13144077257829</c:v>
                </c:pt>
                <c:pt idx="259">
                  <c:v>259.04183061237421</c:v>
                </c:pt>
                <c:pt idx="260">
                  <c:v>260.9579805786542</c:v>
                </c:pt>
                <c:pt idx="261">
                  <c:v>262.8798678539344</c:v>
                </c:pt>
                <c:pt idx="262">
                  <c:v>264.80746960566546</c:v>
                </c:pt>
                <c:pt idx="263">
                  <c:v>266.74076298650891</c:v>
                </c:pt>
                <c:pt idx="264">
                  <c:v>268.67972513461274</c:v>
                </c:pt>
                <c:pt idx="265">
                  <c:v>270.62433317388667</c:v>
                </c:pt>
                <c:pt idx="266">
                  <c:v>272.57456421427668</c:v>
                </c:pt>
                <c:pt idx="267">
                  <c:v>274.53039535203885</c:v>
                </c:pt>
                <c:pt idx="268">
                  <c:v>276.49180367001287</c:v>
                </c:pt>
                <c:pt idx="269">
                  <c:v>278.45876623789445</c:v>
                </c:pt>
                <c:pt idx="270">
                  <c:v>280.43126011250763</c:v>
                </c:pt>
                <c:pt idx="271">
                  <c:v>282.40926233807602</c:v>
                </c:pt>
                <c:pt idx="272">
                  <c:v>284.3927499464935</c:v>
                </c:pt>
                <c:pt idx="273">
                  <c:v>286.38169995759444</c:v>
                </c:pt>
                <c:pt idx="274">
                  <c:v>288.37608937942298</c:v>
                </c:pt>
                <c:pt idx="275">
                  <c:v>290.37589520850162</c:v>
                </c:pt>
                <c:pt idx="276">
                  <c:v>292.38109443009938</c:v>
                </c:pt>
                <c:pt idx="277">
                  <c:v>294.39166401849894</c:v>
                </c:pt>
                <c:pt idx="278">
                  <c:v>296.40758093726328</c:v>
                </c:pt>
                <c:pt idx="279">
                  <c:v>298.42882213950139</c:v>
                </c:pt>
                <c:pt idx="280">
                  <c:v>300.45536456813352</c:v>
                </c:pt>
                <c:pt idx="281">
                  <c:v>302.48718515615536</c:v>
                </c:pt>
                <c:pt idx="282">
                  <c:v>304.52426082690164</c:v>
                </c:pt>
                <c:pt idx="283">
                  <c:v>306.56656849430897</c:v>
                </c:pt>
                <c:pt idx="284">
                  <c:v>308.61408675959296</c:v>
                </c:pt>
                <c:pt idx="285">
                  <c:v>310.6667976083549</c:v>
                </c:pt>
                <c:pt idx="286">
                  <c:v>312.72468471406745</c:v>
                </c:pt>
                <c:pt idx="287">
                  <c:v>314.78773174108568</c:v>
                </c:pt>
                <c:pt idx="288">
                  <c:v>316.85592234481788</c:v>
                </c:pt>
                <c:pt idx="289">
                  <c:v>318.92924017189574</c:v>
                </c:pt>
                <c:pt idx="290">
                  <c:v>321.00766886034449</c:v>
                </c:pt>
                <c:pt idx="291">
                  <c:v>323.09119203975251</c:v>
                </c:pt>
                <c:pt idx="292">
                  <c:v>325.17979333144058</c:v>
                </c:pt>
                <c:pt idx="293">
                  <c:v>327.2734563486307</c:v>
                </c:pt>
                <c:pt idx="294">
                  <c:v>329.37216469661479</c:v>
                </c:pt>
                <c:pt idx="295">
                  <c:v>331.47590197292254</c:v>
                </c:pt>
                <c:pt idx="296">
                  <c:v>333.58465176748928</c:v>
                </c:pt>
                <c:pt idx="297">
                  <c:v>335.69839766282314</c:v>
                </c:pt>
                <c:pt idx="298">
                  <c:v>337.81712323417213</c:v>
                </c:pt>
                <c:pt idx="299">
                  <c:v>339.94081204969046</c:v>
                </c:pt>
                <c:pt idx="300">
                  <c:v>342.06944767060475</c:v>
                </c:pt>
                <c:pt idx="301">
                  <c:v>344.20301365137954</c:v>
                </c:pt>
                <c:pt idx="302">
                  <c:v>346.34149353988255</c:v>
                </c:pt>
                <c:pt idx="303">
                  <c:v>348.48487087754961</c:v>
                </c:pt>
                <c:pt idx="304">
                  <c:v>350.63312919954882</c:v>
                </c:pt>
                <c:pt idx="305">
                  <c:v>352.7862520349446</c:v>
                </c:pt>
                <c:pt idx="306">
                  <c:v>354.94422290686106</c:v>
                </c:pt>
                <c:pt idx="307">
                  <c:v>357.10702533264521</c:v>
                </c:pt>
                <c:pt idx="308">
                  <c:v>359.27464282402934</c:v>
                </c:pt>
                <c:pt idx="309">
                  <c:v>361.44705888729322</c:v>
                </c:pt>
                <c:pt idx="310">
                  <c:v>363.62425702342574</c:v>
                </c:pt>
                <c:pt idx="311">
                  <c:v>365.80622072828618</c:v>
                </c:pt>
                <c:pt idx="312">
                  <c:v>367.99293349276485</c:v>
                </c:pt>
                <c:pt idx="313">
                  <c:v>370.18437880294334</c:v>
                </c:pt>
                <c:pt idx="314">
                  <c:v>372.38054014025431</c:v>
                </c:pt>
                <c:pt idx="315">
                  <c:v>374.5814009816408</c:v>
                </c:pt>
                <c:pt idx="316">
                  <c:v>376.78694479971506</c:v>
                </c:pt>
                <c:pt idx="317">
                  <c:v>378.99715506291682</c:v>
                </c:pt>
                <c:pt idx="318">
                  <c:v>381.212015235671</c:v>
                </c:pt>
                <c:pt idx="319">
                  <c:v>383.43150877854532</c:v>
                </c:pt>
                <c:pt idx="320">
                  <c:v>385.65561914840691</c:v>
                </c:pt>
                <c:pt idx="321">
                  <c:v>387.88432979857862</c:v>
                </c:pt>
                <c:pt idx="322">
                  <c:v>390.1176241789949</c:v>
                </c:pt>
                <c:pt idx="323">
                  <c:v>392.35548573635714</c:v>
                </c:pt>
                <c:pt idx="324">
                  <c:v>394.59789791428835</c:v>
                </c:pt>
                <c:pt idx="325">
                  <c:v>396.84484415348749</c:v>
                </c:pt>
                <c:pt idx="326">
                  <c:v>399.09630799617696</c:v>
                </c:pt>
                <c:pt idx="327">
                  <c:v>401.35227319055349</c:v>
                </c:pt>
                <c:pt idx="328">
                  <c:v>403.61272358658442</c:v>
                </c:pt>
                <c:pt idx="329">
                  <c:v>405.87764303179728</c:v>
                </c:pt>
                <c:pt idx="330">
                  <c:v>408.14701537142707</c:v>
                </c:pt>
                <c:pt idx="331">
                  <c:v>410.42082444856277</c:v>
                </c:pt>
                <c:pt idx="332">
                  <c:v>412.69905410429345</c:v>
                </c:pt>
                <c:pt idx="333">
                  <c:v>414.98168817785404</c:v>
                </c:pt>
                <c:pt idx="334">
                  <c:v>417.26871050677016</c:v>
                </c:pt>
                <c:pt idx="335">
                  <c:v>419.56010492700295</c:v>
                </c:pt>
                <c:pt idx="336">
                  <c:v>421.8558552730928</c:v>
                </c:pt>
                <c:pt idx="337">
                  <c:v>424.15594537830304</c:v>
                </c:pt>
                <c:pt idx="338">
                  <c:v>426.46035907476289</c:v>
                </c:pt>
                <c:pt idx="339">
                  <c:v>428.76908019360974</c:v>
                </c:pt>
                <c:pt idx="340">
                  <c:v>431.08209256513118</c:v>
                </c:pt>
                <c:pt idx="341">
                  <c:v>433.39938001890624</c:v>
                </c:pt>
                <c:pt idx="342">
                  <c:v>435.72092638394628</c:v>
                </c:pt>
                <c:pt idx="343">
                  <c:v>438.04671548883516</c:v>
                </c:pt>
                <c:pt idx="344">
                  <c:v>440.37673116186897</c:v>
                </c:pt>
                <c:pt idx="345">
                  <c:v>442.71095723119515</c:v>
                </c:pt>
                <c:pt idx="346">
                  <c:v>445.04937752495101</c:v>
                </c:pt>
                <c:pt idx="347">
                  <c:v>447.39197587140194</c:v>
                </c:pt>
                <c:pt idx="348">
                  <c:v>449.73873609907872</c:v>
                </c:pt>
                <c:pt idx="349">
                  <c:v>452.08964203691443</c:v>
                </c:pt>
                <c:pt idx="350">
                  <c:v>454.44467751438094</c:v>
                </c:pt>
                <c:pt idx="351">
                  <c:v>456.80382636162449</c:v>
                </c:pt>
                <c:pt idx="352">
                  <c:v>459.16707240960096</c:v>
                </c:pt>
                <c:pt idx="353">
                  <c:v>461.53439949021055</c:v>
                </c:pt>
                <c:pt idx="354">
                  <c:v>463.9057914364318</c:v>
                </c:pt>
                <c:pt idx="355">
                  <c:v>466.28123208245512</c:v>
                </c:pt>
                <c:pt idx="356">
                  <c:v>468.66070526381549</c:v>
                </c:pt>
                <c:pt idx="357">
                  <c:v>471.04419481752507</c:v>
                </c:pt>
                <c:pt idx="358">
                  <c:v>473.4316845822047</c:v>
                </c:pt>
                <c:pt idx="359">
                  <c:v>475.82315839821513</c:v>
                </c:pt>
                <c:pt idx="360">
                  <c:v>478.21860010778767</c:v>
                </c:pt>
                <c:pt idx="361">
                  <c:v>480.61799355515399</c:v>
                </c:pt>
                <c:pt idx="362">
                  <c:v>483.02132258667564</c:v>
                </c:pt>
                <c:pt idx="363">
                  <c:v>485.42857105097283</c:v>
                </c:pt>
                <c:pt idx="364">
                  <c:v>487.83972279905254</c:v>
                </c:pt>
                <c:pt idx="365">
                  <c:v>490.25476168443623</c:v>
                </c:pt>
                <c:pt idx="366">
                  <c:v>492.67367420887518</c:v>
                </c:pt>
                <c:pt idx="367">
                  <c:v>495.09645216765875</c:v>
                </c:pt>
                <c:pt idx="368">
                  <c:v>497.52309000166952</c:v>
                </c:pt>
                <c:pt idx="369">
                  <c:v>499.95358214980331</c:v>
                </c:pt>
                <c:pt idx="370">
                  <c:v>502.38792304901108</c:v>
                </c:pt>
                <c:pt idx="371">
                  <c:v>504.82610713434059</c:v>
                </c:pt>
                <c:pt idx="372">
                  <c:v>507.26812883897844</c:v>
                </c:pt>
                <c:pt idx="373">
                  <c:v>509.71398259429139</c:v>
                </c:pt>
                <c:pt idx="374">
                  <c:v>512.16366282986826</c:v>
                </c:pt>
                <c:pt idx="375">
                  <c:v>514.61716397356111</c:v>
                </c:pt>
                <c:pt idx="376">
                  <c:v>517.07448045152682</c:v>
                </c:pt>
                <c:pt idx="377">
                  <c:v>519.53560668826844</c:v>
                </c:pt>
                <c:pt idx="378">
                  <c:v>522.00053710667646</c:v>
                </c:pt>
                <c:pt idx="379">
                  <c:v>524.46926612806988</c:v>
                </c:pt>
                <c:pt idx="380">
                  <c:v>526.94178817223735</c:v>
                </c:pt>
                <c:pt idx="381">
                  <c:v>529.41809480143672</c:v>
                </c:pt>
                <c:pt idx="382">
                  <c:v>531.89817186494156</c:v>
                </c:pt>
                <c:pt idx="383">
                  <c:v>534.38200235801844</c:v>
                </c:pt>
                <c:pt idx="384">
                  <c:v>536.86956928040161</c:v>
                </c:pt>
                <c:pt idx="385">
                  <c:v>539.36085563642223</c:v>
                </c:pt>
                <c:pt idx="386">
                  <c:v>541.85584443513699</c:v>
                </c:pt>
                <c:pt idx="387">
                  <c:v>544.35451869045528</c:v>
                </c:pt>
                <c:pt idx="388">
                  <c:v>546.85686142126667</c:v>
                </c:pt>
                <c:pt idx="389">
                  <c:v>549.36285565156709</c:v>
                </c:pt>
                <c:pt idx="390">
                  <c:v>551.87248441058443</c:v>
                </c:pt>
                <c:pt idx="391">
                  <c:v>554.38573073290354</c:v>
                </c:pt>
                <c:pt idx="392">
                  <c:v>556.9025776585903</c:v>
                </c:pt>
                <c:pt idx="393">
                  <c:v>559.42300823331561</c:v>
                </c:pt>
                <c:pt idx="394">
                  <c:v>561.94700550847767</c:v>
                </c:pt>
                <c:pt idx="395">
                  <c:v>564.47455254132467</c:v>
                </c:pt>
                <c:pt idx="396">
                  <c:v>567.00563239507608</c:v>
                </c:pt>
                <c:pt idx="397">
                  <c:v>569.54022813904328</c:v>
                </c:pt>
                <c:pt idx="398">
                  <c:v>572.07832284874985</c:v>
                </c:pt>
                <c:pt idx="399">
                  <c:v>574.61989960605081</c:v>
                </c:pt>
                <c:pt idx="400">
                  <c:v>577.16494149925143</c:v>
                </c:pt>
                <c:pt idx="401">
                  <c:v>579.7134293809554</c:v>
                </c:pt>
                <c:pt idx="402">
                  <c:v>582.26533962656458</c:v>
                </c:pt>
                <c:pt idx="403">
                  <c:v>584.82064637933536</c:v>
                </c:pt>
                <c:pt idx="404">
                  <c:v>587.37932379482743</c:v>
                </c:pt>
                <c:pt idx="405">
                  <c:v>589.94134604110957</c:v>
                </c:pt>
                <c:pt idx="406">
                  <c:v>592.50668729896449</c:v>
                </c:pt>
                <c:pt idx="407">
                  <c:v>595.07532176209168</c:v>
                </c:pt>
                <c:pt idx="408">
                  <c:v>597.64722363730891</c:v>
                </c:pt>
                <c:pt idx="409">
                  <c:v>600.2223671447523</c:v>
                </c:pt>
                <c:pt idx="410">
                  <c:v>602.80072651807461</c:v>
                </c:pt>
                <c:pt idx="411">
                  <c:v>605.38226362786168</c:v>
                </c:pt>
                <c:pt idx="412">
                  <c:v>607.96691560961267</c:v>
                </c:pt>
                <c:pt idx="413">
                  <c:v>610.55460725718456</c:v>
                </c:pt>
                <c:pt idx="414">
                  <c:v>613.14526341212638</c:v>
                </c:pt>
                <c:pt idx="415">
                  <c:v>615.73880896478317</c:v>
                </c:pt>
                <c:pt idx="416">
                  <c:v>618.33516885538825</c:v>
                </c:pt>
                <c:pt idx="417">
                  <c:v>620.93426807514436</c:v>
                </c:pt>
                <c:pt idx="418">
                  <c:v>623.53603166729283</c:v>
                </c:pt>
                <c:pt idx="419">
                  <c:v>626.14038472817185</c:v>
                </c:pt>
                <c:pt idx="420">
                  <c:v>628.74724537442728</c:v>
                </c:pt>
                <c:pt idx="421">
                  <c:v>631.35651771397045</c:v>
                </c:pt>
                <c:pt idx="422">
                  <c:v>633.96809889210795</c:v>
                </c:pt>
                <c:pt idx="423">
                  <c:v>636.58188613430775</c:v>
                </c:pt>
                <c:pt idx="424">
                  <c:v>639.19777674801162</c:v>
                </c:pt>
                <c:pt idx="425">
                  <c:v>641.8156681244252</c:v>
                </c:pt>
                <c:pt idx="426">
                  <c:v>644.43545774028735</c:v>
                </c:pt>
                <c:pt idx="427">
                  <c:v>647.05704315961793</c:v>
                </c:pt>
                <c:pt idx="428">
                  <c:v>649.68032203544362</c:v>
                </c:pt>
                <c:pt idx="429">
                  <c:v>652.30519211150329</c:v>
                </c:pt>
                <c:pt idx="430">
                  <c:v>654.93155122393091</c:v>
                </c:pt>
                <c:pt idx="431">
                  <c:v>657.5592973029178</c:v>
                </c:pt>
                <c:pt idx="432">
                  <c:v>660.18831705355319</c:v>
                </c:pt>
                <c:pt idx="433">
                  <c:v>662.81847464582984</c:v>
                </c:pt>
                <c:pt idx="434">
                  <c:v>665.44962306010348</c:v>
                </c:pt>
                <c:pt idx="435">
                  <c:v>668.08161542419873</c:v>
                </c:pt>
                <c:pt idx="436">
                  <c:v>670.71430501665748</c:v>
                </c:pt>
                <c:pt idx="437">
                  <c:v>673.34754526994288</c:v>
                </c:pt>
                <c:pt idx="438">
                  <c:v>675.98118977359934</c:v>
                </c:pt>
                <c:pt idx="439">
                  <c:v>678.6150922773669</c:v>
                </c:pt>
                <c:pt idx="440">
                  <c:v>681.24910669425208</c:v>
                </c:pt>
                <c:pt idx="441">
                  <c:v>683.88308710355341</c:v>
                </c:pt>
                <c:pt idx="442">
                  <c:v>686.51689462337754</c:v>
                </c:pt>
                <c:pt idx="443">
                  <c:v>689.15040427543317</c:v>
                </c:pt>
                <c:pt idx="444">
                  <c:v>691.78349810123439</c:v>
                </c:pt>
                <c:pt idx="445">
                  <c:v>694.41605828542538</c:v>
                </c:pt>
                <c:pt idx="446">
                  <c:v>697.04796715756731</c:v>
                </c:pt>
                <c:pt idx="447">
                  <c:v>699.67910719389579</c:v>
                </c:pt>
                <c:pt idx="448">
                  <c:v>702.30936101904945</c:v>
                </c:pt>
                <c:pt idx="449">
                  <c:v>704.93861140777028</c:v>
                </c:pt>
                <c:pt idx="450">
                  <c:v>707.56674128657414</c:v>
                </c:pt>
                <c:pt idx="451">
                  <c:v>710.19363373539363</c:v>
                </c:pt>
                <c:pt idx="452">
                  <c:v>712.81917198919189</c:v>
                </c:pt>
                <c:pt idx="453">
                  <c:v>715.44324926883144</c:v>
                </c:pt>
                <c:pt idx="454">
                  <c:v>718.06577859851507</c:v>
                </c:pt>
                <c:pt idx="455">
                  <c:v>720.68668295008877</c:v>
                </c:pt>
                <c:pt idx="456">
                  <c:v>723.30588540023746</c:v>
                </c:pt>
                <c:pt idx="457">
                  <c:v>725.92330913100648</c:v>
                </c:pt>
                <c:pt idx="458">
                  <c:v>728.53887743031214</c:v>
                </c:pt>
                <c:pt idx="459">
                  <c:v>731.15251369243992</c:v>
                </c:pt>
                <c:pt idx="460">
                  <c:v>733.76414141853127</c:v>
                </c:pt>
                <c:pt idx="461">
                  <c:v>736.37369305874404</c:v>
                </c:pt>
                <c:pt idx="462">
                  <c:v>738.98111884143589</c:v>
                </c:pt>
                <c:pt idx="463">
                  <c:v>741.58637790564012</c:v>
                </c:pt>
                <c:pt idx="464">
                  <c:v>744.18942944628725</c:v>
                </c:pt>
                <c:pt idx="465">
                  <c:v>746.79023271422307</c:v>
                </c:pt>
                <c:pt idx="466">
                  <c:v>749.38873959016667</c:v>
                </c:pt>
                <c:pt idx="467">
                  <c:v>751.98488716982456</c:v>
                </c:pt>
                <c:pt idx="468">
                  <c:v>754.57852252038674</c:v>
                </c:pt>
                <c:pt idx="469">
                  <c:v>757.16942874812855</c:v>
                </c:pt>
                <c:pt idx="470">
                  <c:v>759.75750897956016</c:v>
                </c:pt>
                <c:pt idx="471">
                  <c:v>762.34276767407391</c:v>
                </c:pt>
                <c:pt idx="472">
                  <c:v>764.92520927774012</c:v>
                </c:pt>
                <c:pt idx="473">
                  <c:v>767.50483822336014</c:v>
                </c:pt>
                <c:pt idx="474">
                  <c:v>770.08165893051876</c:v>
                </c:pt>
                <c:pt idx="475">
                  <c:v>772.65567580563686</c:v>
                </c:pt>
                <c:pt idx="476">
                  <c:v>775.22689324202315</c:v>
                </c:pt>
                <c:pt idx="477">
                  <c:v>777.79531561992633</c:v>
                </c:pt>
                <c:pt idx="478">
                  <c:v>780.36094730658658</c:v>
                </c:pt>
                <c:pt idx="479">
                  <c:v>782.92379265628688</c:v>
                </c:pt>
                <c:pt idx="480">
                  <c:v>785.48385601040411</c:v>
                </c:pt>
                <c:pt idx="481">
                  <c:v>788.04114169745981</c:v>
                </c:pt>
                <c:pt idx="482">
                  <c:v>790.59565403317083</c:v>
                </c:pt>
                <c:pt idx="483">
                  <c:v>793.14739732049964</c:v>
                </c:pt>
                <c:pt idx="484">
                  <c:v>795.69637584970417</c:v>
                </c:pt>
                <c:pt idx="485">
                  <c:v>798.24259389838801</c:v>
                </c:pt>
                <c:pt idx="486">
                  <c:v>800.78605573154982</c:v>
                </c:pt>
                <c:pt idx="487">
                  <c:v>803.32676560163247</c:v>
                </c:pt>
                <c:pt idx="488">
                  <c:v>805.86472774857225</c:v>
                </c:pt>
                <c:pt idx="489">
                  <c:v>808.39994639984786</c:v>
                </c:pt>
                <c:pt idx="490">
                  <c:v>810.93242577052888</c:v>
                </c:pt>
                <c:pt idx="491">
                  <c:v>813.46217006332404</c:v>
                </c:pt>
                <c:pt idx="492">
                  <c:v>815.98918346862934</c:v>
                </c:pt>
                <c:pt idx="493">
                  <c:v>818.51347016457623</c:v>
                </c:pt>
                <c:pt idx="494">
                  <c:v>821.03503431707884</c:v>
                </c:pt>
                <c:pt idx="495">
                  <c:v>823.55388007988165</c:v>
                </c:pt>
                <c:pt idx="496">
                  <c:v>826.07001159460663</c:v>
                </c:pt>
                <c:pt idx="497">
                  <c:v>828.58343299080002</c:v>
                </c:pt>
                <c:pt idx="498">
                  <c:v>831.09414838597945</c:v>
                </c:pt>
                <c:pt idx="499">
                  <c:v>833.60216188567995</c:v>
                </c:pt>
                <c:pt idx="500">
                  <c:v>836.10747758350044</c:v>
                </c:pt>
                <c:pt idx="501">
                  <c:v>861.01257165723757</c:v>
                </c:pt>
                <c:pt idx="502">
                  <c:v>885.65051542412959</c:v>
                </c:pt>
                <c:pt idx="503">
                  <c:v>910.02528700209302</c:v>
                </c:pt>
                <c:pt idx="504">
                  <c:v>934.14075123234056</c:v>
                </c:pt>
                <c:pt idx="505">
                  <c:v>958.0006639235088</c:v>
                </c:pt>
                <c:pt idx="506">
                  <c:v>981.60867589596035</c:v>
                </c:pt>
                <c:pt idx="507">
                  <c:v>1004.9683368375148</c:v>
                </c:pt>
                <c:pt idx="508">
                  <c:v>1028.0830989811241</c:v>
                </c:pt>
                <c:pt idx="509">
                  <c:v>1050.9563206143273</c:v>
                </c:pt>
                <c:pt idx="510">
                  <c:v>1073.5912694296894</c:v>
                </c:pt>
                <c:pt idx="511">
                  <c:v>1095.9911257248414</c:v>
                </c:pt>
                <c:pt idx="512">
                  <c:v>1118.1589854601978</c:v>
                </c:pt>
                <c:pt idx="513">
                  <c:v>1140.0978631819232</c:v>
                </c:pt>
                <c:pt idx="514">
                  <c:v>1161.8106948172513</c:v>
                </c:pt>
                <c:pt idx="515">
                  <c:v>1183.3003403488226</c:v>
                </c:pt>
                <c:pt idx="516">
                  <c:v>1204.5695863743065</c:v>
                </c:pt>
                <c:pt idx="517">
                  <c:v>1225.6211485571914</c:v>
                </c:pt>
                <c:pt idx="518">
                  <c:v>1246.4576739742779</c:v>
                </c:pt>
                <c:pt idx="519">
                  <c:v>1267.0817433650823</c:v>
                </c:pt>
                <c:pt idx="520">
                  <c:v>1287.4958732880539</c:v>
                </c:pt>
                <c:pt idx="521">
                  <c:v>1307.7025181882202</c:v>
                </c:pt>
                <c:pt idx="522">
                  <c:v>1327.7040723806124</c:v>
                </c:pt>
                <c:pt idx="523">
                  <c:v>1347.5028719535737</c:v>
                </c:pt>
                <c:pt idx="524">
                  <c:v>1367.1011965958194</c:v>
                </c:pt>
                <c:pt idx="525">
                  <c:v>1386.5012713508995</c:v>
                </c:pt>
                <c:pt idx="526">
                  <c:v>1405.7052683025154</c:v>
                </c:pt>
                <c:pt idx="527">
                  <c:v>1424.7153081939452</c:v>
                </c:pt>
                <c:pt idx="528">
                  <c:v>1443.5334619846592</c:v>
                </c:pt>
                <c:pt idx="529">
                  <c:v>1462.161752347035</c:v>
                </c:pt>
                <c:pt idx="530">
                  <c:v>1480.602155105928</c:v>
                </c:pt>
                <c:pt idx="531">
                  <c:v>1498.8566006237045</c:v>
                </c:pt>
                <c:pt idx="532">
                  <c:v>1516.9269751332042</c:v>
                </c:pt>
                <c:pt idx="533">
                  <c:v>1534.815122020972</c:v>
                </c:pt>
                <c:pt idx="534">
                  <c:v>1552.5228430629732</c:v>
                </c:pt>
                <c:pt idx="535">
                  <c:v>1570.0518996148946</c:v>
                </c:pt>
                <c:pt idx="536">
                  <c:v>1587.4040137590243</c:v>
                </c:pt>
                <c:pt idx="537">
                  <c:v>1604.5808694095983</c:v>
                </c:pt>
                <c:pt idx="538">
                  <c:v>1621.5841133784127</c:v>
                </c:pt>
                <c:pt idx="539">
                  <c:v>1638.4153564024016</c:v>
                </c:pt>
                <c:pt idx="540">
                  <c:v>1655.076174134804</c:v>
                </c:pt>
                <c:pt idx="541">
                  <c:v>1671.5681081014545</c:v>
                </c:pt>
                <c:pt idx="542">
                  <c:v>1687.8926666236644</c:v>
                </c:pt>
                <c:pt idx="543">
                  <c:v>1704.0513257090809</c:v>
                </c:pt>
                <c:pt idx="544">
                  <c:v>1720.0455299118523</c:v>
                </c:pt>
                <c:pt idx="545">
                  <c:v>1735.8766931633552</c:v>
                </c:pt>
                <c:pt idx="546">
                  <c:v>1751.5461995746853</c:v>
                </c:pt>
                <c:pt idx="547">
                  <c:v>1767.0554042120552</c:v>
                </c:pt>
                <c:pt idx="548">
                  <c:v>1782.4056338461851</c:v>
                </c:pt>
                <c:pt idx="549">
                  <c:v>1797.5981876767262</c:v>
                </c:pt>
                <c:pt idx="550">
                  <c:v>1812.634338032706</c:v>
                </c:pt>
                <c:pt idx="551">
                  <c:v>1827.5153310499368</c:v>
                </c:pt>
                <c:pt idx="552">
                  <c:v>1842.2423873262906</c:v>
                </c:pt>
                <c:pt idx="553">
                  <c:v>1856.8167025556961</c:v>
                </c:pt>
                <c:pt idx="554">
                  <c:v>1871.2394481416814</c:v>
                </c:pt>
                <c:pt idx="555">
                  <c:v>1885.5117717912422</c:v>
                </c:pt>
                <c:pt idx="556">
                  <c:v>1899.6347980897863</c:v>
                </c:pt>
                <c:pt idx="557">
                  <c:v>1913.6096290578682</c:v>
                </c:pt>
                <c:pt idx="558">
                  <c:v>1927.4373446903965</c:v>
                </c:pt>
                <c:pt idx="559">
                  <c:v>1941.1190034789684</c:v>
                </c:pt>
                <c:pt idx="560">
                  <c:v>1954.6556429179564</c:v>
                </c:pt>
                <c:pt idx="561">
                  <c:v>1968.0482799949443</c:v>
                </c:pt>
                <c:pt idx="562">
                  <c:v>1981.2979116660854</c:v>
                </c:pt>
                <c:pt idx="563">
                  <c:v>1994.4055153169286</c:v>
                </c:pt>
                <c:pt idx="564">
                  <c:v>2007.3720492092409</c:v>
                </c:pt>
                <c:pt idx="565">
                  <c:v>2020.198452914324</c:v>
                </c:pt>
                <c:pt idx="566">
                  <c:v>2032.8856477333097</c:v>
                </c:pt>
                <c:pt idx="567">
                  <c:v>2045.4345371048933</c:v>
                </c:pt>
                <c:pt idx="568">
                  <c:v>2057.8460070009473</c:v>
                </c:pt>
                <c:pt idx="569">
                  <c:v>2070.1209263104424</c:v>
                </c:pt>
                <c:pt idx="570">
                  <c:v>2082.2601472120764</c:v>
                </c:pt>
                <c:pt idx="571">
                  <c:v>2094.2645055360067</c:v>
                </c:pt>
                <c:pt idx="572">
                  <c:v>2106.1348211150585</c:v>
                </c:pt>
                <c:pt idx="573">
                  <c:v>2117.8718981257671</c:v>
                </c:pt>
                <c:pt idx="574">
                  <c:v>2129.4765254196027</c:v>
                </c:pt>
                <c:pt idx="575">
                  <c:v>2140.9494768447034</c:v>
                </c:pt>
                <c:pt idx="576">
                  <c:v>2152.2915115584415</c:v>
                </c:pt>
                <c:pt idx="577">
                  <c:v>2163.5033743311242</c:v>
                </c:pt>
                <c:pt idx="578">
                  <c:v>2174.5857958411243</c:v>
                </c:pt>
                <c:pt idx="579">
                  <c:v>2185.5394929617232</c:v>
                </c:pt>
                <c:pt idx="580">
                  <c:v>2196.3651690399392</c:v>
                </c:pt>
                <c:pt idx="581">
                  <c:v>2207.0635141676021</c:v>
                </c:pt>
                <c:pt idx="582">
                  <c:v>2217.6352054449248</c:v>
                </c:pt>
                <c:pt idx="583">
                  <c:v>2228.0809072368152</c:v>
                </c:pt>
                <c:pt idx="584">
                  <c:v>2238.4012714221617</c:v>
                </c:pt>
                <c:pt idx="585">
                  <c:v>2248.5969376363159</c:v>
                </c:pt>
                <c:pt idx="586">
                  <c:v>2258.6685335069915</c:v>
                </c:pt>
                <c:pt idx="587">
                  <c:v>2268.6166748837823</c:v>
                </c:pt>
                <c:pt idx="588">
                  <c:v>2278.4419660615085</c:v>
                </c:pt>
                <c:pt idx="589">
                  <c:v>2288.1449999975775</c:v>
                </c:pt>
                <c:pt idx="590">
                  <c:v>2297.7263585235505</c:v>
                </c:pt>
                <c:pt idx="591">
                  <c:v>2307.1866125510933</c:v>
                </c:pt>
                <c:pt idx="592">
                  <c:v>2316.5263222724875</c:v>
                </c:pt>
                <c:pt idx="593">
                  <c:v>2325.7460373558683</c:v>
                </c:pt>
                <c:pt idx="594">
                  <c:v>2334.8462971353511</c:v>
                </c:pt>
                <c:pt idx="595">
                  <c:v>2343.8276307962055</c:v>
                </c:pt>
                <c:pt idx="596">
                  <c:v>2352.6905575552287</c:v>
                </c:pt>
                <c:pt idx="597">
                  <c:v>2361.4355868364614</c:v>
                </c:pt>
                <c:pt idx="598">
                  <c:v>2370.0632184423944</c:v>
                </c:pt>
                <c:pt idx="599">
                  <c:v>2378.5739427207955</c:v>
                </c:pt>
                <c:pt idx="600">
                  <c:v>2386.9682407272971</c:v>
                </c:pt>
                <c:pt idx="601">
                  <c:v>2395.2465843838718</c:v>
                </c:pt>
                <c:pt idx="602">
                  <c:v>2403.4094366333156</c:v>
                </c:pt>
                <c:pt idx="603">
                  <c:v>2411.4572515898699</c:v>
                </c:pt>
                <c:pt idx="604">
                  <c:v>2419.3904746860908</c:v>
                </c:pt>
                <c:pt idx="605">
                  <c:v>2427.2095428160878</c:v>
                </c:pt>
                <c:pt idx="606">
                  <c:v>2434.9148844752381</c:v>
                </c:pt>
                <c:pt idx="607">
                  <c:v>2442.5069198964884</c:v>
                </c:pt>
                <c:pt idx="608">
                  <c:v>2449.9860611833487</c:v>
                </c:pt>
                <c:pt idx="609">
                  <c:v>2457.3527124396824</c:v>
                </c:pt>
                <c:pt idx="610">
                  <c:v>2464.6072698963894</c:v>
                </c:pt>
                <c:pt idx="611">
                  <c:v>2471.7501220350878</c:v>
                </c:pt>
                <c:pt idx="612">
                  <c:v>2478.7816497088838</c:v>
                </c:pt>
                <c:pt idx="613">
                  <c:v>2485.7022262603282</c:v>
                </c:pt>
                <c:pt idx="614">
                  <c:v>2492.5122176366513</c:v>
                </c:pt>
                <c:pt idx="615">
                  <c:v>2499.2119825023656</c:v>
                </c:pt>
                <c:pt idx="616">
                  <c:v>2505.8018723493301</c:v>
                </c:pt>
                <c:pt idx="617">
                  <c:v>2512.2822316043594</c:v>
                </c:pt>
                <c:pt idx="618">
                  <c:v>2518.6533977344707</c:v>
                </c:pt>
                <c:pt idx="619">
                  <c:v>2524.9157013498484</c:v>
                </c:pt>
                <c:pt idx="620">
                  <c:v>2531.0694663046202</c:v>
                </c:pt>
                <c:pt idx="621">
                  <c:v>2537.1150097955228</c:v>
                </c:pt>
                <c:pt idx="622">
                  <c:v>2543.0526424585464</c:v>
                </c:pt>
                <c:pt idx="623">
                  <c:v>2548.8826684636415</c:v>
                </c:pt>
                <c:pt idx="624">
                  <c:v>2554.6053856075737</c:v>
                </c:pt>
                <c:pt idx="625">
                  <c:v>2560.221085405009</c:v>
                </c:pt>
                <c:pt idx="626">
                  <c:v>2565.730053177921</c:v>
                </c:pt>
                <c:pt idx="627">
                  <c:v>2571.1325681433991</c:v>
                </c:pt>
                <c:pt idx="628">
                  <c:v>2576.428903499951</c:v>
                </c:pt>
                <c:pt idx="629">
                  <c:v>2581.6193265123866</c:v>
                </c:pt>
                <c:pt idx="630">
                  <c:v>2586.7040985953699</c:v>
                </c:pt>
                <c:pt idx="631">
                  <c:v>2591.683475395736</c:v>
                </c:pt>
                <c:pt idx="632">
                  <c:v>2596.5577068736634</c:v>
                </c:pt>
                <c:pt idx="633">
                  <c:v>2601.3270373827982</c:v>
                </c:pt>
                <c:pt idx="634">
                  <c:v>2605.9917057494276</c:v>
                </c:pt>
                <c:pt idx="635">
                  <c:v>2610.5519453508077</c:v>
                </c:pt>
                <c:pt idx="636">
                  <c:v>2615.0079841927441</c:v>
                </c:pt>
                <c:pt idx="637">
                  <c:v>2619.3600449865385</c:v>
                </c:pt>
                <c:pt idx="638">
                  <c:v>2623.6083452254079</c:v>
                </c:pt>
                <c:pt idx="639">
                  <c:v>2627.7530972604955</c:v>
                </c:pt>
                <c:pt idx="640">
                  <c:v>2631.7945083765894</c:v>
                </c:pt>
                <c:pt idx="641">
                  <c:v>2635.7327808676755</c:v>
                </c:pt>
                <c:pt idx="642">
                  <c:v>2639.5681121124526</c:v>
                </c:pt>
                <c:pt idx="643">
                  <c:v>2643.3006946499436</c:v>
                </c:pt>
                <c:pt idx="644">
                  <c:v>2646.9307162553405</c:v>
                </c:pt>
                <c:pt idx="645">
                  <c:v>2650.45836001623</c:v>
                </c:pt>
                <c:pt idx="646">
                  <c:v>2653.8838044093472</c:v>
                </c:pt>
                <c:pt idx="647">
                  <c:v>2657.2072233780164</c:v>
                </c:pt>
                <c:pt idx="648">
                  <c:v>2660.4287864104344</c:v>
                </c:pt>
                <c:pt idx="649">
                  <c:v>2663.5486586189718</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yVal>
          <c:smooth val="0"/>
          <c:extLst>
            <c:ext xmlns:c16="http://schemas.microsoft.com/office/drawing/2014/chart" uri="{C3380CC4-5D6E-409C-BE32-E72D297353CC}">
              <c16:uniqueId val="{00000007-AEC5-4DB4-900B-02E79FDE56EC}"/>
            </c:ext>
          </c:extLst>
        </c:ser>
        <c:ser>
          <c:idx val="6"/>
          <c:order val="6"/>
          <c:tx>
            <c:strRef>
              <c:f>Trajecto!$B$106</c:f>
              <c:strCache>
                <c:ptCount val="1"/>
                <c:pt idx="0">
                  <c:v>Phase ascendante</c:v>
                </c:pt>
              </c:strCache>
            </c:strRef>
          </c:tx>
          <c:spPr>
            <a:ln w="28575">
              <a:noFill/>
            </a:ln>
          </c:spPr>
          <c:marker>
            <c:symbol val="none"/>
          </c:marker>
          <c:dLbls>
            <c:spPr>
              <a:noFill/>
              <a:ln w="25400">
                <a:noFill/>
              </a:ln>
            </c:spPr>
            <c:txPr>
              <a:bodyPr/>
              <a:lstStyle/>
              <a:p>
                <a:pPr>
                  <a:defRPr sz="700" b="1" i="0" u="none" strike="noStrike" baseline="0">
                    <a:solidFill>
                      <a:srgbClr val="000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Trajecto!$B$157</c:f>
              <c:numCache>
                <c:formatCode>General</c:formatCode>
                <c:ptCount val="1"/>
                <c:pt idx="0">
                  <c:v>5</c:v>
                </c:pt>
              </c:numCache>
            </c:numRef>
          </c:xVal>
          <c:yVal>
            <c:numRef>
              <c:f>Trajecto!$C$155</c:f>
              <c:numCache>
                <c:formatCode>0</c:formatCode>
                <c:ptCount val="1"/>
                <c:pt idx="0">
                  <c:v>1333.2835004103281</c:v>
                </c:pt>
              </c:numCache>
            </c:numRef>
          </c:yVal>
          <c:smooth val="0"/>
          <c:extLst>
            <c:ext xmlns:c16="http://schemas.microsoft.com/office/drawing/2014/chart" uri="{C3380CC4-5D6E-409C-BE32-E72D297353CC}">
              <c16:uniqueId val="{00000008-AEC5-4DB4-900B-02E79FDE56EC}"/>
            </c:ext>
          </c:extLst>
        </c:ser>
        <c:ser>
          <c:idx val="7"/>
          <c:order val="7"/>
          <c:tx>
            <c:strRef>
              <c:f>Trajecto!$B$107</c:f>
              <c:strCache>
                <c:ptCount val="1"/>
                <c:pt idx="0">
                  <c:v>Descente balistique</c:v>
                </c:pt>
              </c:strCache>
            </c:strRef>
          </c:tx>
          <c:spPr>
            <a:ln w="28575">
              <a:noFill/>
            </a:ln>
          </c:spPr>
          <c:marker>
            <c:symbol val="none"/>
          </c:marker>
          <c:dLbls>
            <c:spPr>
              <a:noFill/>
              <a:ln w="25400">
                <a:noFill/>
              </a:ln>
            </c:spPr>
            <c:txPr>
              <a:bodyPr/>
              <a:lstStyle/>
              <a:p>
                <a:pPr>
                  <a:defRPr sz="700" b="1" i="0" u="none" strike="noStrike" baseline="0">
                    <a:solidFill>
                      <a:srgbClr val="808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Trajecto!$B$158</c:f>
              <c:numCache>
                <c:formatCode>General</c:formatCode>
                <c:ptCount val="1"/>
                <c:pt idx="0">
                  <c:v>36.100000000000179</c:v>
                </c:pt>
              </c:numCache>
            </c:numRef>
          </c:xVal>
          <c:yVal>
            <c:numRef>
              <c:f>Trajecto!$C$156</c:f>
              <c:numCache>
                <c:formatCode>0</c:formatCode>
                <c:ptCount val="1"/>
                <c:pt idx="0">
                  <c:v>1355.2618517305357</c:v>
                </c:pt>
              </c:numCache>
            </c:numRef>
          </c:yVal>
          <c:smooth val="0"/>
          <c:extLst>
            <c:ext xmlns:c16="http://schemas.microsoft.com/office/drawing/2014/chart" uri="{C3380CC4-5D6E-409C-BE32-E72D297353CC}">
              <c16:uniqueId val="{00000009-AEC5-4DB4-900B-02E79FDE56EC}"/>
            </c:ext>
          </c:extLst>
        </c:ser>
        <c:dLbls>
          <c:showLegendKey val="0"/>
          <c:showVal val="0"/>
          <c:showCatName val="0"/>
          <c:showSerName val="0"/>
          <c:showPercent val="0"/>
          <c:showBubbleSize val="0"/>
        </c:dLbls>
        <c:axId val="149275008"/>
        <c:axId val="149276928"/>
      </c:scatterChart>
      <c:valAx>
        <c:axId val="149275008"/>
        <c:scaling>
          <c:orientation val="minMax"/>
          <c:min val="0"/>
        </c:scaling>
        <c:delete val="0"/>
        <c:axPos val="b"/>
        <c:majorGridlines>
          <c:spPr>
            <a:ln w="3175">
              <a:solidFill>
                <a:srgbClr val="000000"/>
              </a:solidFill>
              <a:prstDash val="sysDash"/>
            </a:ln>
          </c:spPr>
        </c:majorGridlines>
        <c:title>
          <c:tx>
            <c:strRef>
              <c:f>Trajecto!$B$112</c:f>
              <c:strCache>
                <c:ptCount val="1"/>
                <c:pt idx="0">
                  <c:v>Temps [s]</c:v>
                </c:pt>
              </c:strCache>
            </c:strRef>
          </c:tx>
          <c:layout>
            <c:manualLayout>
              <c:xMode val="edge"/>
              <c:yMode val="edge"/>
              <c:x val="0.60555551848391842"/>
              <c:y val="0.8513930569999506"/>
            </c:manualLayout>
          </c:layout>
          <c:overlay val="0"/>
          <c:spPr>
            <a:solidFill>
              <a:srgbClr val="FFFFFF"/>
            </a:solidFill>
            <a:ln w="25400">
              <a:noFill/>
            </a:ln>
          </c:spPr>
          <c:txPr>
            <a:bodyPr/>
            <a:lstStyle/>
            <a:p>
              <a:pPr>
                <a:defRPr sz="800" b="1" i="0" u="none" strike="noStrike" baseline="0">
                  <a:solidFill>
                    <a:srgbClr val="0000FF"/>
                  </a:solidFill>
                  <a:latin typeface="Arial"/>
                  <a:ea typeface="Arial"/>
                  <a:cs typeface="Arial"/>
                </a:defRPr>
              </a:pPr>
              <a:endParaRPr lang="fr-FR"/>
            </a:p>
          </c:tx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9276928"/>
        <c:crosses val="autoZero"/>
        <c:crossBetween val="midCat"/>
      </c:valAx>
      <c:valAx>
        <c:axId val="149276928"/>
        <c:scaling>
          <c:orientation val="minMax"/>
          <c:min val="0"/>
        </c:scaling>
        <c:delete val="0"/>
        <c:axPos val="l"/>
        <c:majorGridlines>
          <c:spPr>
            <a:ln w="3175">
              <a:solidFill>
                <a:srgbClr val="000000"/>
              </a:solidFill>
              <a:prstDash val="sysDash"/>
            </a:ln>
          </c:spPr>
        </c:majorGridlines>
        <c:title>
          <c:tx>
            <c:rich>
              <a:bodyPr/>
              <a:lstStyle/>
              <a:p>
                <a:pPr>
                  <a:defRPr sz="800" b="1" i="0" u="none" strike="noStrike" baseline="0">
                    <a:solidFill>
                      <a:srgbClr val="0000FF"/>
                    </a:solidFill>
                    <a:latin typeface="Arial"/>
                    <a:ea typeface="Arial"/>
                    <a:cs typeface="Arial"/>
                  </a:defRPr>
                </a:pPr>
                <a:r>
                  <a:rPr lang="fr-FR"/>
                  <a:t>Altitude z [m]</a:t>
                </a:r>
              </a:p>
            </c:rich>
          </c:tx>
          <c:layout>
            <c:manualLayout>
              <c:xMode val="edge"/>
              <c:yMode val="edge"/>
              <c:x val="9.0000333644735087E-2"/>
              <c:y val="6.8111391736410315E-2"/>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9275008"/>
        <c:crosses val="autoZero"/>
        <c:crossBetween val="midCat"/>
      </c:valAx>
      <c:spPr>
        <a:gradFill rotWithShape="0">
          <a:gsLst>
            <a:gs pos="0">
              <a:srgbClr val="99CCFF"/>
            </a:gs>
            <a:gs pos="100000">
              <a:srgbClr val="FFFFFF"/>
            </a:gs>
          </a:gsLst>
          <a:lin ang="5400000" scaled="1"/>
        </a:gradFill>
        <a:ln w="12700">
          <a:solidFill>
            <a:srgbClr val="80808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Forces</a:t>
            </a:r>
          </a:p>
        </c:rich>
      </c:tx>
      <c:overlay val="1"/>
    </c:title>
    <c:autoTitleDeleted val="0"/>
    <c:plotArea>
      <c:layout>
        <c:manualLayout>
          <c:layoutTarget val="inner"/>
          <c:xMode val="edge"/>
          <c:yMode val="edge"/>
          <c:x val="0.11674528301886802"/>
          <c:y val="9.4771544282144501E-2"/>
          <c:w val="0.86438679245283023"/>
          <c:h val="0.74183243282920064"/>
        </c:manualLayout>
      </c:layout>
      <c:scatterChart>
        <c:scatterStyle val="lineMarker"/>
        <c:varyColors val="0"/>
        <c:ser>
          <c:idx val="1"/>
          <c:order val="0"/>
          <c:tx>
            <c:strRef>
              <c:f>Courbes!$B$134</c:f>
              <c:strCache>
                <c:ptCount val="1"/>
                <c:pt idx="0">
                  <c:v>Poussée</c:v>
                </c:pt>
              </c:strCache>
            </c:strRef>
          </c:tx>
          <c:spPr>
            <a:ln w="25400">
              <a:solidFill>
                <a:srgbClr val="008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2.0100000000000011</c:v>
                </c:pt>
                <c:pt idx="202">
                  <c:v>2.0200000000000009</c:v>
                </c:pt>
                <c:pt idx="203">
                  <c:v>2.0300000000000007</c:v>
                </c:pt>
                <c:pt idx="204">
                  <c:v>2.0400000000000005</c:v>
                </c:pt>
                <c:pt idx="205">
                  <c:v>2.0500000000000003</c:v>
                </c:pt>
                <c:pt idx="206">
                  <c:v>2.06</c:v>
                </c:pt>
                <c:pt idx="207">
                  <c:v>2.0699999999999998</c:v>
                </c:pt>
                <c:pt idx="208">
                  <c:v>2.0799999999999996</c:v>
                </c:pt>
                <c:pt idx="209">
                  <c:v>2.0899999999999994</c:v>
                </c:pt>
                <c:pt idx="210">
                  <c:v>2.0999999999999992</c:v>
                </c:pt>
                <c:pt idx="211">
                  <c:v>2.109999999999999</c:v>
                </c:pt>
                <c:pt idx="212">
                  <c:v>2.1199999999999988</c:v>
                </c:pt>
                <c:pt idx="213">
                  <c:v>2.1299999999999986</c:v>
                </c:pt>
                <c:pt idx="214">
                  <c:v>2.1399999999999983</c:v>
                </c:pt>
                <c:pt idx="215">
                  <c:v>2.1499999999999981</c:v>
                </c:pt>
                <c:pt idx="216">
                  <c:v>2.1599999999999979</c:v>
                </c:pt>
                <c:pt idx="217">
                  <c:v>2.1699999999999977</c:v>
                </c:pt>
                <c:pt idx="218">
                  <c:v>2.1799999999999975</c:v>
                </c:pt>
                <c:pt idx="219">
                  <c:v>2.1899999999999973</c:v>
                </c:pt>
                <c:pt idx="220">
                  <c:v>2.1999999999999971</c:v>
                </c:pt>
                <c:pt idx="221">
                  <c:v>2.2099999999999969</c:v>
                </c:pt>
                <c:pt idx="222">
                  <c:v>2.2199999999999966</c:v>
                </c:pt>
                <c:pt idx="223">
                  <c:v>2.2299999999999964</c:v>
                </c:pt>
                <c:pt idx="224">
                  <c:v>2.2399999999999962</c:v>
                </c:pt>
                <c:pt idx="225">
                  <c:v>2.249999999999996</c:v>
                </c:pt>
                <c:pt idx="226">
                  <c:v>2.2599999999999958</c:v>
                </c:pt>
                <c:pt idx="227">
                  <c:v>2.2699999999999956</c:v>
                </c:pt>
                <c:pt idx="228">
                  <c:v>2.2799999999999954</c:v>
                </c:pt>
                <c:pt idx="229">
                  <c:v>2.2899999999999952</c:v>
                </c:pt>
                <c:pt idx="230">
                  <c:v>2.2999999999999949</c:v>
                </c:pt>
                <c:pt idx="231">
                  <c:v>2.3099999999999947</c:v>
                </c:pt>
                <c:pt idx="232">
                  <c:v>2.3199999999999945</c:v>
                </c:pt>
                <c:pt idx="233">
                  <c:v>2.3299999999999943</c:v>
                </c:pt>
                <c:pt idx="234">
                  <c:v>2.3399999999999941</c:v>
                </c:pt>
                <c:pt idx="235">
                  <c:v>2.3499999999999939</c:v>
                </c:pt>
                <c:pt idx="236">
                  <c:v>2.3599999999999937</c:v>
                </c:pt>
                <c:pt idx="237">
                  <c:v>2.3699999999999934</c:v>
                </c:pt>
                <c:pt idx="238">
                  <c:v>2.3799999999999932</c:v>
                </c:pt>
                <c:pt idx="239">
                  <c:v>2.389999999999993</c:v>
                </c:pt>
                <c:pt idx="240">
                  <c:v>2.3999999999999928</c:v>
                </c:pt>
                <c:pt idx="241">
                  <c:v>2.4099999999999926</c:v>
                </c:pt>
                <c:pt idx="242">
                  <c:v>2.4199999999999924</c:v>
                </c:pt>
                <c:pt idx="243">
                  <c:v>2.4299999999999922</c:v>
                </c:pt>
                <c:pt idx="244">
                  <c:v>2.439999999999992</c:v>
                </c:pt>
                <c:pt idx="245">
                  <c:v>2.4499999999999917</c:v>
                </c:pt>
                <c:pt idx="246">
                  <c:v>2.4599999999999915</c:v>
                </c:pt>
                <c:pt idx="247">
                  <c:v>2.4699999999999913</c:v>
                </c:pt>
                <c:pt idx="248">
                  <c:v>2.4799999999999911</c:v>
                </c:pt>
                <c:pt idx="249">
                  <c:v>2.4899999999999909</c:v>
                </c:pt>
                <c:pt idx="250">
                  <c:v>2.4999999999999907</c:v>
                </c:pt>
                <c:pt idx="251">
                  <c:v>2.5099999999999905</c:v>
                </c:pt>
                <c:pt idx="252">
                  <c:v>2.5199999999999902</c:v>
                </c:pt>
                <c:pt idx="253">
                  <c:v>2.52999999999999</c:v>
                </c:pt>
                <c:pt idx="254">
                  <c:v>2.5399999999999898</c:v>
                </c:pt>
                <c:pt idx="255">
                  <c:v>2.5499999999999896</c:v>
                </c:pt>
                <c:pt idx="256">
                  <c:v>2.5599999999999894</c:v>
                </c:pt>
                <c:pt idx="257">
                  <c:v>2.5699999999999892</c:v>
                </c:pt>
                <c:pt idx="258">
                  <c:v>2.579999999999989</c:v>
                </c:pt>
                <c:pt idx="259">
                  <c:v>2.5899999999999888</c:v>
                </c:pt>
                <c:pt idx="260">
                  <c:v>2.5999999999999885</c:v>
                </c:pt>
                <c:pt idx="261">
                  <c:v>2.6099999999999883</c:v>
                </c:pt>
                <c:pt idx="262">
                  <c:v>2.6199999999999881</c:v>
                </c:pt>
                <c:pt idx="263">
                  <c:v>2.6299999999999879</c:v>
                </c:pt>
                <c:pt idx="264">
                  <c:v>2.6399999999999877</c:v>
                </c:pt>
                <c:pt idx="265">
                  <c:v>2.6499999999999875</c:v>
                </c:pt>
                <c:pt idx="266">
                  <c:v>2.6599999999999873</c:v>
                </c:pt>
                <c:pt idx="267">
                  <c:v>2.6699999999999871</c:v>
                </c:pt>
                <c:pt idx="268">
                  <c:v>2.6799999999999868</c:v>
                </c:pt>
                <c:pt idx="269">
                  <c:v>2.6899999999999866</c:v>
                </c:pt>
                <c:pt idx="270">
                  <c:v>2.6999999999999864</c:v>
                </c:pt>
                <c:pt idx="271">
                  <c:v>2.7099999999999862</c:v>
                </c:pt>
                <c:pt idx="272">
                  <c:v>2.719999999999986</c:v>
                </c:pt>
                <c:pt idx="273">
                  <c:v>2.7299999999999858</c:v>
                </c:pt>
                <c:pt idx="274">
                  <c:v>2.7399999999999856</c:v>
                </c:pt>
                <c:pt idx="275">
                  <c:v>2.7499999999999853</c:v>
                </c:pt>
                <c:pt idx="276">
                  <c:v>2.7599999999999851</c:v>
                </c:pt>
                <c:pt idx="277">
                  <c:v>2.7699999999999849</c:v>
                </c:pt>
                <c:pt idx="278">
                  <c:v>2.7799999999999847</c:v>
                </c:pt>
                <c:pt idx="279">
                  <c:v>2.7899999999999845</c:v>
                </c:pt>
                <c:pt idx="280">
                  <c:v>2.7999999999999843</c:v>
                </c:pt>
                <c:pt idx="281">
                  <c:v>2.8099999999999841</c:v>
                </c:pt>
                <c:pt idx="282">
                  <c:v>2.8199999999999839</c:v>
                </c:pt>
                <c:pt idx="283">
                  <c:v>2.8299999999999836</c:v>
                </c:pt>
                <c:pt idx="284">
                  <c:v>2.8399999999999834</c:v>
                </c:pt>
                <c:pt idx="285">
                  <c:v>2.8499999999999832</c:v>
                </c:pt>
                <c:pt idx="286">
                  <c:v>2.859999999999983</c:v>
                </c:pt>
                <c:pt idx="287">
                  <c:v>2.8699999999999828</c:v>
                </c:pt>
                <c:pt idx="288">
                  <c:v>2.8799999999999826</c:v>
                </c:pt>
                <c:pt idx="289">
                  <c:v>2.8899999999999824</c:v>
                </c:pt>
                <c:pt idx="290">
                  <c:v>2.8999999999999821</c:v>
                </c:pt>
                <c:pt idx="291">
                  <c:v>2.9099999999999819</c:v>
                </c:pt>
                <c:pt idx="292">
                  <c:v>2.9199999999999817</c:v>
                </c:pt>
                <c:pt idx="293">
                  <c:v>2.9299999999999815</c:v>
                </c:pt>
                <c:pt idx="294">
                  <c:v>2.9399999999999813</c:v>
                </c:pt>
                <c:pt idx="295">
                  <c:v>2.9499999999999811</c:v>
                </c:pt>
                <c:pt idx="296">
                  <c:v>2.9599999999999809</c:v>
                </c:pt>
                <c:pt idx="297">
                  <c:v>2.9699999999999807</c:v>
                </c:pt>
                <c:pt idx="298">
                  <c:v>2.9799999999999804</c:v>
                </c:pt>
                <c:pt idx="299">
                  <c:v>2.9899999999999802</c:v>
                </c:pt>
                <c:pt idx="300">
                  <c:v>2.99999999999998</c:v>
                </c:pt>
                <c:pt idx="301">
                  <c:v>3.0099999999999798</c:v>
                </c:pt>
                <c:pt idx="302">
                  <c:v>3.0199999999999796</c:v>
                </c:pt>
                <c:pt idx="303">
                  <c:v>3.0299999999999794</c:v>
                </c:pt>
                <c:pt idx="304">
                  <c:v>3.0399999999999792</c:v>
                </c:pt>
                <c:pt idx="305">
                  <c:v>3.049999999999979</c:v>
                </c:pt>
                <c:pt idx="306">
                  <c:v>3.0599999999999787</c:v>
                </c:pt>
                <c:pt idx="307">
                  <c:v>3.0699999999999785</c:v>
                </c:pt>
                <c:pt idx="308">
                  <c:v>3.0799999999999783</c:v>
                </c:pt>
                <c:pt idx="309">
                  <c:v>3.0899999999999781</c:v>
                </c:pt>
                <c:pt idx="310">
                  <c:v>3.0999999999999779</c:v>
                </c:pt>
                <c:pt idx="311">
                  <c:v>3.1099999999999777</c:v>
                </c:pt>
                <c:pt idx="312">
                  <c:v>3.1199999999999775</c:v>
                </c:pt>
                <c:pt idx="313">
                  <c:v>3.1299999999999772</c:v>
                </c:pt>
                <c:pt idx="314">
                  <c:v>3.139999999999977</c:v>
                </c:pt>
                <c:pt idx="315">
                  <c:v>3.1499999999999768</c:v>
                </c:pt>
                <c:pt idx="316">
                  <c:v>3.1599999999999766</c:v>
                </c:pt>
                <c:pt idx="317">
                  <c:v>3.1699999999999764</c:v>
                </c:pt>
                <c:pt idx="318">
                  <c:v>3.1799999999999762</c:v>
                </c:pt>
                <c:pt idx="319">
                  <c:v>3.189999999999976</c:v>
                </c:pt>
                <c:pt idx="320">
                  <c:v>3.1999999999999758</c:v>
                </c:pt>
                <c:pt idx="321">
                  <c:v>3.2099999999999755</c:v>
                </c:pt>
                <c:pt idx="322">
                  <c:v>3.2199999999999753</c:v>
                </c:pt>
                <c:pt idx="323">
                  <c:v>3.2299999999999751</c:v>
                </c:pt>
                <c:pt idx="324">
                  <c:v>3.2399999999999749</c:v>
                </c:pt>
                <c:pt idx="325">
                  <c:v>3.2499999999999747</c:v>
                </c:pt>
                <c:pt idx="326">
                  <c:v>3.2599999999999745</c:v>
                </c:pt>
                <c:pt idx="327">
                  <c:v>3.2699999999999743</c:v>
                </c:pt>
                <c:pt idx="328">
                  <c:v>3.279999999999974</c:v>
                </c:pt>
                <c:pt idx="329">
                  <c:v>3.2899999999999738</c:v>
                </c:pt>
                <c:pt idx="330">
                  <c:v>3.2999999999999736</c:v>
                </c:pt>
                <c:pt idx="331">
                  <c:v>3.3099999999999734</c:v>
                </c:pt>
                <c:pt idx="332">
                  <c:v>3.3199999999999732</c:v>
                </c:pt>
                <c:pt idx="333">
                  <c:v>3.329999999999973</c:v>
                </c:pt>
                <c:pt idx="334">
                  <c:v>3.3399999999999728</c:v>
                </c:pt>
                <c:pt idx="335">
                  <c:v>3.3499999999999726</c:v>
                </c:pt>
                <c:pt idx="336">
                  <c:v>3.3599999999999723</c:v>
                </c:pt>
                <c:pt idx="337">
                  <c:v>3.3699999999999721</c:v>
                </c:pt>
                <c:pt idx="338">
                  <c:v>3.3799999999999719</c:v>
                </c:pt>
                <c:pt idx="339">
                  <c:v>3.3899999999999717</c:v>
                </c:pt>
                <c:pt idx="340">
                  <c:v>3.3999999999999715</c:v>
                </c:pt>
                <c:pt idx="341">
                  <c:v>3.4099999999999713</c:v>
                </c:pt>
                <c:pt idx="342">
                  <c:v>3.4199999999999711</c:v>
                </c:pt>
                <c:pt idx="343">
                  <c:v>3.4299999999999708</c:v>
                </c:pt>
                <c:pt idx="344">
                  <c:v>3.4399999999999706</c:v>
                </c:pt>
                <c:pt idx="345">
                  <c:v>3.4499999999999704</c:v>
                </c:pt>
                <c:pt idx="346">
                  <c:v>3.4599999999999702</c:v>
                </c:pt>
                <c:pt idx="347">
                  <c:v>3.46999999999997</c:v>
                </c:pt>
                <c:pt idx="348">
                  <c:v>3.4799999999999698</c:v>
                </c:pt>
                <c:pt idx="349">
                  <c:v>3.4899999999999696</c:v>
                </c:pt>
                <c:pt idx="350">
                  <c:v>3.4999999999999694</c:v>
                </c:pt>
                <c:pt idx="351">
                  <c:v>3.5099999999999691</c:v>
                </c:pt>
                <c:pt idx="352">
                  <c:v>3.5199999999999689</c:v>
                </c:pt>
                <c:pt idx="353">
                  <c:v>3.5299999999999687</c:v>
                </c:pt>
                <c:pt idx="354">
                  <c:v>3.5399999999999685</c:v>
                </c:pt>
                <c:pt idx="355">
                  <c:v>3.5499999999999683</c:v>
                </c:pt>
                <c:pt idx="356">
                  <c:v>3.5599999999999681</c:v>
                </c:pt>
                <c:pt idx="357">
                  <c:v>3.5699999999999679</c:v>
                </c:pt>
                <c:pt idx="358">
                  <c:v>3.5799999999999677</c:v>
                </c:pt>
                <c:pt idx="359">
                  <c:v>3.5899999999999674</c:v>
                </c:pt>
                <c:pt idx="360">
                  <c:v>3.5999999999999672</c:v>
                </c:pt>
                <c:pt idx="361">
                  <c:v>3.609999999999967</c:v>
                </c:pt>
                <c:pt idx="362">
                  <c:v>3.6199999999999668</c:v>
                </c:pt>
                <c:pt idx="363">
                  <c:v>3.6299999999999666</c:v>
                </c:pt>
                <c:pt idx="364">
                  <c:v>3.6399999999999664</c:v>
                </c:pt>
                <c:pt idx="365">
                  <c:v>3.6499999999999662</c:v>
                </c:pt>
                <c:pt idx="366">
                  <c:v>3.6599999999999659</c:v>
                </c:pt>
                <c:pt idx="367">
                  <c:v>3.6699999999999657</c:v>
                </c:pt>
                <c:pt idx="368">
                  <c:v>3.6799999999999655</c:v>
                </c:pt>
                <c:pt idx="369">
                  <c:v>3.6899999999999653</c:v>
                </c:pt>
                <c:pt idx="370">
                  <c:v>3.6999999999999651</c:v>
                </c:pt>
                <c:pt idx="371">
                  <c:v>3.7099999999999649</c:v>
                </c:pt>
                <c:pt idx="372">
                  <c:v>3.7199999999999647</c:v>
                </c:pt>
                <c:pt idx="373">
                  <c:v>3.7299999999999645</c:v>
                </c:pt>
                <c:pt idx="374">
                  <c:v>3.7399999999999642</c:v>
                </c:pt>
                <c:pt idx="375">
                  <c:v>3.749999999999964</c:v>
                </c:pt>
                <c:pt idx="376">
                  <c:v>3.7599999999999638</c:v>
                </c:pt>
                <c:pt idx="377">
                  <c:v>3.7699999999999636</c:v>
                </c:pt>
                <c:pt idx="378">
                  <c:v>3.7799999999999634</c:v>
                </c:pt>
                <c:pt idx="379">
                  <c:v>3.7899999999999632</c:v>
                </c:pt>
                <c:pt idx="380">
                  <c:v>3.799999999999963</c:v>
                </c:pt>
                <c:pt idx="381">
                  <c:v>3.8099999999999627</c:v>
                </c:pt>
                <c:pt idx="382">
                  <c:v>3.8199999999999625</c:v>
                </c:pt>
                <c:pt idx="383">
                  <c:v>3.8299999999999623</c:v>
                </c:pt>
                <c:pt idx="384">
                  <c:v>3.8399999999999621</c:v>
                </c:pt>
                <c:pt idx="385">
                  <c:v>3.8499999999999619</c:v>
                </c:pt>
                <c:pt idx="386">
                  <c:v>3.8599999999999617</c:v>
                </c:pt>
                <c:pt idx="387">
                  <c:v>3.8699999999999615</c:v>
                </c:pt>
                <c:pt idx="388">
                  <c:v>3.8799999999999613</c:v>
                </c:pt>
                <c:pt idx="389">
                  <c:v>3.889999999999961</c:v>
                </c:pt>
                <c:pt idx="390">
                  <c:v>3.8999999999999608</c:v>
                </c:pt>
                <c:pt idx="391">
                  <c:v>3.9099999999999606</c:v>
                </c:pt>
                <c:pt idx="392">
                  <c:v>3.9199999999999604</c:v>
                </c:pt>
                <c:pt idx="393">
                  <c:v>3.9299999999999602</c:v>
                </c:pt>
                <c:pt idx="394">
                  <c:v>3.93999999999996</c:v>
                </c:pt>
                <c:pt idx="395">
                  <c:v>3.9499999999999598</c:v>
                </c:pt>
                <c:pt idx="396">
                  <c:v>3.9599999999999596</c:v>
                </c:pt>
                <c:pt idx="397">
                  <c:v>3.9699999999999593</c:v>
                </c:pt>
                <c:pt idx="398">
                  <c:v>3.9799999999999591</c:v>
                </c:pt>
                <c:pt idx="399">
                  <c:v>3.9899999999999589</c:v>
                </c:pt>
                <c:pt idx="400">
                  <c:v>3.9999999999999587</c:v>
                </c:pt>
                <c:pt idx="401">
                  <c:v>4.0099999999999589</c:v>
                </c:pt>
                <c:pt idx="402">
                  <c:v>4.0199999999999587</c:v>
                </c:pt>
                <c:pt idx="403">
                  <c:v>4.0299999999999585</c:v>
                </c:pt>
                <c:pt idx="404">
                  <c:v>4.0399999999999583</c:v>
                </c:pt>
                <c:pt idx="405">
                  <c:v>4.0499999999999581</c:v>
                </c:pt>
                <c:pt idx="406">
                  <c:v>4.0599999999999579</c:v>
                </c:pt>
                <c:pt idx="407">
                  <c:v>4.0699999999999577</c:v>
                </c:pt>
                <c:pt idx="408">
                  <c:v>4.0799999999999574</c:v>
                </c:pt>
                <c:pt idx="409">
                  <c:v>4.0899999999999572</c:v>
                </c:pt>
                <c:pt idx="410">
                  <c:v>4.099999999999957</c:v>
                </c:pt>
                <c:pt idx="411">
                  <c:v>4.1099999999999568</c:v>
                </c:pt>
                <c:pt idx="412">
                  <c:v>4.1199999999999566</c:v>
                </c:pt>
                <c:pt idx="413">
                  <c:v>4.1299999999999564</c:v>
                </c:pt>
                <c:pt idx="414">
                  <c:v>4.1399999999999562</c:v>
                </c:pt>
                <c:pt idx="415">
                  <c:v>4.1499999999999559</c:v>
                </c:pt>
                <c:pt idx="416">
                  <c:v>4.1599999999999557</c:v>
                </c:pt>
                <c:pt idx="417">
                  <c:v>4.1699999999999555</c:v>
                </c:pt>
                <c:pt idx="418">
                  <c:v>4.1799999999999553</c:v>
                </c:pt>
                <c:pt idx="419">
                  <c:v>4.1899999999999551</c:v>
                </c:pt>
                <c:pt idx="420">
                  <c:v>4.1999999999999549</c:v>
                </c:pt>
                <c:pt idx="421">
                  <c:v>4.2099999999999547</c:v>
                </c:pt>
                <c:pt idx="422">
                  <c:v>4.2199999999999545</c:v>
                </c:pt>
                <c:pt idx="423">
                  <c:v>4.2299999999999542</c:v>
                </c:pt>
                <c:pt idx="424">
                  <c:v>4.239999999999954</c:v>
                </c:pt>
                <c:pt idx="425">
                  <c:v>4.2499999999999538</c:v>
                </c:pt>
                <c:pt idx="426">
                  <c:v>4.2599999999999536</c:v>
                </c:pt>
                <c:pt idx="427">
                  <c:v>4.2699999999999534</c:v>
                </c:pt>
                <c:pt idx="428">
                  <c:v>4.2799999999999532</c:v>
                </c:pt>
                <c:pt idx="429">
                  <c:v>4.289999999999953</c:v>
                </c:pt>
                <c:pt idx="430">
                  <c:v>4.2999999999999527</c:v>
                </c:pt>
                <c:pt idx="431">
                  <c:v>4.3099999999999525</c:v>
                </c:pt>
                <c:pt idx="432">
                  <c:v>4.3199999999999523</c:v>
                </c:pt>
                <c:pt idx="433">
                  <c:v>4.3299999999999521</c:v>
                </c:pt>
                <c:pt idx="434">
                  <c:v>4.3399999999999519</c:v>
                </c:pt>
                <c:pt idx="435">
                  <c:v>4.3499999999999517</c:v>
                </c:pt>
                <c:pt idx="436">
                  <c:v>4.3599999999999515</c:v>
                </c:pt>
                <c:pt idx="437">
                  <c:v>4.3699999999999513</c:v>
                </c:pt>
                <c:pt idx="438">
                  <c:v>4.379999999999951</c:v>
                </c:pt>
                <c:pt idx="439">
                  <c:v>4.3899999999999508</c:v>
                </c:pt>
                <c:pt idx="440">
                  <c:v>4.3999999999999506</c:v>
                </c:pt>
                <c:pt idx="441">
                  <c:v>4.4099999999999504</c:v>
                </c:pt>
                <c:pt idx="442">
                  <c:v>4.4199999999999502</c:v>
                </c:pt>
                <c:pt idx="443">
                  <c:v>4.42999999999995</c:v>
                </c:pt>
                <c:pt idx="444">
                  <c:v>4.4399999999999498</c:v>
                </c:pt>
                <c:pt idx="445">
                  <c:v>4.4499999999999496</c:v>
                </c:pt>
                <c:pt idx="446">
                  <c:v>4.4599999999999493</c:v>
                </c:pt>
                <c:pt idx="447">
                  <c:v>4.4699999999999491</c:v>
                </c:pt>
                <c:pt idx="448">
                  <c:v>4.4799999999999489</c:v>
                </c:pt>
                <c:pt idx="449">
                  <c:v>4.4899999999999487</c:v>
                </c:pt>
                <c:pt idx="450">
                  <c:v>4.4999999999999485</c:v>
                </c:pt>
                <c:pt idx="451">
                  <c:v>4.5099999999999483</c:v>
                </c:pt>
                <c:pt idx="452">
                  <c:v>4.5199999999999481</c:v>
                </c:pt>
                <c:pt idx="453">
                  <c:v>4.5299999999999478</c:v>
                </c:pt>
                <c:pt idx="454">
                  <c:v>4.5399999999999476</c:v>
                </c:pt>
                <c:pt idx="455">
                  <c:v>4.5499999999999474</c:v>
                </c:pt>
                <c:pt idx="456">
                  <c:v>4.5599999999999472</c:v>
                </c:pt>
                <c:pt idx="457">
                  <c:v>4.569999999999947</c:v>
                </c:pt>
                <c:pt idx="458">
                  <c:v>4.5799999999999468</c:v>
                </c:pt>
                <c:pt idx="459">
                  <c:v>4.5899999999999466</c:v>
                </c:pt>
                <c:pt idx="460">
                  <c:v>4.5999999999999464</c:v>
                </c:pt>
                <c:pt idx="461">
                  <c:v>4.6099999999999461</c:v>
                </c:pt>
                <c:pt idx="462">
                  <c:v>4.6199999999999459</c:v>
                </c:pt>
                <c:pt idx="463">
                  <c:v>4.6299999999999457</c:v>
                </c:pt>
                <c:pt idx="464">
                  <c:v>4.6399999999999455</c:v>
                </c:pt>
                <c:pt idx="465">
                  <c:v>4.6499999999999453</c:v>
                </c:pt>
                <c:pt idx="466">
                  <c:v>4.6599999999999451</c:v>
                </c:pt>
                <c:pt idx="467">
                  <c:v>4.6699999999999449</c:v>
                </c:pt>
                <c:pt idx="468">
                  <c:v>4.6799999999999446</c:v>
                </c:pt>
                <c:pt idx="469">
                  <c:v>4.6899999999999444</c:v>
                </c:pt>
                <c:pt idx="470">
                  <c:v>4.6999999999999442</c:v>
                </c:pt>
                <c:pt idx="471">
                  <c:v>4.709999999999944</c:v>
                </c:pt>
                <c:pt idx="472">
                  <c:v>4.7199999999999438</c:v>
                </c:pt>
                <c:pt idx="473">
                  <c:v>4.7299999999999436</c:v>
                </c:pt>
                <c:pt idx="474">
                  <c:v>4.7399999999999434</c:v>
                </c:pt>
                <c:pt idx="475">
                  <c:v>4.7499999999999432</c:v>
                </c:pt>
                <c:pt idx="476">
                  <c:v>4.7599999999999429</c:v>
                </c:pt>
                <c:pt idx="477">
                  <c:v>4.7699999999999427</c:v>
                </c:pt>
                <c:pt idx="478">
                  <c:v>4.7799999999999425</c:v>
                </c:pt>
                <c:pt idx="479">
                  <c:v>4.7899999999999423</c:v>
                </c:pt>
                <c:pt idx="480">
                  <c:v>4.7999999999999421</c:v>
                </c:pt>
                <c:pt idx="481">
                  <c:v>4.8099999999999419</c:v>
                </c:pt>
                <c:pt idx="482">
                  <c:v>4.8199999999999417</c:v>
                </c:pt>
                <c:pt idx="483">
                  <c:v>4.8299999999999415</c:v>
                </c:pt>
                <c:pt idx="484">
                  <c:v>4.8399999999999412</c:v>
                </c:pt>
                <c:pt idx="485">
                  <c:v>4.849999999999941</c:v>
                </c:pt>
                <c:pt idx="486">
                  <c:v>4.8599999999999408</c:v>
                </c:pt>
                <c:pt idx="487">
                  <c:v>4.8699999999999406</c:v>
                </c:pt>
                <c:pt idx="488">
                  <c:v>4.8799999999999404</c:v>
                </c:pt>
                <c:pt idx="489">
                  <c:v>4.8899999999999402</c:v>
                </c:pt>
                <c:pt idx="490">
                  <c:v>4.89999999999994</c:v>
                </c:pt>
                <c:pt idx="491">
                  <c:v>4.9099999999999397</c:v>
                </c:pt>
                <c:pt idx="492">
                  <c:v>4.9199999999999395</c:v>
                </c:pt>
                <c:pt idx="493">
                  <c:v>4.9299999999999393</c:v>
                </c:pt>
                <c:pt idx="494">
                  <c:v>4.9399999999999391</c:v>
                </c:pt>
                <c:pt idx="495">
                  <c:v>4.9499999999999389</c:v>
                </c:pt>
                <c:pt idx="496">
                  <c:v>4.9599999999999387</c:v>
                </c:pt>
                <c:pt idx="497">
                  <c:v>4.9699999999999385</c:v>
                </c:pt>
                <c:pt idx="498">
                  <c:v>4.9799999999999383</c:v>
                </c:pt>
                <c:pt idx="499">
                  <c:v>4.989999999999938</c:v>
                </c:pt>
                <c:pt idx="500">
                  <c:v>4.9999999999999378</c:v>
                </c:pt>
                <c:pt idx="501">
                  <c:v>5.0999999999999375</c:v>
                </c:pt>
                <c:pt idx="502">
                  <c:v>5.1999999999999371</c:v>
                </c:pt>
                <c:pt idx="503">
                  <c:v>5.2999999999999368</c:v>
                </c:pt>
                <c:pt idx="504">
                  <c:v>5.3999999999999364</c:v>
                </c:pt>
                <c:pt idx="505">
                  <c:v>5.4999999999999361</c:v>
                </c:pt>
                <c:pt idx="506">
                  <c:v>5.5999999999999357</c:v>
                </c:pt>
                <c:pt idx="507">
                  <c:v>5.6999999999999353</c:v>
                </c:pt>
                <c:pt idx="508">
                  <c:v>5.799999999999935</c:v>
                </c:pt>
                <c:pt idx="509">
                  <c:v>5.8999999999999346</c:v>
                </c:pt>
                <c:pt idx="510">
                  <c:v>5.9999999999999343</c:v>
                </c:pt>
                <c:pt idx="511">
                  <c:v>6.0999999999999339</c:v>
                </c:pt>
                <c:pt idx="512">
                  <c:v>6.1999999999999336</c:v>
                </c:pt>
                <c:pt idx="513">
                  <c:v>6.2999999999999332</c:v>
                </c:pt>
                <c:pt idx="514">
                  <c:v>6.3999999999999329</c:v>
                </c:pt>
                <c:pt idx="515">
                  <c:v>6.4999999999999325</c:v>
                </c:pt>
                <c:pt idx="516">
                  <c:v>6.5999999999999321</c:v>
                </c:pt>
                <c:pt idx="517">
                  <c:v>6.6999999999999318</c:v>
                </c:pt>
                <c:pt idx="518">
                  <c:v>6.7999999999999314</c:v>
                </c:pt>
                <c:pt idx="519">
                  <c:v>6.8999999999999311</c:v>
                </c:pt>
                <c:pt idx="520">
                  <c:v>6.9999999999999307</c:v>
                </c:pt>
                <c:pt idx="521">
                  <c:v>7.0999999999999304</c:v>
                </c:pt>
                <c:pt idx="522">
                  <c:v>7.19999999999993</c:v>
                </c:pt>
                <c:pt idx="523">
                  <c:v>7.2999999999999297</c:v>
                </c:pt>
                <c:pt idx="524">
                  <c:v>7.3999999999999293</c:v>
                </c:pt>
                <c:pt idx="525">
                  <c:v>7.4999999999999289</c:v>
                </c:pt>
                <c:pt idx="526">
                  <c:v>7.5999999999999286</c:v>
                </c:pt>
                <c:pt idx="527">
                  <c:v>7.6999999999999282</c:v>
                </c:pt>
                <c:pt idx="528">
                  <c:v>7.7999999999999279</c:v>
                </c:pt>
                <c:pt idx="529">
                  <c:v>7.8999999999999275</c:v>
                </c:pt>
                <c:pt idx="530">
                  <c:v>7.9999999999999272</c:v>
                </c:pt>
                <c:pt idx="531">
                  <c:v>8.0999999999999268</c:v>
                </c:pt>
                <c:pt idx="532">
                  <c:v>8.1999999999999265</c:v>
                </c:pt>
                <c:pt idx="533">
                  <c:v>8.2999999999999261</c:v>
                </c:pt>
                <c:pt idx="534">
                  <c:v>8.3999999999999257</c:v>
                </c:pt>
                <c:pt idx="535">
                  <c:v>8.4999999999999254</c:v>
                </c:pt>
                <c:pt idx="536">
                  <c:v>8.599999999999925</c:v>
                </c:pt>
                <c:pt idx="537">
                  <c:v>8.6999999999999247</c:v>
                </c:pt>
                <c:pt idx="538">
                  <c:v>8.7999999999999243</c:v>
                </c:pt>
                <c:pt idx="539">
                  <c:v>8.899999999999924</c:v>
                </c:pt>
                <c:pt idx="540">
                  <c:v>8.9999999999999236</c:v>
                </c:pt>
                <c:pt idx="541">
                  <c:v>9.0999999999999233</c:v>
                </c:pt>
                <c:pt idx="542">
                  <c:v>9.1999999999999229</c:v>
                </c:pt>
                <c:pt idx="543">
                  <c:v>9.2999999999999226</c:v>
                </c:pt>
                <c:pt idx="544">
                  <c:v>9.3999999999999222</c:v>
                </c:pt>
                <c:pt idx="545">
                  <c:v>9.4999999999999218</c:v>
                </c:pt>
                <c:pt idx="546">
                  <c:v>9.5999999999999215</c:v>
                </c:pt>
                <c:pt idx="547">
                  <c:v>9.6999999999999211</c:v>
                </c:pt>
                <c:pt idx="548">
                  <c:v>9.7999999999999208</c:v>
                </c:pt>
                <c:pt idx="549">
                  <c:v>9.8999999999999204</c:v>
                </c:pt>
                <c:pt idx="550">
                  <c:v>9.9999999999999201</c:v>
                </c:pt>
                <c:pt idx="551">
                  <c:v>10.09999999999992</c:v>
                </c:pt>
                <c:pt idx="552">
                  <c:v>10.199999999999919</c:v>
                </c:pt>
                <c:pt idx="553">
                  <c:v>10.299999999999919</c:v>
                </c:pt>
                <c:pt idx="554">
                  <c:v>10.399999999999919</c:v>
                </c:pt>
                <c:pt idx="555">
                  <c:v>10.499999999999918</c:v>
                </c:pt>
                <c:pt idx="556">
                  <c:v>10.599999999999918</c:v>
                </c:pt>
                <c:pt idx="557">
                  <c:v>10.699999999999918</c:v>
                </c:pt>
                <c:pt idx="558">
                  <c:v>10.799999999999917</c:v>
                </c:pt>
                <c:pt idx="559">
                  <c:v>10.899999999999917</c:v>
                </c:pt>
                <c:pt idx="560">
                  <c:v>10.999999999999917</c:v>
                </c:pt>
                <c:pt idx="561">
                  <c:v>11.099999999999916</c:v>
                </c:pt>
                <c:pt idx="562">
                  <c:v>11.199999999999916</c:v>
                </c:pt>
                <c:pt idx="563">
                  <c:v>11.299999999999915</c:v>
                </c:pt>
                <c:pt idx="564">
                  <c:v>11.399999999999915</c:v>
                </c:pt>
                <c:pt idx="565">
                  <c:v>11.499999999999915</c:v>
                </c:pt>
                <c:pt idx="566">
                  <c:v>11.599999999999914</c:v>
                </c:pt>
                <c:pt idx="567">
                  <c:v>11.699999999999914</c:v>
                </c:pt>
                <c:pt idx="568">
                  <c:v>11.799999999999914</c:v>
                </c:pt>
                <c:pt idx="569">
                  <c:v>11.899999999999913</c:v>
                </c:pt>
                <c:pt idx="570">
                  <c:v>11.999999999999913</c:v>
                </c:pt>
                <c:pt idx="571">
                  <c:v>12.099999999999913</c:v>
                </c:pt>
                <c:pt idx="572">
                  <c:v>12.199999999999912</c:v>
                </c:pt>
                <c:pt idx="573">
                  <c:v>12.299999999999912</c:v>
                </c:pt>
                <c:pt idx="574">
                  <c:v>12.399999999999912</c:v>
                </c:pt>
                <c:pt idx="575">
                  <c:v>12.499999999999911</c:v>
                </c:pt>
                <c:pt idx="576">
                  <c:v>12.599999999999911</c:v>
                </c:pt>
                <c:pt idx="577">
                  <c:v>12.69999999999991</c:v>
                </c:pt>
                <c:pt idx="578">
                  <c:v>12.79999999999991</c:v>
                </c:pt>
                <c:pt idx="579">
                  <c:v>12.89999999999991</c:v>
                </c:pt>
                <c:pt idx="580">
                  <c:v>12.999999999999909</c:v>
                </c:pt>
                <c:pt idx="581">
                  <c:v>13.099999999999909</c:v>
                </c:pt>
                <c:pt idx="582">
                  <c:v>13.199999999999909</c:v>
                </c:pt>
                <c:pt idx="583">
                  <c:v>13.299999999999908</c:v>
                </c:pt>
                <c:pt idx="584">
                  <c:v>13.399999999999908</c:v>
                </c:pt>
                <c:pt idx="585">
                  <c:v>13.499999999999908</c:v>
                </c:pt>
                <c:pt idx="586">
                  <c:v>13.599999999999907</c:v>
                </c:pt>
                <c:pt idx="587">
                  <c:v>13.699999999999907</c:v>
                </c:pt>
                <c:pt idx="588">
                  <c:v>13.799999999999907</c:v>
                </c:pt>
                <c:pt idx="589">
                  <c:v>13.899999999999906</c:v>
                </c:pt>
                <c:pt idx="590">
                  <c:v>13.999999999999906</c:v>
                </c:pt>
                <c:pt idx="591">
                  <c:v>14.099999999999905</c:v>
                </c:pt>
                <c:pt idx="592">
                  <c:v>14.199999999999905</c:v>
                </c:pt>
                <c:pt idx="593">
                  <c:v>14.299999999999905</c:v>
                </c:pt>
                <c:pt idx="594">
                  <c:v>14.399999999999904</c:v>
                </c:pt>
                <c:pt idx="595">
                  <c:v>14.499999999999904</c:v>
                </c:pt>
                <c:pt idx="596">
                  <c:v>14.599999999999904</c:v>
                </c:pt>
                <c:pt idx="597">
                  <c:v>14.699999999999903</c:v>
                </c:pt>
                <c:pt idx="598">
                  <c:v>14.799999999999903</c:v>
                </c:pt>
                <c:pt idx="599">
                  <c:v>14.899999999999903</c:v>
                </c:pt>
                <c:pt idx="600">
                  <c:v>14.999999999999902</c:v>
                </c:pt>
                <c:pt idx="601">
                  <c:v>15.099999999999902</c:v>
                </c:pt>
                <c:pt idx="602">
                  <c:v>15.199999999999902</c:v>
                </c:pt>
                <c:pt idx="603">
                  <c:v>15.299999999999901</c:v>
                </c:pt>
                <c:pt idx="604">
                  <c:v>15.399999999999901</c:v>
                </c:pt>
                <c:pt idx="605">
                  <c:v>15.499999999999901</c:v>
                </c:pt>
                <c:pt idx="606">
                  <c:v>15.5999999999999</c:v>
                </c:pt>
                <c:pt idx="607">
                  <c:v>15.6999999999999</c:v>
                </c:pt>
                <c:pt idx="608">
                  <c:v>15.799999999999899</c:v>
                </c:pt>
                <c:pt idx="609">
                  <c:v>15.899999999999899</c:v>
                </c:pt>
                <c:pt idx="610">
                  <c:v>15.999999999999899</c:v>
                </c:pt>
                <c:pt idx="611">
                  <c:v>16.099999999999898</c:v>
                </c:pt>
                <c:pt idx="612">
                  <c:v>16.1999999999999</c:v>
                </c:pt>
                <c:pt idx="613">
                  <c:v>16.299999999999901</c:v>
                </c:pt>
                <c:pt idx="614">
                  <c:v>16.399999999999903</c:v>
                </c:pt>
                <c:pt idx="615">
                  <c:v>16.499999999999904</c:v>
                </c:pt>
                <c:pt idx="616">
                  <c:v>16.599999999999905</c:v>
                </c:pt>
                <c:pt idx="617">
                  <c:v>16.699999999999907</c:v>
                </c:pt>
                <c:pt idx="618">
                  <c:v>16.799999999999908</c:v>
                </c:pt>
                <c:pt idx="619">
                  <c:v>16.89999999999991</c:v>
                </c:pt>
                <c:pt idx="620">
                  <c:v>16.999999999999911</c:v>
                </c:pt>
                <c:pt idx="621">
                  <c:v>17.099999999999913</c:v>
                </c:pt>
                <c:pt idx="622">
                  <c:v>17.199999999999914</c:v>
                </c:pt>
                <c:pt idx="623">
                  <c:v>17.299999999999915</c:v>
                </c:pt>
                <c:pt idx="624">
                  <c:v>17.399999999999917</c:v>
                </c:pt>
                <c:pt idx="625">
                  <c:v>17.499999999999918</c:v>
                </c:pt>
                <c:pt idx="626">
                  <c:v>17.59999999999992</c:v>
                </c:pt>
                <c:pt idx="627">
                  <c:v>17.699999999999921</c:v>
                </c:pt>
                <c:pt idx="628">
                  <c:v>17.799999999999923</c:v>
                </c:pt>
                <c:pt idx="629">
                  <c:v>17.899999999999924</c:v>
                </c:pt>
                <c:pt idx="630">
                  <c:v>17.999999999999925</c:v>
                </c:pt>
                <c:pt idx="631">
                  <c:v>18.099999999999927</c:v>
                </c:pt>
                <c:pt idx="632">
                  <c:v>18.199999999999928</c:v>
                </c:pt>
                <c:pt idx="633">
                  <c:v>18.29999999999993</c:v>
                </c:pt>
                <c:pt idx="634">
                  <c:v>18.399999999999931</c:v>
                </c:pt>
                <c:pt idx="635">
                  <c:v>18.499999999999932</c:v>
                </c:pt>
                <c:pt idx="636">
                  <c:v>18.599999999999934</c:v>
                </c:pt>
                <c:pt idx="637">
                  <c:v>18.699999999999935</c:v>
                </c:pt>
                <c:pt idx="638">
                  <c:v>18.799999999999937</c:v>
                </c:pt>
                <c:pt idx="639">
                  <c:v>18.899999999999938</c:v>
                </c:pt>
                <c:pt idx="640">
                  <c:v>18.99999999999994</c:v>
                </c:pt>
                <c:pt idx="641">
                  <c:v>19.099999999999941</c:v>
                </c:pt>
                <c:pt idx="642">
                  <c:v>19.199999999999942</c:v>
                </c:pt>
                <c:pt idx="643">
                  <c:v>19.299999999999944</c:v>
                </c:pt>
                <c:pt idx="644">
                  <c:v>19.399999999999945</c:v>
                </c:pt>
                <c:pt idx="645">
                  <c:v>19.499999999999947</c:v>
                </c:pt>
                <c:pt idx="646">
                  <c:v>19.599999999999948</c:v>
                </c:pt>
                <c:pt idx="647">
                  <c:v>19.69999999999995</c:v>
                </c:pt>
                <c:pt idx="648">
                  <c:v>19.799999999999951</c:v>
                </c:pt>
                <c:pt idx="649">
                  <c:v>19.899999999999952</c:v>
                </c:pt>
                <c:pt idx="650">
                  <c:v>19.999999999999954</c:v>
                </c:pt>
                <c:pt idx="651">
                  <c:v>20.099999999999955</c:v>
                </c:pt>
                <c:pt idx="652">
                  <c:v>20.199999999999957</c:v>
                </c:pt>
                <c:pt idx="653">
                  <c:v>20.299999999999958</c:v>
                </c:pt>
                <c:pt idx="654">
                  <c:v>20.399999999999959</c:v>
                </c:pt>
                <c:pt idx="655">
                  <c:v>20.499999999999961</c:v>
                </c:pt>
                <c:pt idx="656">
                  <c:v>20.599999999999962</c:v>
                </c:pt>
                <c:pt idx="657">
                  <c:v>20.699999999999964</c:v>
                </c:pt>
                <c:pt idx="658">
                  <c:v>20.799999999999965</c:v>
                </c:pt>
                <c:pt idx="659">
                  <c:v>20.899999999999967</c:v>
                </c:pt>
                <c:pt idx="660">
                  <c:v>20.999999999999968</c:v>
                </c:pt>
                <c:pt idx="661">
                  <c:v>21.099999999999969</c:v>
                </c:pt>
                <c:pt idx="662">
                  <c:v>21.199999999999971</c:v>
                </c:pt>
                <c:pt idx="663">
                  <c:v>21.299999999999972</c:v>
                </c:pt>
                <c:pt idx="664">
                  <c:v>21.399999999999974</c:v>
                </c:pt>
                <c:pt idx="665">
                  <c:v>21.499999999999975</c:v>
                </c:pt>
                <c:pt idx="666">
                  <c:v>21.599999999999977</c:v>
                </c:pt>
                <c:pt idx="667">
                  <c:v>21.699999999999978</c:v>
                </c:pt>
                <c:pt idx="668">
                  <c:v>21.799999999999979</c:v>
                </c:pt>
                <c:pt idx="669">
                  <c:v>21.899999999999981</c:v>
                </c:pt>
                <c:pt idx="670">
                  <c:v>21.999999999999982</c:v>
                </c:pt>
                <c:pt idx="671">
                  <c:v>22.099999999999984</c:v>
                </c:pt>
                <c:pt idx="672">
                  <c:v>22.199999999999985</c:v>
                </c:pt>
                <c:pt idx="673">
                  <c:v>22.299999999999986</c:v>
                </c:pt>
                <c:pt idx="674">
                  <c:v>22.399999999999988</c:v>
                </c:pt>
                <c:pt idx="675">
                  <c:v>22.499999999999989</c:v>
                </c:pt>
                <c:pt idx="676">
                  <c:v>22.599999999999991</c:v>
                </c:pt>
                <c:pt idx="677">
                  <c:v>22.699999999999992</c:v>
                </c:pt>
                <c:pt idx="678">
                  <c:v>22.799999999999994</c:v>
                </c:pt>
                <c:pt idx="679">
                  <c:v>22.899999999999995</c:v>
                </c:pt>
                <c:pt idx="680">
                  <c:v>22.999999999999996</c:v>
                </c:pt>
                <c:pt idx="681">
                  <c:v>23.099999999999998</c:v>
                </c:pt>
                <c:pt idx="682">
                  <c:v>23.2</c:v>
                </c:pt>
                <c:pt idx="683">
                  <c:v>23.3</c:v>
                </c:pt>
                <c:pt idx="684">
                  <c:v>23.400000000000002</c:v>
                </c:pt>
                <c:pt idx="685">
                  <c:v>23.500000000000004</c:v>
                </c:pt>
                <c:pt idx="686">
                  <c:v>23.600000000000005</c:v>
                </c:pt>
                <c:pt idx="687">
                  <c:v>23.700000000000006</c:v>
                </c:pt>
                <c:pt idx="688">
                  <c:v>23.800000000000008</c:v>
                </c:pt>
                <c:pt idx="689">
                  <c:v>23.900000000000009</c:v>
                </c:pt>
                <c:pt idx="690">
                  <c:v>24.000000000000011</c:v>
                </c:pt>
                <c:pt idx="691">
                  <c:v>24.100000000000012</c:v>
                </c:pt>
                <c:pt idx="692">
                  <c:v>24.200000000000014</c:v>
                </c:pt>
                <c:pt idx="693">
                  <c:v>24.300000000000015</c:v>
                </c:pt>
                <c:pt idx="694">
                  <c:v>24.400000000000016</c:v>
                </c:pt>
                <c:pt idx="695">
                  <c:v>24.500000000000018</c:v>
                </c:pt>
                <c:pt idx="696">
                  <c:v>24.600000000000019</c:v>
                </c:pt>
                <c:pt idx="697">
                  <c:v>24.700000000000021</c:v>
                </c:pt>
                <c:pt idx="698">
                  <c:v>24.800000000000022</c:v>
                </c:pt>
                <c:pt idx="699">
                  <c:v>24.900000000000023</c:v>
                </c:pt>
                <c:pt idx="700">
                  <c:v>25.000000000000025</c:v>
                </c:pt>
                <c:pt idx="701">
                  <c:v>25.100000000000026</c:v>
                </c:pt>
                <c:pt idx="702">
                  <c:v>25.200000000000028</c:v>
                </c:pt>
                <c:pt idx="703">
                  <c:v>25.300000000000029</c:v>
                </c:pt>
                <c:pt idx="704">
                  <c:v>25.400000000000031</c:v>
                </c:pt>
                <c:pt idx="705">
                  <c:v>25.500000000000032</c:v>
                </c:pt>
                <c:pt idx="706">
                  <c:v>25.600000000000033</c:v>
                </c:pt>
                <c:pt idx="707">
                  <c:v>25.700000000000035</c:v>
                </c:pt>
                <c:pt idx="708">
                  <c:v>25.800000000000036</c:v>
                </c:pt>
                <c:pt idx="709">
                  <c:v>25.900000000000038</c:v>
                </c:pt>
                <c:pt idx="710">
                  <c:v>26.000000000000039</c:v>
                </c:pt>
                <c:pt idx="711">
                  <c:v>26.100000000000041</c:v>
                </c:pt>
                <c:pt idx="712">
                  <c:v>26.200000000000042</c:v>
                </c:pt>
                <c:pt idx="713">
                  <c:v>26.300000000000043</c:v>
                </c:pt>
                <c:pt idx="714">
                  <c:v>26.400000000000045</c:v>
                </c:pt>
                <c:pt idx="715">
                  <c:v>26.500000000000046</c:v>
                </c:pt>
                <c:pt idx="716">
                  <c:v>26.600000000000048</c:v>
                </c:pt>
                <c:pt idx="717">
                  <c:v>26.700000000000049</c:v>
                </c:pt>
                <c:pt idx="718">
                  <c:v>26.80000000000005</c:v>
                </c:pt>
                <c:pt idx="719">
                  <c:v>26.900000000000052</c:v>
                </c:pt>
                <c:pt idx="720">
                  <c:v>27.000000000000053</c:v>
                </c:pt>
                <c:pt idx="721">
                  <c:v>27.100000000000055</c:v>
                </c:pt>
                <c:pt idx="722">
                  <c:v>27.200000000000056</c:v>
                </c:pt>
                <c:pt idx="723">
                  <c:v>27.300000000000058</c:v>
                </c:pt>
                <c:pt idx="724">
                  <c:v>27.400000000000059</c:v>
                </c:pt>
                <c:pt idx="725">
                  <c:v>27.50000000000006</c:v>
                </c:pt>
                <c:pt idx="726">
                  <c:v>27.600000000000062</c:v>
                </c:pt>
                <c:pt idx="727">
                  <c:v>27.700000000000063</c:v>
                </c:pt>
                <c:pt idx="728">
                  <c:v>27.800000000000065</c:v>
                </c:pt>
                <c:pt idx="729">
                  <c:v>27.900000000000066</c:v>
                </c:pt>
                <c:pt idx="730">
                  <c:v>28.000000000000068</c:v>
                </c:pt>
                <c:pt idx="731">
                  <c:v>28.100000000000069</c:v>
                </c:pt>
                <c:pt idx="732">
                  <c:v>28.20000000000007</c:v>
                </c:pt>
                <c:pt idx="733">
                  <c:v>28.300000000000072</c:v>
                </c:pt>
                <c:pt idx="734">
                  <c:v>28.400000000000073</c:v>
                </c:pt>
                <c:pt idx="735">
                  <c:v>28.500000000000075</c:v>
                </c:pt>
                <c:pt idx="736">
                  <c:v>28.600000000000076</c:v>
                </c:pt>
                <c:pt idx="737">
                  <c:v>28.700000000000077</c:v>
                </c:pt>
                <c:pt idx="738">
                  <c:v>28.800000000000079</c:v>
                </c:pt>
                <c:pt idx="739">
                  <c:v>28.90000000000008</c:v>
                </c:pt>
                <c:pt idx="740">
                  <c:v>29.000000000000082</c:v>
                </c:pt>
                <c:pt idx="741">
                  <c:v>29.100000000000083</c:v>
                </c:pt>
                <c:pt idx="742">
                  <c:v>29.200000000000085</c:v>
                </c:pt>
                <c:pt idx="743">
                  <c:v>29.300000000000086</c:v>
                </c:pt>
                <c:pt idx="744">
                  <c:v>29.400000000000087</c:v>
                </c:pt>
                <c:pt idx="745">
                  <c:v>29.500000000000089</c:v>
                </c:pt>
                <c:pt idx="746">
                  <c:v>29.60000000000009</c:v>
                </c:pt>
                <c:pt idx="747">
                  <c:v>29.700000000000092</c:v>
                </c:pt>
                <c:pt idx="748">
                  <c:v>29.800000000000093</c:v>
                </c:pt>
                <c:pt idx="749">
                  <c:v>29.900000000000095</c:v>
                </c:pt>
                <c:pt idx="750">
                  <c:v>30.000000000000096</c:v>
                </c:pt>
                <c:pt idx="751">
                  <c:v>30.100000000000097</c:v>
                </c:pt>
                <c:pt idx="752">
                  <c:v>30.200000000000099</c:v>
                </c:pt>
                <c:pt idx="753">
                  <c:v>30.3000000000001</c:v>
                </c:pt>
                <c:pt idx="754">
                  <c:v>30.400000000000102</c:v>
                </c:pt>
                <c:pt idx="755">
                  <c:v>30.500000000000103</c:v>
                </c:pt>
                <c:pt idx="756">
                  <c:v>30.600000000000104</c:v>
                </c:pt>
                <c:pt idx="757">
                  <c:v>30.700000000000106</c:v>
                </c:pt>
                <c:pt idx="758">
                  <c:v>30.800000000000107</c:v>
                </c:pt>
                <c:pt idx="759">
                  <c:v>30.900000000000109</c:v>
                </c:pt>
                <c:pt idx="760">
                  <c:v>31.00000000000011</c:v>
                </c:pt>
                <c:pt idx="761">
                  <c:v>31.100000000000112</c:v>
                </c:pt>
                <c:pt idx="762">
                  <c:v>31.200000000000113</c:v>
                </c:pt>
                <c:pt idx="763">
                  <c:v>31.300000000000114</c:v>
                </c:pt>
                <c:pt idx="764">
                  <c:v>31.400000000000116</c:v>
                </c:pt>
                <c:pt idx="765">
                  <c:v>31.500000000000117</c:v>
                </c:pt>
                <c:pt idx="766">
                  <c:v>31.600000000000119</c:v>
                </c:pt>
                <c:pt idx="767">
                  <c:v>31.70000000000012</c:v>
                </c:pt>
                <c:pt idx="768">
                  <c:v>31.800000000000122</c:v>
                </c:pt>
                <c:pt idx="769">
                  <c:v>31.900000000000123</c:v>
                </c:pt>
                <c:pt idx="770">
                  <c:v>32.000000000000121</c:v>
                </c:pt>
                <c:pt idx="771">
                  <c:v>32.100000000000122</c:v>
                </c:pt>
                <c:pt idx="772">
                  <c:v>32.200000000000124</c:v>
                </c:pt>
                <c:pt idx="773">
                  <c:v>32.300000000000125</c:v>
                </c:pt>
                <c:pt idx="774">
                  <c:v>32.400000000000126</c:v>
                </c:pt>
                <c:pt idx="775">
                  <c:v>32.500000000000128</c:v>
                </c:pt>
                <c:pt idx="776">
                  <c:v>32.600000000000129</c:v>
                </c:pt>
                <c:pt idx="777">
                  <c:v>32.700000000000131</c:v>
                </c:pt>
                <c:pt idx="778">
                  <c:v>32.800000000000132</c:v>
                </c:pt>
                <c:pt idx="779">
                  <c:v>32.900000000000134</c:v>
                </c:pt>
                <c:pt idx="780">
                  <c:v>33.000000000000135</c:v>
                </c:pt>
                <c:pt idx="781">
                  <c:v>33.100000000000136</c:v>
                </c:pt>
                <c:pt idx="782">
                  <c:v>33.200000000000138</c:v>
                </c:pt>
                <c:pt idx="783">
                  <c:v>33.300000000000139</c:v>
                </c:pt>
                <c:pt idx="784">
                  <c:v>33.400000000000141</c:v>
                </c:pt>
                <c:pt idx="785">
                  <c:v>33.500000000000142</c:v>
                </c:pt>
                <c:pt idx="786">
                  <c:v>33.600000000000144</c:v>
                </c:pt>
                <c:pt idx="787">
                  <c:v>33.700000000000145</c:v>
                </c:pt>
                <c:pt idx="788">
                  <c:v>33.800000000000146</c:v>
                </c:pt>
                <c:pt idx="789">
                  <c:v>33.900000000000148</c:v>
                </c:pt>
                <c:pt idx="790">
                  <c:v>34.000000000000149</c:v>
                </c:pt>
                <c:pt idx="791">
                  <c:v>34.100000000000151</c:v>
                </c:pt>
                <c:pt idx="792">
                  <c:v>34.200000000000152</c:v>
                </c:pt>
                <c:pt idx="793">
                  <c:v>34.300000000000153</c:v>
                </c:pt>
                <c:pt idx="794">
                  <c:v>34.400000000000155</c:v>
                </c:pt>
                <c:pt idx="795">
                  <c:v>34.500000000000156</c:v>
                </c:pt>
                <c:pt idx="796">
                  <c:v>34.600000000000158</c:v>
                </c:pt>
                <c:pt idx="797">
                  <c:v>34.700000000000159</c:v>
                </c:pt>
                <c:pt idx="798">
                  <c:v>34.800000000000161</c:v>
                </c:pt>
                <c:pt idx="799">
                  <c:v>34.900000000000162</c:v>
                </c:pt>
                <c:pt idx="800">
                  <c:v>35.000000000000163</c:v>
                </c:pt>
                <c:pt idx="801">
                  <c:v>35.100000000000165</c:v>
                </c:pt>
                <c:pt idx="802">
                  <c:v>35.200000000000166</c:v>
                </c:pt>
                <c:pt idx="803">
                  <c:v>35.300000000000168</c:v>
                </c:pt>
                <c:pt idx="804">
                  <c:v>35.400000000000169</c:v>
                </c:pt>
                <c:pt idx="805">
                  <c:v>35.500000000000171</c:v>
                </c:pt>
                <c:pt idx="806">
                  <c:v>35.600000000000172</c:v>
                </c:pt>
                <c:pt idx="807">
                  <c:v>35.700000000000173</c:v>
                </c:pt>
                <c:pt idx="808">
                  <c:v>35.800000000000175</c:v>
                </c:pt>
                <c:pt idx="809">
                  <c:v>35.900000000000176</c:v>
                </c:pt>
                <c:pt idx="810">
                  <c:v>36.000000000000178</c:v>
                </c:pt>
                <c:pt idx="811">
                  <c:v>36.100000000000179</c:v>
                </c:pt>
                <c:pt idx="812">
                  <c:v>36.20000000000018</c:v>
                </c:pt>
                <c:pt idx="813">
                  <c:v>36.300000000000182</c:v>
                </c:pt>
                <c:pt idx="814">
                  <c:v>36.400000000000183</c:v>
                </c:pt>
                <c:pt idx="815">
                  <c:v>36.500000000000185</c:v>
                </c:pt>
                <c:pt idx="816">
                  <c:v>36.600000000000186</c:v>
                </c:pt>
                <c:pt idx="817">
                  <c:v>36.700000000000188</c:v>
                </c:pt>
                <c:pt idx="818">
                  <c:v>36.800000000000189</c:v>
                </c:pt>
                <c:pt idx="819">
                  <c:v>36.90000000000019</c:v>
                </c:pt>
                <c:pt idx="820">
                  <c:v>37.000000000000192</c:v>
                </c:pt>
                <c:pt idx="821">
                  <c:v>37.100000000000193</c:v>
                </c:pt>
                <c:pt idx="822">
                  <c:v>37.200000000000195</c:v>
                </c:pt>
                <c:pt idx="823">
                  <c:v>37.300000000000196</c:v>
                </c:pt>
                <c:pt idx="824">
                  <c:v>37.400000000000198</c:v>
                </c:pt>
                <c:pt idx="825">
                  <c:v>37.500000000000199</c:v>
                </c:pt>
                <c:pt idx="826">
                  <c:v>37.6000000000002</c:v>
                </c:pt>
                <c:pt idx="827">
                  <c:v>37.700000000000202</c:v>
                </c:pt>
                <c:pt idx="828">
                  <c:v>37.800000000000203</c:v>
                </c:pt>
                <c:pt idx="829">
                  <c:v>37.900000000000205</c:v>
                </c:pt>
                <c:pt idx="830">
                  <c:v>38.000000000000206</c:v>
                </c:pt>
                <c:pt idx="831">
                  <c:v>38.100000000000207</c:v>
                </c:pt>
                <c:pt idx="832">
                  <c:v>38.200000000000209</c:v>
                </c:pt>
                <c:pt idx="833">
                  <c:v>38.30000000000021</c:v>
                </c:pt>
                <c:pt idx="834">
                  <c:v>38.400000000000212</c:v>
                </c:pt>
                <c:pt idx="835">
                  <c:v>38.500000000000213</c:v>
                </c:pt>
                <c:pt idx="836">
                  <c:v>38.600000000000215</c:v>
                </c:pt>
                <c:pt idx="837">
                  <c:v>38.700000000000216</c:v>
                </c:pt>
                <c:pt idx="838">
                  <c:v>38.800000000000217</c:v>
                </c:pt>
                <c:pt idx="839">
                  <c:v>38.900000000000219</c:v>
                </c:pt>
                <c:pt idx="840">
                  <c:v>39.00000000000022</c:v>
                </c:pt>
                <c:pt idx="841">
                  <c:v>39.100000000000222</c:v>
                </c:pt>
                <c:pt idx="842">
                  <c:v>39.200000000000223</c:v>
                </c:pt>
                <c:pt idx="843">
                  <c:v>39.300000000000225</c:v>
                </c:pt>
                <c:pt idx="844">
                  <c:v>39.400000000000226</c:v>
                </c:pt>
                <c:pt idx="845">
                  <c:v>39.500000000000227</c:v>
                </c:pt>
                <c:pt idx="846">
                  <c:v>39.600000000000229</c:v>
                </c:pt>
                <c:pt idx="847">
                  <c:v>39.70000000000023</c:v>
                </c:pt>
                <c:pt idx="848">
                  <c:v>39.800000000000232</c:v>
                </c:pt>
                <c:pt idx="849">
                  <c:v>39.900000000000233</c:v>
                </c:pt>
                <c:pt idx="850">
                  <c:v>40.000000000000234</c:v>
                </c:pt>
                <c:pt idx="851">
                  <c:v>40.100000000000236</c:v>
                </c:pt>
                <c:pt idx="852">
                  <c:v>40.200000000000237</c:v>
                </c:pt>
                <c:pt idx="853">
                  <c:v>40.300000000000239</c:v>
                </c:pt>
                <c:pt idx="854">
                  <c:v>40.40000000000024</c:v>
                </c:pt>
                <c:pt idx="855">
                  <c:v>40.500000000000242</c:v>
                </c:pt>
                <c:pt idx="856">
                  <c:v>40.600000000000243</c:v>
                </c:pt>
                <c:pt idx="857">
                  <c:v>40.700000000000244</c:v>
                </c:pt>
                <c:pt idx="858">
                  <c:v>40.800000000000246</c:v>
                </c:pt>
                <c:pt idx="859">
                  <c:v>40.900000000000247</c:v>
                </c:pt>
                <c:pt idx="860">
                  <c:v>41.000000000000249</c:v>
                </c:pt>
                <c:pt idx="861">
                  <c:v>41.10000000000025</c:v>
                </c:pt>
                <c:pt idx="862">
                  <c:v>41.200000000000252</c:v>
                </c:pt>
                <c:pt idx="863">
                  <c:v>41.300000000000253</c:v>
                </c:pt>
                <c:pt idx="864">
                  <c:v>41.400000000000254</c:v>
                </c:pt>
                <c:pt idx="865">
                  <c:v>41.500000000000256</c:v>
                </c:pt>
                <c:pt idx="866">
                  <c:v>41.600000000000257</c:v>
                </c:pt>
                <c:pt idx="867">
                  <c:v>41.700000000000259</c:v>
                </c:pt>
                <c:pt idx="868">
                  <c:v>41.80000000000026</c:v>
                </c:pt>
                <c:pt idx="869">
                  <c:v>41.900000000000261</c:v>
                </c:pt>
                <c:pt idx="870">
                  <c:v>42.000000000000263</c:v>
                </c:pt>
                <c:pt idx="871">
                  <c:v>42.100000000000264</c:v>
                </c:pt>
                <c:pt idx="872">
                  <c:v>42.200000000000266</c:v>
                </c:pt>
                <c:pt idx="873">
                  <c:v>42.300000000000267</c:v>
                </c:pt>
                <c:pt idx="874">
                  <c:v>42.400000000000269</c:v>
                </c:pt>
                <c:pt idx="875">
                  <c:v>42.50000000000027</c:v>
                </c:pt>
                <c:pt idx="876">
                  <c:v>42.600000000000271</c:v>
                </c:pt>
                <c:pt idx="877">
                  <c:v>42.700000000000273</c:v>
                </c:pt>
                <c:pt idx="878">
                  <c:v>42.800000000000274</c:v>
                </c:pt>
                <c:pt idx="879">
                  <c:v>42.900000000000276</c:v>
                </c:pt>
                <c:pt idx="880">
                  <c:v>43.000000000000277</c:v>
                </c:pt>
                <c:pt idx="881">
                  <c:v>43.100000000000279</c:v>
                </c:pt>
                <c:pt idx="882">
                  <c:v>43.20000000000028</c:v>
                </c:pt>
                <c:pt idx="883">
                  <c:v>43.300000000000281</c:v>
                </c:pt>
                <c:pt idx="884">
                  <c:v>43.400000000000283</c:v>
                </c:pt>
                <c:pt idx="885">
                  <c:v>43.500000000000284</c:v>
                </c:pt>
                <c:pt idx="886">
                  <c:v>43.600000000000286</c:v>
                </c:pt>
                <c:pt idx="887">
                  <c:v>43.700000000000287</c:v>
                </c:pt>
                <c:pt idx="888">
                  <c:v>43.800000000000288</c:v>
                </c:pt>
                <c:pt idx="889">
                  <c:v>43.90000000000029</c:v>
                </c:pt>
                <c:pt idx="890">
                  <c:v>44.000000000000291</c:v>
                </c:pt>
                <c:pt idx="891">
                  <c:v>44.100000000000293</c:v>
                </c:pt>
                <c:pt idx="892">
                  <c:v>44.200000000000294</c:v>
                </c:pt>
                <c:pt idx="893">
                  <c:v>44.300000000000296</c:v>
                </c:pt>
                <c:pt idx="894">
                  <c:v>44.400000000000297</c:v>
                </c:pt>
                <c:pt idx="895">
                  <c:v>44.500000000000298</c:v>
                </c:pt>
                <c:pt idx="896">
                  <c:v>44.6000000000003</c:v>
                </c:pt>
                <c:pt idx="897">
                  <c:v>44.700000000000301</c:v>
                </c:pt>
                <c:pt idx="898">
                  <c:v>44.800000000000303</c:v>
                </c:pt>
                <c:pt idx="899">
                  <c:v>44.900000000000304</c:v>
                </c:pt>
                <c:pt idx="900">
                  <c:v>45.000000000000306</c:v>
                </c:pt>
                <c:pt idx="901">
                  <c:v>45.100000000000307</c:v>
                </c:pt>
                <c:pt idx="902">
                  <c:v>45.200000000000308</c:v>
                </c:pt>
                <c:pt idx="903">
                  <c:v>45.30000000000031</c:v>
                </c:pt>
                <c:pt idx="904">
                  <c:v>45.400000000000311</c:v>
                </c:pt>
                <c:pt idx="905">
                  <c:v>45.500000000000313</c:v>
                </c:pt>
                <c:pt idx="906">
                  <c:v>45.600000000000314</c:v>
                </c:pt>
                <c:pt idx="907">
                  <c:v>45.700000000000315</c:v>
                </c:pt>
                <c:pt idx="908">
                  <c:v>45.800000000000317</c:v>
                </c:pt>
                <c:pt idx="909">
                  <c:v>45.900000000000318</c:v>
                </c:pt>
                <c:pt idx="910">
                  <c:v>46.00000000000032</c:v>
                </c:pt>
                <c:pt idx="911">
                  <c:v>46.100000000000321</c:v>
                </c:pt>
                <c:pt idx="912">
                  <c:v>46.200000000000323</c:v>
                </c:pt>
                <c:pt idx="913">
                  <c:v>46.300000000000324</c:v>
                </c:pt>
                <c:pt idx="914">
                  <c:v>46.400000000000325</c:v>
                </c:pt>
                <c:pt idx="915">
                  <c:v>46.500000000000327</c:v>
                </c:pt>
                <c:pt idx="916">
                  <c:v>46.600000000000328</c:v>
                </c:pt>
                <c:pt idx="917">
                  <c:v>46.70000000000033</c:v>
                </c:pt>
                <c:pt idx="918">
                  <c:v>46.800000000000331</c:v>
                </c:pt>
                <c:pt idx="919">
                  <c:v>46.900000000000333</c:v>
                </c:pt>
                <c:pt idx="920">
                  <c:v>47.000000000000334</c:v>
                </c:pt>
                <c:pt idx="921">
                  <c:v>47.100000000000335</c:v>
                </c:pt>
                <c:pt idx="922">
                  <c:v>47.200000000000337</c:v>
                </c:pt>
                <c:pt idx="923">
                  <c:v>47.300000000000338</c:v>
                </c:pt>
                <c:pt idx="924">
                  <c:v>47.40000000000034</c:v>
                </c:pt>
                <c:pt idx="925">
                  <c:v>47.500000000000341</c:v>
                </c:pt>
                <c:pt idx="926">
                  <c:v>47.600000000000342</c:v>
                </c:pt>
                <c:pt idx="927">
                  <c:v>47.700000000000344</c:v>
                </c:pt>
                <c:pt idx="928">
                  <c:v>47.800000000000345</c:v>
                </c:pt>
                <c:pt idx="929">
                  <c:v>47.900000000000347</c:v>
                </c:pt>
                <c:pt idx="930">
                  <c:v>48.000000000000348</c:v>
                </c:pt>
                <c:pt idx="931">
                  <c:v>48.10000000000035</c:v>
                </c:pt>
                <c:pt idx="932">
                  <c:v>48.200000000000351</c:v>
                </c:pt>
                <c:pt idx="933">
                  <c:v>48.300000000000352</c:v>
                </c:pt>
                <c:pt idx="934">
                  <c:v>48.400000000000354</c:v>
                </c:pt>
                <c:pt idx="935">
                  <c:v>48.500000000000355</c:v>
                </c:pt>
                <c:pt idx="936">
                  <c:v>48.600000000000357</c:v>
                </c:pt>
                <c:pt idx="937">
                  <c:v>48.700000000000358</c:v>
                </c:pt>
                <c:pt idx="938">
                  <c:v>48.80000000000036</c:v>
                </c:pt>
                <c:pt idx="939">
                  <c:v>48.900000000000361</c:v>
                </c:pt>
                <c:pt idx="940">
                  <c:v>49.000000000000362</c:v>
                </c:pt>
                <c:pt idx="941">
                  <c:v>49.100000000000364</c:v>
                </c:pt>
                <c:pt idx="942">
                  <c:v>49.200000000000365</c:v>
                </c:pt>
                <c:pt idx="943">
                  <c:v>49.300000000000367</c:v>
                </c:pt>
                <c:pt idx="944">
                  <c:v>49.30010000000037</c:v>
                </c:pt>
                <c:pt idx="945">
                  <c:v>49.300200000000373</c:v>
                </c:pt>
                <c:pt idx="946">
                  <c:v>49.300300000000377</c:v>
                </c:pt>
                <c:pt idx="947">
                  <c:v>49.30040000000038</c:v>
                </c:pt>
                <c:pt idx="948">
                  <c:v>49.300500000000383</c:v>
                </c:pt>
                <c:pt idx="949">
                  <c:v>49.300600000000387</c:v>
                </c:pt>
                <c:pt idx="950">
                  <c:v>49.30070000000039</c:v>
                </c:pt>
                <c:pt idx="951">
                  <c:v>49.300800000000393</c:v>
                </c:pt>
                <c:pt idx="952">
                  <c:v>49.300900000000397</c:v>
                </c:pt>
                <c:pt idx="953">
                  <c:v>49.3010000000004</c:v>
                </c:pt>
                <c:pt idx="954">
                  <c:v>49.301100000000403</c:v>
                </c:pt>
                <c:pt idx="955">
                  <c:v>49.301200000000406</c:v>
                </c:pt>
                <c:pt idx="956">
                  <c:v>49.30130000000041</c:v>
                </c:pt>
                <c:pt idx="957">
                  <c:v>49.301400000000413</c:v>
                </c:pt>
                <c:pt idx="958">
                  <c:v>49.301500000000416</c:v>
                </c:pt>
                <c:pt idx="959">
                  <c:v>49.30160000000042</c:v>
                </c:pt>
                <c:pt idx="960">
                  <c:v>49.301700000000423</c:v>
                </c:pt>
                <c:pt idx="961">
                  <c:v>49.301800000000426</c:v>
                </c:pt>
                <c:pt idx="962">
                  <c:v>49.30190000000043</c:v>
                </c:pt>
                <c:pt idx="963">
                  <c:v>49.302000000000433</c:v>
                </c:pt>
                <c:pt idx="964">
                  <c:v>49.302100000000436</c:v>
                </c:pt>
                <c:pt idx="965">
                  <c:v>49.30220000000044</c:v>
                </c:pt>
                <c:pt idx="966">
                  <c:v>49.302300000000443</c:v>
                </c:pt>
                <c:pt idx="967">
                  <c:v>49.302400000000446</c:v>
                </c:pt>
                <c:pt idx="968">
                  <c:v>49.30250000000045</c:v>
                </c:pt>
                <c:pt idx="969">
                  <c:v>49.302600000000453</c:v>
                </c:pt>
                <c:pt idx="970">
                  <c:v>49.302700000000456</c:v>
                </c:pt>
                <c:pt idx="971">
                  <c:v>49.30280000000046</c:v>
                </c:pt>
                <c:pt idx="972">
                  <c:v>49.302900000000463</c:v>
                </c:pt>
                <c:pt idx="973">
                  <c:v>49.303000000000466</c:v>
                </c:pt>
                <c:pt idx="974">
                  <c:v>49.30310000000047</c:v>
                </c:pt>
                <c:pt idx="975">
                  <c:v>49.303200000000473</c:v>
                </c:pt>
                <c:pt idx="976">
                  <c:v>49.303300000000476</c:v>
                </c:pt>
                <c:pt idx="977">
                  <c:v>49.30340000000048</c:v>
                </c:pt>
                <c:pt idx="978">
                  <c:v>49.303500000000483</c:v>
                </c:pt>
                <c:pt idx="979">
                  <c:v>49.303600000000486</c:v>
                </c:pt>
                <c:pt idx="980">
                  <c:v>49.303700000000489</c:v>
                </c:pt>
                <c:pt idx="981">
                  <c:v>49.303800000000493</c:v>
                </c:pt>
                <c:pt idx="982">
                  <c:v>49.303900000000496</c:v>
                </c:pt>
                <c:pt idx="983">
                  <c:v>49.304000000000499</c:v>
                </c:pt>
                <c:pt idx="984">
                  <c:v>49.304100000000503</c:v>
                </c:pt>
                <c:pt idx="985">
                  <c:v>49.304200000000506</c:v>
                </c:pt>
                <c:pt idx="986">
                  <c:v>49.304300000000509</c:v>
                </c:pt>
                <c:pt idx="987">
                  <c:v>49.304400000000513</c:v>
                </c:pt>
                <c:pt idx="988">
                  <c:v>49.304500000000516</c:v>
                </c:pt>
                <c:pt idx="989">
                  <c:v>49.304600000000519</c:v>
                </c:pt>
                <c:pt idx="990">
                  <c:v>49.304700000000523</c:v>
                </c:pt>
                <c:pt idx="991">
                  <c:v>49.304800000000526</c:v>
                </c:pt>
                <c:pt idx="992">
                  <c:v>49.304900000000529</c:v>
                </c:pt>
                <c:pt idx="993">
                  <c:v>49.305000000000533</c:v>
                </c:pt>
                <c:pt idx="994">
                  <c:v>49.305100000000536</c:v>
                </c:pt>
                <c:pt idx="995">
                  <c:v>49.305200000000539</c:v>
                </c:pt>
                <c:pt idx="996">
                  <c:v>49.305300000000543</c:v>
                </c:pt>
                <c:pt idx="997">
                  <c:v>49.305400000000546</c:v>
                </c:pt>
                <c:pt idx="998">
                  <c:v>49.305500000000549</c:v>
                </c:pt>
                <c:pt idx="999">
                  <c:v>49.305600000000553</c:v>
                </c:pt>
                <c:pt idx="1000">
                  <c:v>49.305700000000556</c:v>
                </c:pt>
              </c:numCache>
            </c:numRef>
          </c:xVal>
          <c:yVal>
            <c:numRef>
              <c:f>Calculs!$Q$4:$Q$1004</c:f>
              <c:numCache>
                <c:formatCode>0.00</c:formatCode>
                <c:ptCount val="1001"/>
                <c:pt idx="0">
                  <c:v>0</c:v>
                </c:pt>
                <c:pt idx="1">
                  <c:v>214.70000000000002</c:v>
                </c:pt>
                <c:pt idx="2">
                  <c:v>451.48888888888888</c:v>
                </c:pt>
                <c:pt idx="3">
                  <c:v>549.66666666666663</c:v>
                </c:pt>
                <c:pt idx="4">
                  <c:v>647.84444444444443</c:v>
                </c:pt>
                <c:pt idx="5">
                  <c:v>746.02222222222224</c:v>
                </c:pt>
                <c:pt idx="6">
                  <c:v>844.2</c:v>
                </c:pt>
                <c:pt idx="7">
                  <c:v>942.37777777777774</c:v>
                </c:pt>
                <c:pt idx="8">
                  <c:v>1040.5555555555557</c:v>
                </c:pt>
                <c:pt idx="9">
                  <c:v>1138.7333333333331</c:v>
                </c:pt>
                <c:pt idx="10">
                  <c:v>1236.911111111111</c:v>
                </c:pt>
                <c:pt idx="11">
                  <c:v>1278.75</c:v>
                </c:pt>
                <c:pt idx="12">
                  <c:v>1264.25</c:v>
                </c:pt>
                <c:pt idx="13">
                  <c:v>1249.3214285714287</c:v>
                </c:pt>
                <c:pt idx="14">
                  <c:v>1233.9642857142858</c:v>
                </c:pt>
                <c:pt idx="15">
                  <c:v>1218.6071428571429</c:v>
                </c:pt>
                <c:pt idx="16">
                  <c:v>1203.25</c:v>
                </c:pt>
                <c:pt idx="17">
                  <c:v>1187.8928571428571</c:v>
                </c:pt>
                <c:pt idx="18">
                  <c:v>1172.5357142857142</c:v>
                </c:pt>
                <c:pt idx="19">
                  <c:v>1157.1785714285713</c:v>
                </c:pt>
                <c:pt idx="20">
                  <c:v>1141.8214285714284</c:v>
                </c:pt>
                <c:pt idx="21">
                  <c:v>1126.4642857142858</c:v>
                </c:pt>
                <c:pt idx="22">
                  <c:v>1111.1071428571427</c:v>
                </c:pt>
                <c:pt idx="23">
                  <c:v>1095.75</c:v>
                </c:pt>
                <c:pt idx="24">
                  <c:v>1080.3928571428571</c:v>
                </c:pt>
                <c:pt idx="25">
                  <c:v>1065.0357142857142</c:v>
                </c:pt>
                <c:pt idx="26">
                  <c:v>1049.6785714285713</c:v>
                </c:pt>
                <c:pt idx="27">
                  <c:v>1041.8333333333333</c:v>
                </c:pt>
                <c:pt idx="28">
                  <c:v>1041.5</c:v>
                </c:pt>
                <c:pt idx="29">
                  <c:v>1041.1666666666667</c:v>
                </c:pt>
                <c:pt idx="30">
                  <c:v>1040.8333333333333</c:v>
                </c:pt>
                <c:pt idx="31">
                  <c:v>1040.5</c:v>
                </c:pt>
                <c:pt idx="32">
                  <c:v>1040.1666666666667</c:v>
                </c:pt>
                <c:pt idx="33">
                  <c:v>1039.8333333333333</c:v>
                </c:pt>
                <c:pt idx="34">
                  <c:v>1039.5</c:v>
                </c:pt>
                <c:pt idx="35">
                  <c:v>1039.1666666666667</c:v>
                </c:pt>
                <c:pt idx="36">
                  <c:v>1038.8333333333333</c:v>
                </c:pt>
                <c:pt idx="37">
                  <c:v>1038.5</c:v>
                </c:pt>
                <c:pt idx="38">
                  <c:v>1038.1666666666667</c:v>
                </c:pt>
                <c:pt idx="39">
                  <c:v>1037.8333333333333</c:v>
                </c:pt>
                <c:pt idx="40">
                  <c:v>1037.5</c:v>
                </c:pt>
                <c:pt idx="41">
                  <c:v>1037.1666666666667</c:v>
                </c:pt>
                <c:pt idx="42">
                  <c:v>1036.8333333333333</c:v>
                </c:pt>
                <c:pt idx="43">
                  <c:v>1036.5</c:v>
                </c:pt>
                <c:pt idx="44">
                  <c:v>1036.1666666666667</c:v>
                </c:pt>
                <c:pt idx="45">
                  <c:v>1035.8333333333333</c:v>
                </c:pt>
                <c:pt idx="46">
                  <c:v>1035.5</c:v>
                </c:pt>
                <c:pt idx="47">
                  <c:v>1035.1666666666667</c:v>
                </c:pt>
                <c:pt idx="48">
                  <c:v>1034.8333333333333</c:v>
                </c:pt>
                <c:pt idx="49">
                  <c:v>1034.5</c:v>
                </c:pt>
                <c:pt idx="50">
                  <c:v>1034.1666666666667</c:v>
                </c:pt>
                <c:pt idx="51">
                  <c:v>1033.8333333333333</c:v>
                </c:pt>
                <c:pt idx="52">
                  <c:v>1033.5</c:v>
                </c:pt>
                <c:pt idx="53">
                  <c:v>1033.1666666666667</c:v>
                </c:pt>
                <c:pt idx="54">
                  <c:v>1032.8333333333333</c:v>
                </c:pt>
                <c:pt idx="55">
                  <c:v>1032.5</c:v>
                </c:pt>
                <c:pt idx="56">
                  <c:v>1032.1666666666667</c:v>
                </c:pt>
                <c:pt idx="57">
                  <c:v>1031.8333333333333</c:v>
                </c:pt>
                <c:pt idx="58">
                  <c:v>1031.5</c:v>
                </c:pt>
                <c:pt idx="59">
                  <c:v>1031.1666666666667</c:v>
                </c:pt>
                <c:pt idx="60">
                  <c:v>1030.8333333333333</c:v>
                </c:pt>
                <c:pt idx="61">
                  <c:v>1030.5</c:v>
                </c:pt>
                <c:pt idx="62">
                  <c:v>1030.1666666666667</c:v>
                </c:pt>
                <c:pt idx="63">
                  <c:v>1029.8333333333333</c:v>
                </c:pt>
                <c:pt idx="64">
                  <c:v>1029.5</c:v>
                </c:pt>
                <c:pt idx="65">
                  <c:v>1029.1666666666667</c:v>
                </c:pt>
                <c:pt idx="66">
                  <c:v>1028.8333333333333</c:v>
                </c:pt>
                <c:pt idx="67">
                  <c:v>1028.5</c:v>
                </c:pt>
                <c:pt idx="68">
                  <c:v>1028.1666666666667</c:v>
                </c:pt>
                <c:pt idx="69">
                  <c:v>1027.8333333333333</c:v>
                </c:pt>
                <c:pt idx="70">
                  <c:v>1027.5</c:v>
                </c:pt>
                <c:pt idx="71">
                  <c:v>1027.1666666666667</c:v>
                </c:pt>
                <c:pt idx="72">
                  <c:v>1026.7491228070176</c:v>
                </c:pt>
                <c:pt idx="73">
                  <c:v>1026.2473684210527</c:v>
                </c:pt>
                <c:pt idx="74">
                  <c:v>1025.7456140350878</c:v>
                </c:pt>
                <c:pt idx="75">
                  <c:v>1025.2438596491227</c:v>
                </c:pt>
                <c:pt idx="76">
                  <c:v>1024.7421052631578</c:v>
                </c:pt>
                <c:pt idx="77">
                  <c:v>1024.2403508771929</c:v>
                </c:pt>
                <c:pt idx="78">
                  <c:v>1023.738596491228</c:v>
                </c:pt>
                <c:pt idx="79">
                  <c:v>1023.2368421052631</c:v>
                </c:pt>
                <c:pt idx="80">
                  <c:v>1022.7350877192982</c:v>
                </c:pt>
                <c:pt idx="81">
                  <c:v>1022.2333333333333</c:v>
                </c:pt>
                <c:pt idx="82">
                  <c:v>1021.7315789473683</c:v>
                </c:pt>
                <c:pt idx="83">
                  <c:v>1021.2298245614035</c:v>
                </c:pt>
                <c:pt idx="84">
                  <c:v>1020.7280701754386</c:v>
                </c:pt>
                <c:pt idx="85">
                  <c:v>1020.2263157894737</c:v>
                </c:pt>
                <c:pt idx="86">
                  <c:v>1019.7245614035087</c:v>
                </c:pt>
                <c:pt idx="87">
                  <c:v>1019.2228070175438</c:v>
                </c:pt>
                <c:pt idx="88">
                  <c:v>1018.7210526315789</c:v>
                </c:pt>
                <c:pt idx="89">
                  <c:v>1018.219298245614</c:v>
                </c:pt>
                <c:pt idx="90">
                  <c:v>1017.7175438596491</c:v>
                </c:pt>
                <c:pt idx="91">
                  <c:v>1017.2157894736841</c:v>
                </c:pt>
                <c:pt idx="92">
                  <c:v>1016.7140350877193</c:v>
                </c:pt>
                <c:pt idx="93">
                  <c:v>1016.2122807017544</c:v>
                </c:pt>
                <c:pt idx="94">
                  <c:v>1015.7105263157895</c:v>
                </c:pt>
                <c:pt idx="95">
                  <c:v>1015.2087719298245</c:v>
                </c:pt>
                <c:pt idx="96">
                  <c:v>1014.7070175438596</c:v>
                </c:pt>
                <c:pt idx="97">
                  <c:v>1014.2052631578947</c:v>
                </c:pt>
                <c:pt idx="98">
                  <c:v>1013.7035087719298</c:v>
                </c:pt>
                <c:pt idx="99">
                  <c:v>1013.2017543859648</c:v>
                </c:pt>
                <c:pt idx="100">
                  <c:v>1012.6999999999999</c:v>
                </c:pt>
                <c:pt idx="101">
                  <c:v>1012.198245614035</c:v>
                </c:pt>
                <c:pt idx="102">
                  <c:v>1011.6964912280702</c:v>
                </c:pt>
                <c:pt idx="103">
                  <c:v>1011.1947368421052</c:v>
                </c:pt>
                <c:pt idx="104">
                  <c:v>1010.6929824561403</c:v>
                </c:pt>
                <c:pt idx="105">
                  <c:v>1010.1912280701754</c:v>
                </c:pt>
                <c:pt idx="106">
                  <c:v>1009.6894736842105</c:v>
                </c:pt>
                <c:pt idx="107">
                  <c:v>1009.1877192982456</c:v>
                </c:pt>
                <c:pt idx="108">
                  <c:v>1008.6859649122806</c:v>
                </c:pt>
                <c:pt idx="109">
                  <c:v>1008.1842105263157</c:v>
                </c:pt>
                <c:pt idx="110">
                  <c:v>1007.6824561403508</c:v>
                </c:pt>
                <c:pt idx="111">
                  <c:v>1007.180701754386</c:v>
                </c:pt>
                <c:pt idx="112">
                  <c:v>1006.6789473684209</c:v>
                </c:pt>
                <c:pt idx="113">
                  <c:v>1006.1771929824561</c:v>
                </c:pt>
                <c:pt idx="114">
                  <c:v>1005.6754385964912</c:v>
                </c:pt>
                <c:pt idx="115">
                  <c:v>1005.1736842105263</c:v>
                </c:pt>
                <c:pt idx="116">
                  <c:v>1004.6719298245613</c:v>
                </c:pt>
                <c:pt idx="117">
                  <c:v>1004.1701754385964</c:v>
                </c:pt>
                <c:pt idx="118">
                  <c:v>1003.6684210526315</c:v>
                </c:pt>
                <c:pt idx="119">
                  <c:v>1003.1666666666666</c:v>
                </c:pt>
                <c:pt idx="120">
                  <c:v>1002.6649122807017</c:v>
                </c:pt>
                <c:pt idx="121">
                  <c:v>1002.1631578947367</c:v>
                </c:pt>
                <c:pt idx="122">
                  <c:v>1001.6614035087719</c:v>
                </c:pt>
                <c:pt idx="123">
                  <c:v>1001.159649122807</c:v>
                </c:pt>
                <c:pt idx="124">
                  <c:v>1000.6578947368421</c:v>
                </c:pt>
                <c:pt idx="125">
                  <c:v>1000.1561403508771</c:v>
                </c:pt>
                <c:pt idx="126">
                  <c:v>999.65438596491219</c:v>
                </c:pt>
                <c:pt idx="127">
                  <c:v>999.15263157894731</c:v>
                </c:pt>
                <c:pt idx="128">
                  <c:v>998.65087719298242</c:v>
                </c:pt>
                <c:pt idx="129">
                  <c:v>997.77012987012972</c:v>
                </c:pt>
                <c:pt idx="130">
                  <c:v>996.51038961038944</c:v>
                </c:pt>
                <c:pt idx="131">
                  <c:v>995.25064935064916</c:v>
                </c:pt>
                <c:pt idx="132">
                  <c:v>993.99090909090899</c:v>
                </c:pt>
                <c:pt idx="133">
                  <c:v>992.7311688311687</c:v>
                </c:pt>
                <c:pt idx="134">
                  <c:v>991.47142857142842</c:v>
                </c:pt>
                <c:pt idx="135">
                  <c:v>990.21168831168814</c:v>
                </c:pt>
                <c:pt idx="136">
                  <c:v>988.95194805194785</c:v>
                </c:pt>
                <c:pt idx="137">
                  <c:v>987.69220779220768</c:v>
                </c:pt>
                <c:pt idx="138">
                  <c:v>986.4324675324674</c:v>
                </c:pt>
                <c:pt idx="139">
                  <c:v>985.17272727272712</c:v>
                </c:pt>
                <c:pt idx="140">
                  <c:v>983.91298701298683</c:v>
                </c:pt>
                <c:pt idx="141">
                  <c:v>982.65324675324655</c:v>
                </c:pt>
                <c:pt idx="142">
                  <c:v>981.39350649350638</c:v>
                </c:pt>
                <c:pt idx="143">
                  <c:v>980.1337662337661</c:v>
                </c:pt>
                <c:pt idx="144">
                  <c:v>978.87402597402581</c:v>
                </c:pt>
                <c:pt idx="145">
                  <c:v>977.61428571428553</c:v>
                </c:pt>
                <c:pt idx="146">
                  <c:v>976.35454545454525</c:v>
                </c:pt>
                <c:pt idx="147">
                  <c:v>975.09480519480508</c:v>
                </c:pt>
                <c:pt idx="148">
                  <c:v>973.83506493506479</c:v>
                </c:pt>
                <c:pt idx="149">
                  <c:v>972.57532467532451</c:v>
                </c:pt>
                <c:pt idx="150">
                  <c:v>971.31558441558423</c:v>
                </c:pt>
                <c:pt idx="151">
                  <c:v>970.05584415584394</c:v>
                </c:pt>
                <c:pt idx="152">
                  <c:v>968.79610389610366</c:v>
                </c:pt>
                <c:pt idx="153">
                  <c:v>967.53636363636349</c:v>
                </c:pt>
                <c:pt idx="154">
                  <c:v>966.27662337662321</c:v>
                </c:pt>
                <c:pt idx="155">
                  <c:v>965.01688311688292</c:v>
                </c:pt>
                <c:pt idx="156">
                  <c:v>963.75714285714264</c:v>
                </c:pt>
                <c:pt idx="157">
                  <c:v>962.49740259740236</c:v>
                </c:pt>
                <c:pt idx="158">
                  <c:v>961.23766233766219</c:v>
                </c:pt>
                <c:pt idx="159">
                  <c:v>959.9779220779219</c:v>
                </c:pt>
                <c:pt idx="160">
                  <c:v>958.71818181818162</c:v>
                </c:pt>
                <c:pt idx="161">
                  <c:v>957.45844155844134</c:v>
                </c:pt>
                <c:pt idx="162">
                  <c:v>956.19870129870105</c:v>
                </c:pt>
                <c:pt idx="163">
                  <c:v>954.93896103896088</c:v>
                </c:pt>
                <c:pt idx="164">
                  <c:v>953.6792207792206</c:v>
                </c:pt>
                <c:pt idx="165">
                  <c:v>952.41948051948032</c:v>
                </c:pt>
                <c:pt idx="166">
                  <c:v>951.15974025974003</c:v>
                </c:pt>
                <c:pt idx="167">
                  <c:v>949.89999999999975</c:v>
                </c:pt>
                <c:pt idx="168">
                  <c:v>948.64025974025958</c:v>
                </c:pt>
                <c:pt idx="169">
                  <c:v>947.3805194805193</c:v>
                </c:pt>
                <c:pt idx="170">
                  <c:v>946.12077922077901</c:v>
                </c:pt>
                <c:pt idx="171">
                  <c:v>944.86103896103873</c:v>
                </c:pt>
                <c:pt idx="172">
                  <c:v>943.60129870129845</c:v>
                </c:pt>
                <c:pt idx="173">
                  <c:v>942.34155844155828</c:v>
                </c:pt>
                <c:pt idx="174">
                  <c:v>941.08181818181799</c:v>
                </c:pt>
                <c:pt idx="175">
                  <c:v>939.82207792207771</c:v>
                </c:pt>
                <c:pt idx="176">
                  <c:v>938.56233766233743</c:v>
                </c:pt>
                <c:pt idx="177">
                  <c:v>937.30259740259714</c:v>
                </c:pt>
                <c:pt idx="178">
                  <c:v>936.04285714285697</c:v>
                </c:pt>
                <c:pt idx="179">
                  <c:v>934.78311688311669</c:v>
                </c:pt>
                <c:pt idx="180">
                  <c:v>933.52337662337641</c:v>
                </c:pt>
                <c:pt idx="181">
                  <c:v>932.26363636363612</c:v>
                </c:pt>
                <c:pt idx="182">
                  <c:v>931.00389610389584</c:v>
                </c:pt>
                <c:pt idx="183">
                  <c:v>929.74415584415556</c:v>
                </c:pt>
                <c:pt idx="184">
                  <c:v>928.48441558441539</c:v>
                </c:pt>
                <c:pt idx="185">
                  <c:v>927.2246753246751</c:v>
                </c:pt>
                <c:pt idx="186">
                  <c:v>925.96493506493482</c:v>
                </c:pt>
                <c:pt idx="187">
                  <c:v>924.70519480519454</c:v>
                </c:pt>
                <c:pt idx="188">
                  <c:v>923.44545454545437</c:v>
                </c:pt>
                <c:pt idx="189">
                  <c:v>922.18571428571408</c:v>
                </c:pt>
                <c:pt idx="190">
                  <c:v>920.9259740259738</c:v>
                </c:pt>
                <c:pt idx="191">
                  <c:v>919.66623376623352</c:v>
                </c:pt>
                <c:pt idx="192">
                  <c:v>918.40649350649323</c:v>
                </c:pt>
                <c:pt idx="193">
                  <c:v>917.14675324675295</c:v>
                </c:pt>
                <c:pt idx="194">
                  <c:v>915.88701298701278</c:v>
                </c:pt>
                <c:pt idx="195">
                  <c:v>914.6272727272725</c:v>
                </c:pt>
                <c:pt idx="196">
                  <c:v>913.36753246753221</c:v>
                </c:pt>
                <c:pt idx="197">
                  <c:v>912.10779220779193</c:v>
                </c:pt>
                <c:pt idx="198">
                  <c:v>910.84805194805176</c:v>
                </c:pt>
                <c:pt idx="199">
                  <c:v>909.58831168831148</c:v>
                </c:pt>
                <c:pt idx="200">
                  <c:v>908.32857142857119</c:v>
                </c:pt>
                <c:pt idx="201">
                  <c:v>907.06883116883091</c:v>
                </c:pt>
                <c:pt idx="202">
                  <c:v>905.80909090909074</c:v>
                </c:pt>
                <c:pt idx="203">
                  <c:v>904.54935064935046</c:v>
                </c:pt>
                <c:pt idx="204">
                  <c:v>903.28961038961029</c:v>
                </c:pt>
                <c:pt idx="205">
                  <c:v>902.02987012987001</c:v>
                </c:pt>
                <c:pt idx="206">
                  <c:v>900.68055555555543</c:v>
                </c:pt>
                <c:pt idx="207">
                  <c:v>899.24166666666667</c:v>
                </c:pt>
                <c:pt idx="208">
                  <c:v>897.80277777777781</c:v>
                </c:pt>
                <c:pt idx="209">
                  <c:v>896.36388888888894</c:v>
                </c:pt>
                <c:pt idx="210">
                  <c:v>894.92500000000007</c:v>
                </c:pt>
                <c:pt idx="211">
                  <c:v>893.4861111111112</c:v>
                </c:pt>
                <c:pt idx="212">
                  <c:v>892.04722222222233</c:v>
                </c:pt>
                <c:pt idx="213">
                  <c:v>890.60833333333346</c:v>
                </c:pt>
                <c:pt idx="214">
                  <c:v>889.16944444444459</c:v>
                </c:pt>
                <c:pt idx="215">
                  <c:v>887.73055555555584</c:v>
                </c:pt>
                <c:pt idx="216">
                  <c:v>886.29166666666697</c:v>
                </c:pt>
                <c:pt idx="217">
                  <c:v>884.8527777777781</c:v>
                </c:pt>
                <c:pt idx="218">
                  <c:v>883.41388888888923</c:v>
                </c:pt>
                <c:pt idx="219">
                  <c:v>881.97500000000036</c:v>
                </c:pt>
                <c:pt idx="220">
                  <c:v>880.5361111111115</c:v>
                </c:pt>
                <c:pt idx="221">
                  <c:v>879.09722222222263</c:v>
                </c:pt>
                <c:pt idx="222">
                  <c:v>877.65833333333376</c:v>
                </c:pt>
                <c:pt idx="223">
                  <c:v>876.21944444444489</c:v>
                </c:pt>
                <c:pt idx="224">
                  <c:v>874.78055555555613</c:v>
                </c:pt>
                <c:pt idx="225">
                  <c:v>873.34166666666727</c:v>
                </c:pt>
                <c:pt idx="226">
                  <c:v>871.9027777777784</c:v>
                </c:pt>
                <c:pt idx="227">
                  <c:v>870.46388888888953</c:v>
                </c:pt>
                <c:pt idx="228">
                  <c:v>869.02500000000066</c:v>
                </c:pt>
                <c:pt idx="229">
                  <c:v>867.58611111111179</c:v>
                </c:pt>
                <c:pt idx="230">
                  <c:v>866.14722222222292</c:v>
                </c:pt>
                <c:pt idx="231">
                  <c:v>864.70833333333405</c:v>
                </c:pt>
                <c:pt idx="232">
                  <c:v>863.2694444444453</c:v>
                </c:pt>
                <c:pt idx="233">
                  <c:v>861.83055555555643</c:v>
                </c:pt>
                <c:pt idx="234">
                  <c:v>860.39166666666756</c:v>
                </c:pt>
                <c:pt idx="235">
                  <c:v>858.95277777777869</c:v>
                </c:pt>
                <c:pt idx="236">
                  <c:v>857.51388888888982</c:v>
                </c:pt>
                <c:pt idx="237">
                  <c:v>856.07500000000095</c:v>
                </c:pt>
                <c:pt idx="238">
                  <c:v>854.63611111111209</c:v>
                </c:pt>
                <c:pt idx="239">
                  <c:v>853.19722222222322</c:v>
                </c:pt>
                <c:pt idx="240">
                  <c:v>851.75833333333435</c:v>
                </c:pt>
                <c:pt idx="241">
                  <c:v>850.31944444444548</c:v>
                </c:pt>
                <c:pt idx="242">
                  <c:v>848.57500000000164</c:v>
                </c:pt>
                <c:pt idx="243">
                  <c:v>846.52500000000168</c:v>
                </c:pt>
                <c:pt idx="244">
                  <c:v>844.47500000000173</c:v>
                </c:pt>
                <c:pt idx="245">
                  <c:v>842.42500000000177</c:v>
                </c:pt>
                <c:pt idx="246">
                  <c:v>840.37500000000182</c:v>
                </c:pt>
                <c:pt idx="247">
                  <c:v>838.32500000000175</c:v>
                </c:pt>
                <c:pt idx="248">
                  <c:v>836.2750000000018</c:v>
                </c:pt>
                <c:pt idx="249">
                  <c:v>834.22500000000184</c:v>
                </c:pt>
                <c:pt idx="250">
                  <c:v>832.17500000000189</c:v>
                </c:pt>
                <c:pt idx="251">
                  <c:v>830.12500000000193</c:v>
                </c:pt>
                <c:pt idx="252">
                  <c:v>828.07500000000198</c:v>
                </c:pt>
                <c:pt idx="253">
                  <c:v>826.02500000000202</c:v>
                </c:pt>
                <c:pt idx="254">
                  <c:v>823.97500000000207</c:v>
                </c:pt>
                <c:pt idx="255">
                  <c:v>821.92500000000211</c:v>
                </c:pt>
                <c:pt idx="256">
                  <c:v>819.87500000000216</c:v>
                </c:pt>
                <c:pt idx="257">
                  <c:v>817.82500000000221</c:v>
                </c:pt>
                <c:pt idx="258">
                  <c:v>815.77500000000225</c:v>
                </c:pt>
                <c:pt idx="259">
                  <c:v>813.7250000000023</c:v>
                </c:pt>
                <c:pt idx="260">
                  <c:v>811.67500000000234</c:v>
                </c:pt>
                <c:pt idx="261">
                  <c:v>809.62500000000239</c:v>
                </c:pt>
                <c:pt idx="262">
                  <c:v>807.57500000000243</c:v>
                </c:pt>
                <c:pt idx="263">
                  <c:v>805.52500000000248</c:v>
                </c:pt>
                <c:pt idx="264">
                  <c:v>803.47500000000252</c:v>
                </c:pt>
                <c:pt idx="265">
                  <c:v>801.42500000000257</c:v>
                </c:pt>
                <c:pt idx="266">
                  <c:v>799.37500000000261</c:v>
                </c:pt>
                <c:pt idx="267">
                  <c:v>797.32500000000266</c:v>
                </c:pt>
                <c:pt idx="268">
                  <c:v>795.27500000000271</c:v>
                </c:pt>
                <c:pt idx="269">
                  <c:v>793.22500000000275</c:v>
                </c:pt>
                <c:pt idx="270">
                  <c:v>791.1750000000028</c:v>
                </c:pt>
                <c:pt idx="271">
                  <c:v>789.12500000000284</c:v>
                </c:pt>
                <c:pt idx="272">
                  <c:v>787.07500000000289</c:v>
                </c:pt>
                <c:pt idx="273">
                  <c:v>785.02500000000293</c:v>
                </c:pt>
                <c:pt idx="274">
                  <c:v>782.97500000000298</c:v>
                </c:pt>
                <c:pt idx="275">
                  <c:v>780.92500000000302</c:v>
                </c:pt>
                <c:pt idx="276">
                  <c:v>778.87500000000307</c:v>
                </c:pt>
                <c:pt idx="277">
                  <c:v>776.82500000000312</c:v>
                </c:pt>
                <c:pt idx="278">
                  <c:v>774.77500000000316</c:v>
                </c:pt>
                <c:pt idx="279">
                  <c:v>772.72500000000321</c:v>
                </c:pt>
                <c:pt idx="280">
                  <c:v>770.67500000000325</c:v>
                </c:pt>
                <c:pt idx="281">
                  <c:v>768.6250000000033</c:v>
                </c:pt>
                <c:pt idx="282">
                  <c:v>766.57500000000334</c:v>
                </c:pt>
                <c:pt idx="283">
                  <c:v>764.52500000000339</c:v>
                </c:pt>
                <c:pt idx="284">
                  <c:v>762.8285714285737</c:v>
                </c:pt>
                <c:pt idx="285">
                  <c:v>761.48571428571654</c:v>
                </c:pt>
                <c:pt idx="286">
                  <c:v>760.14285714285938</c:v>
                </c:pt>
                <c:pt idx="287">
                  <c:v>758.80000000000234</c:v>
                </c:pt>
                <c:pt idx="288">
                  <c:v>757.45714285714519</c:v>
                </c:pt>
                <c:pt idx="289">
                  <c:v>756.11428571428803</c:v>
                </c:pt>
                <c:pt idx="290">
                  <c:v>754.77142857143099</c:v>
                </c:pt>
                <c:pt idx="291">
                  <c:v>753.42857142857383</c:v>
                </c:pt>
                <c:pt idx="292">
                  <c:v>752.08571428571679</c:v>
                </c:pt>
                <c:pt idx="293">
                  <c:v>750.74285714285963</c:v>
                </c:pt>
                <c:pt idx="294">
                  <c:v>749.40000000000248</c:v>
                </c:pt>
                <c:pt idx="295">
                  <c:v>748.05714285714544</c:v>
                </c:pt>
                <c:pt idx="296">
                  <c:v>746.71428571428828</c:v>
                </c:pt>
                <c:pt idx="297">
                  <c:v>745.37142857143112</c:v>
                </c:pt>
                <c:pt idx="298">
                  <c:v>744.02857142857408</c:v>
                </c:pt>
                <c:pt idx="299">
                  <c:v>742.68571428571693</c:v>
                </c:pt>
                <c:pt idx="300">
                  <c:v>741.34285714285988</c:v>
                </c:pt>
                <c:pt idx="301">
                  <c:v>740.00000000000273</c:v>
                </c:pt>
                <c:pt idx="302">
                  <c:v>738.65714285714557</c:v>
                </c:pt>
                <c:pt idx="303">
                  <c:v>737.31428571428853</c:v>
                </c:pt>
                <c:pt idx="304">
                  <c:v>735.97142857143137</c:v>
                </c:pt>
                <c:pt idx="305">
                  <c:v>734.62857142857422</c:v>
                </c:pt>
                <c:pt idx="306">
                  <c:v>733.28571428571718</c:v>
                </c:pt>
                <c:pt idx="307">
                  <c:v>731.94285714286002</c:v>
                </c:pt>
                <c:pt idx="308">
                  <c:v>730.60000000000286</c:v>
                </c:pt>
                <c:pt idx="309">
                  <c:v>729.25714285714582</c:v>
                </c:pt>
                <c:pt idx="310">
                  <c:v>727.91428571428867</c:v>
                </c:pt>
                <c:pt idx="311">
                  <c:v>726.57142857143162</c:v>
                </c:pt>
                <c:pt idx="312">
                  <c:v>725.22857142857447</c:v>
                </c:pt>
                <c:pt idx="313">
                  <c:v>723.88571428571731</c:v>
                </c:pt>
                <c:pt idx="314">
                  <c:v>722.54285714286027</c:v>
                </c:pt>
                <c:pt idx="315">
                  <c:v>721.20000000000312</c:v>
                </c:pt>
                <c:pt idx="316">
                  <c:v>719.85714285714596</c:v>
                </c:pt>
                <c:pt idx="317">
                  <c:v>718.51428571428892</c:v>
                </c:pt>
                <c:pt idx="318">
                  <c:v>717.17142857143176</c:v>
                </c:pt>
                <c:pt idx="319">
                  <c:v>715.82857142857461</c:v>
                </c:pt>
                <c:pt idx="320">
                  <c:v>714.48571428571756</c:v>
                </c:pt>
                <c:pt idx="321">
                  <c:v>713.14285714286041</c:v>
                </c:pt>
                <c:pt idx="322">
                  <c:v>711.80000000000337</c:v>
                </c:pt>
                <c:pt idx="323">
                  <c:v>710.45714285714621</c:v>
                </c:pt>
                <c:pt idx="324">
                  <c:v>709.11428571428905</c:v>
                </c:pt>
                <c:pt idx="325">
                  <c:v>707.77142857143201</c:v>
                </c:pt>
                <c:pt idx="326">
                  <c:v>706.45000000000334</c:v>
                </c:pt>
                <c:pt idx="327">
                  <c:v>705.15000000000339</c:v>
                </c:pt>
                <c:pt idx="328">
                  <c:v>703.85000000000343</c:v>
                </c:pt>
                <c:pt idx="329">
                  <c:v>702.55000000000337</c:v>
                </c:pt>
                <c:pt idx="330">
                  <c:v>701.25000000000341</c:v>
                </c:pt>
                <c:pt idx="331">
                  <c:v>699.95000000000346</c:v>
                </c:pt>
                <c:pt idx="332">
                  <c:v>698.6500000000035</c:v>
                </c:pt>
                <c:pt idx="333">
                  <c:v>697.35000000000355</c:v>
                </c:pt>
                <c:pt idx="334">
                  <c:v>696.05000000000359</c:v>
                </c:pt>
                <c:pt idx="335">
                  <c:v>694.75000000000352</c:v>
                </c:pt>
                <c:pt idx="336">
                  <c:v>693.45000000000357</c:v>
                </c:pt>
                <c:pt idx="337">
                  <c:v>692.15000000000362</c:v>
                </c:pt>
                <c:pt idx="338">
                  <c:v>690.85000000000366</c:v>
                </c:pt>
                <c:pt idx="339">
                  <c:v>689.55000000000371</c:v>
                </c:pt>
                <c:pt idx="340">
                  <c:v>688.25000000000375</c:v>
                </c:pt>
                <c:pt idx="341">
                  <c:v>686.95000000000368</c:v>
                </c:pt>
                <c:pt idx="342">
                  <c:v>685.65000000000373</c:v>
                </c:pt>
                <c:pt idx="343">
                  <c:v>684.35000000000377</c:v>
                </c:pt>
                <c:pt idx="344">
                  <c:v>683.05000000000382</c:v>
                </c:pt>
                <c:pt idx="345">
                  <c:v>681.75000000000387</c:v>
                </c:pt>
                <c:pt idx="346">
                  <c:v>680.45000000000391</c:v>
                </c:pt>
                <c:pt idx="347">
                  <c:v>679.15000000000396</c:v>
                </c:pt>
                <c:pt idx="348">
                  <c:v>677.85000000000389</c:v>
                </c:pt>
                <c:pt idx="349">
                  <c:v>676.55000000000393</c:v>
                </c:pt>
                <c:pt idx="350">
                  <c:v>675.25000000000398</c:v>
                </c:pt>
                <c:pt idx="351">
                  <c:v>673.95000000000402</c:v>
                </c:pt>
                <c:pt idx="352">
                  <c:v>672.65000000000407</c:v>
                </c:pt>
                <c:pt idx="353">
                  <c:v>671.35000000000412</c:v>
                </c:pt>
                <c:pt idx="354">
                  <c:v>670.05000000000405</c:v>
                </c:pt>
                <c:pt idx="355">
                  <c:v>668.75000000000409</c:v>
                </c:pt>
                <c:pt idx="356">
                  <c:v>667.45000000000414</c:v>
                </c:pt>
                <c:pt idx="357">
                  <c:v>666.15000000000418</c:v>
                </c:pt>
                <c:pt idx="358">
                  <c:v>664.85000000000423</c:v>
                </c:pt>
                <c:pt idx="359">
                  <c:v>663.55000000000427</c:v>
                </c:pt>
                <c:pt idx="360">
                  <c:v>662.25000000000421</c:v>
                </c:pt>
                <c:pt idx="361">
                  <c:v>660.95000000000425</c:v>
                </c:pt>
                <c:pt idx="362">
                  <c:v>659.6500000000043</c:v>
                </c:pt>
                <c:pt idx="363">
                  <c:v>658.35000000000434</c:v>
                </c:pt>
                <c:pt idx="364">
                  <c:v>657.05000000000439</c:v>
                </c:pt>
                <c:pt idx="365">
                  <c:v>655.75000000000443</c:v>
                </c:pt>
                <c:pt idx="366">
                  <c:v>654.98666666666747</c:v>
                </c:pt>
                <c:pt idx="367">
                  <c:v>654.76000000000079</c:v>
                </c:pt>
                <c:pt idx="368">
                  <c:v>654.5333333333341</c:v>
                </c:pt>
                <c:pt idx="369">
                  <c:v>654.30666666666752</c:v>
                </c:pt>
                <c:pt idx="370">
                  <c:v>654.08000000000084</c:v>
                </c:pt>
                <c:pt idx="371">
                  <c:v>653.85333333333415</c:v>
                </c:pt>
                <c:pt idx="372">
                  <c:v>653.62666666666746</c:v>
                </c:pt>
                <c:pt idx="373">
                  <c:v>653.40000000000089</c:v>
                </c:pt>
                <c:pt idx="374">
                  <c:v>653.1733333333342</c:v>
                </c:pt>
                <c:pt idx="375">
                  <c:v>652.94666666666751</c:v>
                </c:pt>
                <c:pt idx="376">
                  <c:v>652.72000000000082</c:v>
                </c:pt>
                <c:pt idx="377">
                  <c:v>652.49333333333425</c:v>
                </c:pt>
                <c:pt idx="378">
                  <c:v>652.26666666666756</c:v>
                </c:pt>
                <c:pt idx="379">
                  <c:v>652.04000000000087</c:v>
                </c:pt>
                <c:pt idx="380">
                  <c:v>651.81333333333419</c:v>
                </c:pt>
                <c:pt idx="381">
                  <c:v>651.01000000000511</c:v>
                </c:pt>
                <c:pt idx="382">
                  <c:v>649.63000000000523</c:v>
                </c:pt>
                <c:pt idx="383">
                  <c:v>648.25000000000523</c:v>
                </c:pt>
                <c:pt idx="384">
                  <c:v>646.87000000000523</c:v>
                </c:pt>
                <c:pt idx="385">
                  <c:v>645.49000000000524</c:v>
                </c:pt>
                <c:pt idx="386">
                  <c:v>644.11000000000524</c:v>
                </c:pt>
                <c:pt idx="387">
                  <c:v>642.73000000000536</c:v>
                </c:pt>
                <c:pt idx="388">
                  <c:v>641.35000000000537</c:v>
                </c:pt>
                <c:pt idx="389">
                  <c:v>639.97000000000537</c:v>
                </c:pt>
                <c:pt idx="390">
                  <c:v>638.59000000000538</c:v>
                </c:pt>
                <c:pt idx="391">
                  <c:v>637.21000000000549</c:v>
                </c:pt>
                <c:pt idx="392">
                  <c:v>635.8300000000055</c:v>
                </c:pt>
                <c:pt idx="393">
                  <c:v>634.4500000000055</c:v>
                </c:pt>
                <c:pt idx="394">
                  <c:v>633.07000000000551</c:v>
                </c:pt>
                <c:pt idx="395">
                  <c:v>631.69000000000551</c:v>
                </c:pt>
                <c:pt idx="396">
                  <c:v>630.31000000000563</c:v>
                </c:pt>
                <c:pt idx="397">
                  <c:v>628.93000000000563</c:v>
                </c:pt>
                <c:pt idx="398">
                  <c:v>627.55000000000564</c:v>
                </c:pt>
                <c:pt idx="399">
                  <c:v>626.17000000000564</c:v>
                </c:pt>
                <c:pt idx="400">
                  <c:v>624.79000000000565</c:v>
                </c:pt>
                <c:pt idx="401">
                  <c:v>622.96000000000936</c:v>
                </c:pt>
                <c:pt idx="402">
                  <c:v>620.68000000000939</c:v>
                </c:pt>
                <c:pt idx="403">
                  <c:v>618.40000000000941</c:v>
                </c:pt>
                <c:pt idx="404">
                  <c:v>616.12000000000944</c:v>
                </c:pt>
                <c:pt idx="405">
                  <c:v>613.84000000000947</c:v>
                </c:pt>
                <c:pt idx="406">
                  <c:v>611.5600000000095</c:v>
                </c:pt>
                <c:pt idx="407">
                  <c:v>609.28000000000952</c:v>
                </c:pt>
                <c:pt idx="408">
                  <c:v>607.00000000000955</c:v>
                </c:pt>
                <c:pt idx="409">
                  <c:v>604.72000000000958</c:v>
                </c:pt>
                <c:pt idx="410">
                  <c:v>602.4400000000096</c:v>
                </c:pt>
                <c:pt idx="411">
                  <c:v>597.6833333333642</c:v>
                </c:pt>
                <c:pt idx="412">
                  <c:v>590.45000000003108</c:v>
                </c:pt>
                <c:pt idx="413">
                  <c:v>583.21666666669807</c:v>
                </c:pt>
                <c:pt idx="414">
                  <c:v>575.98333333336495</c:v>
                </c:pt>
                <c:pt idx="415">
                  <c:v>568.75000000003183</c:v>
                </c:pt>
                <c:pt idx="416">
                  <c:v>561.51666666669871</c:v>
                </c:pt>
                <c:pt idx="417">
                  <c:v>554.28333333336559</c:v>
                </c:pt>
                <c:pt idx="418">
                  <c:v>547.05000000003247</c:v>
                </c:pt>
                <c:pt idx="419">
                  <c:v>539.81666666669935</c:v>
                </c:pt>
                <c:pt idx="420">
                  <c:v>531.17916666671226</c:v>
                </c:pt>
                <c:pt idx="421">
                  <c:v>521.13750000004575</c:v>
                </c:pt>
                <c:pt idx="422">
                  <c:v>511.09583333337923</c:v>
                </c:pt>
                <c:pt idx="423">
                  <c:v>501.05416666671272</c:v>
                </c:pt>
                <c:pt idx="424">
                  <c:v>491.0125000000462</c:v>
                </c:pt>
                <c:pt idx="425">
                  <c:v>480.97083333337969</c:v>
                </c:pt>
                <c:pt idx="426">
                  <c:v>470.92916666671312</c:v>
                </c:pt>
                <c:pt idx="427">
                  <c:v>460.8875000000466</c:v>
                </c:pt>
                <c:pt idx="428">
                  <c:v>450.84583333338009</c:v>
                </c:pt>
                <c:pt idx="429">
                  <c:v>440.80416666671357</c:v>
                </c:pt>
                <c:pt idx="430">
                  <c:v>430.76250000004705</c:v>
                </c:pt>
                <c:pt idx="431">
                  <c:v>420.72083333338054</c:v>
                </c:pt>
                <c:pt idx="432">
                  <c:v>408.42500000006868</c:v>
                </c:pt>
                <c:pt idx="433">
                  <c:v>393.87500000006906</c:v>
                </c:pt>
                <c:pt idx="434">
                  <c:v>379.32500000006945</c:v>
                </c:pt>
                <c:pt idx="435">
                  <c:v>364.77500000006984</c:v>
                </c:pt>
                <c:pt idx="436">
                  <c:v>350.22500000007022</c:v>
                </c:pt>
                <c:pt idx="437">
                  <c:v>335.67500000007061</c:v>
                </c:pt>
                <c:pt idx="438">
                  <c:v>321.125000000071</c:v>
                </c:pt>
                <c:pt idx="439">
                  <c:v>306.57500000007138</c:v>
                </c:pt>
                <c:pt idx="440">
                  <c:v>292.02500000007177</c:v>
                </c:pt>
                <c:pt idx="441">
                  <c:v>277.47500000007216</c:v>
                </c:pt>
                <c:pt idx="442">
                  <c:v>264.29090909096794</c:v>
                </c:pt>
                <c:pt idx="443">
                  <c:v>252.47272727278633</c:v>
                </c:pt>
                <c:pt idx="444">
                  <c:v>240.65454545460472</c:v>
                </c:pt>
                <c:pt idx="445">
                  <c:v>228.83636363642307</c:v>
                </c:pt>
                <c:pt idx="446">
                  <c:v>217.01818181824146</c:v>
                </c:pt>
                <c:pt idx="447">
                  <c:v>205.20000000005982</c:v>
                </c:pt>
                <c:pt idx="448">
                  <c:v>193.3818181818782</c:v>
                </c:pt>
                <c:pt idx="449">
                  <c:v>181.56363636369656</c:v>
                </c:pt>
                <c:pt idx="450">
                  <c:v>169.74545454551495</c:v>
                </c:pt>
                <c:pt idx="451">
                  <c:v>157.92727272733333</c:v>
                </c:pt>
                <c:pt idx="452">
                  <c:v>146.10909090915169</c:v>
                </c:pt>
                <c:pt idx="453">
                  <c:v>136.24375000004085</c:v>
                </c:pt>
                <c:pt idx="454">
                  <c:v>128.33125000004102</c:v>
                </c:pt>
                <c:pt idx="455">
                  <c:v>120.4187500000412</c:v>
                </c:pt>
                <c:pt idx="456">
                  <c:v>112.50625000004138</c:v>
                </c:pt>
                <c:pt idx="457">
                  <c:v>104.59375000004155</c:v>
                </c:pt>
                <c:pt idx="458">
                  <c:v>96.681250000041729</c:v>
                </c:pt>
                <c:pt idx="459">
                  <c:v>88.768750000041905</c:v>
                </c:pt>
                <c:pt idx="460">
                  <c:v>80.856250000042081</c:v>
                </c:pt>
                <c:pt idx="461">
                  <c:v>74.700000000023536</c:v>
                </c:pt>
                <c:pt idx="462">
                  <c:v>70.300000000023687</c:v>
                </c:pt>
                <c:pt idx="463">
                  <c:v>65.900000000023837</c:v>
                </c:pt>
                <c:pt idx="464">
                  <c:v>61.500000000023995</c:v>
                </c:pt>
                <c:pt idx="465">
                  <c:v>57.100000000024153</c:v>
                </c:pt>
                <c:pt idx="466">
                  <c:v>51.225000000040474</c:v>
                </c:pt>
                <c:pt idx="467">
                  <c:v>43.875000000040473</c:v>
                </c:pt>
                <c:pt idx="468">
                  <c:v>20.100000000221371</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numCache>
            </c:numRef>
          </c:yVal>
          <c:smooth val="0"/>
          <c:extLst>
            <c:ext xmlns:c16="http://schemas.microsoft.com/office/drawing/2014/chart" uri="{C3380CC4-5D6E-409C-BE32-E72D297353CC}">
              <c16:uniqueId val="{00000000-5334-48F2-9051-C40E5F5CB63F}"/>
            </c:ext>
          </c:extLst>
        </c:ser>
        <c:ser>
          <c:idx val="2"/>
          <c:order val="1"/>
          <c:tx>
            <c:strRef>
              <c:f>Courbes!$B$135</c:f>
              <c:strCache>
                <c:ptCount val="1"/>
                <c:pt idx="0">
                  <c:v>Poids</c:v>
                </c:pt>
              </c:strCache>
            </c:strRef>
          </c:tx>
          <c:spPr>
            <a:ln w="25400">
              <a:solidFill>
                <a:srgbClr val="0000FF"/>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2.0100000000000011</c:v>
                </c:pt>
                <c:pt idx="202">
                  <c:v>2.0200000000000009</c:v>
                </c:pt>
                <c:pt idx="203">
                  <c:v>2.0300000000000007</c:v>
                </c:pt>
                <c:pt idx="204">
                  <c:v>2.0400000000000005</c:v>
                </c:pt>
                <c:pt idx="205">
                  <c:v>2.0500000000000003</c:v>
                </c:pt>
                <c:pt idx="206">
                  <c:v>2.06</c:v>
                </c:pt>
                <c:pt idx="207">
                  <c:v>2.0699999999999998</c:v>
                </c:pt>
                <c:pt idx="208">
                  <c:v>2.0799999999999996</c:v>
                </c:pt>
                <c:pt idx="209">
                  <c:v>2.0899999999999994</c:v>
                </c:pt>
                <c:pt idx="210">
                  <c:v>2.0999999999999992</c:v>
                </c:pt>
                <c:pt idx="211">
                  <c:v>2.109999999999999</c:v>
                </c:pt>
                <c:pt idx="212">
                  <c:v>2.1199999999999988</c:v>
                </c:pt>
                <c:pt idx="213">
                  <c:v>2.1299999999999986</c:v>
                </c:pt>
                <c:pt idx="214">
                  <c:v>2.1399999999999983</c:v>
                </c:pt>
                <c:pt idx="215">
                  <c:v>2.1499999999999981</c:v>
                </c:pt>
                <c:pt idx="216">
                  <c:v>2.1599999999999979</c:v>
                </c:pt>
                <c:pt idx="217">
                  <c:v>2.1699999999999977</c:v>
                </c:pt>
                <c:pt idx="218">
                  <c:v>2.1799999999999975</c:v>
                </c:pt>
                <c:pt idx="219">
                  <c:v>2.1899999999999973</c:v>
                </c:pt>
                <c:pt idx="220">
                  <c:v>2.1999999999999971</c:v>
                </c:pt>
                <c:pt idx="221">
                  <c:v>2.2099999999999969</c:v>
                </c:pt>
                <c:pt idx="222">
                  <c:v>2.2199999999999966</c:v>
                </c:pt>
                <c:pt idx="223">
                  <c:v>2.2299999999999964</c:v>
                </c:pt>
                <c:pt idx="224">
                  <c:v>2.2399999999999962</c:v>
                </c:pt>
                <c:pt idx="225">
                  <c:v>2.249999999999996</c:v>
                </c:pt>
                <c:pt idx="226">
                  <c:v>2.2599999999999958</c:v>
                </c:pt>
                <c:pt idx="227">
                  <c:v>2.2699999999999956</c:v>
                </c:pt>
                <c:pt idx="228">
                  <c:v>2.2799999999999954</c:v>
                </c:pt>
                <c:pt idx="229">
                  <c:v>2.2899999999999952</c:v>
                </c:pt>
                <c:pt idx="230">
                  <c:v>2.2999999999999949</c:v>
                </c:pt>
                <c:pt idx="231">
                  <c:v>2.3099999999999947</c:v>
                </c:pt>
                <c:pt idx="232">
                  <c:v>2.3199999999999945</c:v>
                </c:pt>
                <c:pt idx="233">
                  <c:v>2.3299999999999943</c:v>
                </c:pt>
                <c:pt idx="234">
                  <c:v>2.3399999999999941</c:v>
                </c:pt>
                <c:pt idx="235">
                  <c:v>2.3499999999999939</c:v>
                </c:pt>
                <c:pt idx="236">
                  <c:v>2.3599999999999937</c:v>
                </c:pt>
                <c:pt idx="237">
                  <c:v>2.3699999999999934</c:v>
                </c:pt>
                <c:pt idx="238">
                  <c:v>2.3799999999999932</c:v>
                </c:pt>
                <c:pt idx="239">
                  <c:v>2.389999999999993</c:v>
                </c:pt>
                <c:pt idx="240">
                  <c:v>2.3999999999999928</c:v>
                </c:pt>
                <c:pt idx="241">
                  <c:v>2.4099999999999926</c:v>
                </c:pt>
                <c:pt idx="242">
                  <c:v>2.4199999999999924</c:v>
                </c:pt>
                <c:pt idx="243">
                  <c:v>2.4299999999999922</c:v>
                </c:pt>
                <c:pt idx="244">
                  <c:v>2.439999999999992</c:v>
                </c:pt>
                <c:pt idx="245">
                  <c:v>2.4499999999999917</c:v>
                </c:pt>
                <c:pt idx="246">
                  <c:v>2.4599999999999915</c:v>
                </c:pt>
                <c:pt idx="247">
                  <c:v>2.4699999999999913</c:v>
                </c:pt>
                <c:pt idx="248">
                  <c:v>2.4799999999999911</c:v>
                </c:pt>
                <c:pt idx="249">
                  <c:v>2.4899999999999909</c:v>
                </c:pt>
                <c:pt idx="250">
                  <c:v>2.4999999999999907</c:v>
                </c:pt>
                <c:pt idx="251">
                  <c:v>2.5099999999999905</c:v>
                </c:pt>
                <c:pt idx="252">
                  <c:v>2.5199999999999902</c:v>
                </c:pt>
                <c:pt idx="253">
                  <c:v>2.52999999999999</c:v>
                </c:pt>
                <c:pt idx="254">
                  <c:v>2.5399999999999898</c:v>
                </c:pt>
                <c:pt idx="255">
                  <c:v>2.5499999999999896</c:v>
                </c:pt>
                <c:pt idx="256">
                  <c:v>2.5599999999999894</c:v>
                </c:pt>
                <c:pt idx="257">
                  <c:v>2.5699999999999892</c:v>
                </c:pt>
                <c:pt idx="258">
                  <c:v>2.579999999999989</c:v>
                </c:pt>
                <c:pt idx="259">
                  <c:v>2.5899999999999888</c:v>
                </c:pt>
                <c:pt idx="260">
                  <c:v>2.5999999999999885</c:v>
                </c:pt>
                <c:pt idx="261">
                  <c:v>2.6099999999999883</c:v>
                </c:pt>
                <c:pt idx="262">
                  <c:v>2.6199999999999881</c:v>
                </c:pt>
                <c:pt idx="263">
                  <c:v>2.6299999999999879</c:v>
                </c:pt>
                <c:pt idx="264">
                  <c:v>2.6399999999999877</c:v>
                </c:pt>
                <c:pt idx="265">
                  <c:v>2.6499999999999875</c:v>
                </c:pt>
                <c:pt idx="266">
                  <c:v>2.6599999999999873</c:v>
                </c:pt>
                <c:pt idx="267">
                  <c:v>2.6699999999999871</c:v>
                </c:pt>
                <c:pt idx="268">
                  <c:v>2.6799999999999868</c:v>
                </c:pt>
                <c:pt idx="269">
                  <c:v>2.6899999999999866</c:v>
                </c:pt>
                <c:pt idx="270">
                  <c:v>2.6999999999999864</c:v>
                </c:pt>
                <c:pt idx="271">
                  <c:v>2.7099999999999862</c:v>
                </c:pt>
                <c:pt idx="272">
                  <c:v>2.719999999999986</c:v>
                </c:pt>
                <c:pt idx="273">
                  <c:v>2.7299999999999858</c:v>
                </c:pt>
                <c:pt idx="274">
                  <c:v>2.7399999999999856</c:v>
                </c:pt>
                <c:pt idx="275">
                  <c:v>2.7499999999999853</c:v>
                </c:pt>
                <c:pt idx="276">
                  <c:v>2.7599999999999851</c:v>
                </c:pt>
                <c:pt idx="277">
                  <c:v>2.7699999999999849</c:v>
                </c:pt>
                <c:pt idx="278">
                  <c:v>2.7799999999999847</c:v>
                </c:pt>
                <c:pt idx="279">
                  <c:v>2.7899999999999845</c:v>
                </c:pt>
                <c:pt idx="280">
                  <c:v>2.7999999999999843</c:v>
                </c:pt>
                <c:pt idx="281">
                  <c:v>2.8099999999999841</c:v>
                </c:pt>
                <c:pt idx="282">
                  <c:v>2.8199999999999839</c:v>
                </c:pt>
                <c:pt idx="283">
                  <c:v>2.8299999999999836</c:v>
                </c:pt>
                <c:pt idx="284">
                  <c:v>2.8399999999999834</c:v>
                </c:pt>
                <c:pt idx="285">
                  <c:v>2.8499999999999832</c:v>
                </c:pt>
                <c:pt idx="286">
                  <c:v>2.859999999999983</c:v>
                </c:pt>
                <c:pt idx="287">
                  <c:v>2.8699999999999828</c:v>
                </c:pt>
                <c:pt idx="288">
                  <c:v>2.8799999999999826</c:v>
                </c:pt>
                <c:pt idx="289">
                  <c:v>2.8899999999999824</c:v>
                </c:pt>
                <c:pt idx="290">
                  <c:v>2.8999999999999821</c:v>
                </c:pt>
                <c:pt idx="291">
                  <c:v>2.9099999999999819</c:v>
                </c:pt>
                <c:pt idx="292">
                  <c:v>2.9199999999999817</c:v>
                </c:pt>
                <c:pt idx="293">
                  <c:v>2.9299999999999815</c:v>
                </c:pt>
                <c:pt idx="294">
                  <c:v>2.9399999999999813</c:v>
                </c:pt>
                <c:pt idx="295">
                  <c:v>2.9499999999999811</c:v>
                </c:pt>
                <c:pt idx="296">
                  <c:v>2.9599999999999809</c:v>
                </c:pt>
                <c:pt idx="297">
                  <c:v>2.9699999999999807</c:v>
                </c:pt>
                <c:pt idx="298">
                  <c:v>2.9799999999999804</c:v>
                </c:pt>
                <c:pt idx="299">
                  <c:v>2.9899999999999802</c:v>
                </c:pt>
                <c:pt idx="300">
                  <c:v>2.99999999999998</c:v>
                </c:pt>
                <c:pt idx="301">
                  <c:v>3.0099999999999798</c:v>
                </c:pt>
                <c:pt idx="302">
                  <c:v>3.0199999999999796</c:v>
                </c:pt>
                <c:pt idx="303">
                  <c:v>3.0299999999999794</c:v>
                </c:pt>
                <c:pt idx="304">
                  <c:v>3.0399999999999792</c:v>
                </c:pt>
                <c:pt idx="305">
                  <c:v>3.049999999999979</c:v>
                </c:pt>
                <c:pt idx="306">
                  <c:v>3.0599999999999787</c:v>
                </c:pt>
                <c:pt idx="307">
                  <c:v>3.0699999999999785</c:v>
                </c:pt>
                <c:pt idx="308">
                  <c:v>3.0799999999999783</c:v>
                </c:pt>
                <c:pt idx="309">
                  <c:v>3.0899999999999781</c:v>
                </c:pt>
                <c:pt idx="310">
                  <c:v>3.0999999999999779</c:v>
                </c:pt>
                <c:pt idx="311">
                  <c:v>3.1099999999999777</c:v>
                </c:pt>
                <c:pt idx="312">
                  <c:v>3.1199999999999775</c:v>
                </c:pt>
                <c:pt idx="313">
                  <c:v>3.1299999999999772</c:v>
                </c:pt>
                <c:pt idx="314">
                  <c:v>3.139999999999977</c:v>
                </c:pt>
                <c:pt idx="315">
                  <c:v>3.1499999999999768</c:v>
                </c:pt>
                <c:pt idx="316">
                  <c:v>3.1599999999999766</c:v>
                </c:pt>
                <c:pt idx="317">
                  <c:v>3.1699999999999764</c:v>
                </c:pt>
                <c:pt idx="318">
                  <c:v>3.1799999999999762</c:v>
                </c:pt>
                <c:pt idx="319">
                  <c:v>3.189999999999976</c:v>
                </c:pt>
                <c:pt idx="320">
                  <c:v>3.1999999999999758</c:v>
                </c:pt>
                <c:pt idx="321">
                  <c:v>3.2099999999999755</c:v>
                </c:pt>
                <c:pt idx="322">
                  <c:v>3.2199999999999753</c:v>
                </c:pt>
                <c:pt idx="323">
                  <c:v>3.2299999999999751</c:v>
                </c:pt>
                <c:pt idx="324">
                  <c:v>3.2399999999999749</c:v>
                </c:pt>
                <c:pt idx="325">
                  <c:v>3.2499999999999747</c:v>
                </c:pt>
                <c:pt idx="326">
                  <c:v>3.2599999999999745</c:v>
                </c:pt>
                <c:pt idx="327">
                  <c:v>3.2699999999999743</c:v>
                </c:pt>
                <c:pt idx="328">
                  <c:v>3.279999999999974</c:v>
                </c:pt>
                <c:pt idx="329">
                  <c:v>3.2899999999999738</c:v>
                </c:pt>
                <c:pt idx="330">
                  <c:v>3.2999999999999736</c:v>
                </c:pt>
                <c:pt idx="331">
                  <c:v>3.3099999999999734</c:v>
                </c:pt>
                <c:pt idx="332">
                  <c:v>3.3199999999999732</c:v>
                </c:pt>
                <c:pt idx="333">
                  <c:v>3.329999999999973</c:v>
                </c:pt>
                <c:pt idx="334">
                  <c:v>3.3399999999999728</c:v>
                </c:pt>
                <c:pt idx="335">
                  <c:v>3.3499999999999726</c:v>
                </c:pt>
                <c:pt idx="336">
                  <c:v>3.3599999999999723</c:v>
                </c:pt>
                <c:pt idx="337">
                  <c:v>3.3699999999999721</c:v>
                </c:pt>
                <c:pt idx="338">
                  <c:v>3.3799999999999719</c:v>
                </c:pt>
                <c:pt idx="339">
                  <c:v>3.3899999999999717</c:v>
                </c:pt>
                <c:pt idx="340">
                  <c:v>3.3999999999999715</c:v>
                </c:pt>
                <c:pt idx="341">
                  <c:v>3.4099999999999713</c:v>
                </c:pt>
                <c:pt idx="342">
                  <c:v>3.4199999999999711</c:v>
                </c:pt>
                <c:pt idx="343">
                  <c:v>3.4299999999999708</c:v>
                </c:pt>
                <c:pt idx="344">
                  <c:v>3.4399999999999706</c:v>
                </c:pt>
                <c:pt idx="345">
                  <c:v>3.4499999999999704</c:v>
                </c:pt>
                <c:pt idx="346">
                  <c:v>3.4599999999999702</c:v>
                </c:pt>
                <c:pt idx="347">
                  <c:v>3.46999999999997</c:v>
                </c:pt>
                <c:pt idx="348">
                  <c:v>3.4799999999999698</c:v>
                </c:pt>
                <c:pt idx="349">
                  <c:v>3.4899999999999696</c:v>
                </c:pt>
                <c:pt idx="350">
                  <c:v>3.4999999999999694</c:v>
                </c:pt>
                <c:pt idx="351">
                  <c:v>3.5099999999999691</c:v>
                </c:pt>
                <c:pt idx="352">
                  <c:v>3.5199999999999689</c:v>
                </c:pt>
                <c:pt idx="353">
                  <c:v>3.5299999999999687</c:v>
                </c:pt>
                <c:pt idx="354">
                  <c:v>3.5399999999999685</c:v>
                </c:pt>
                <c:pt idx="355">
                  <c:v>3.5499999999999683</c:v>
                </c:pt>
                <c:pt idx="356">
                  <c:v>3.5599999999999681</c:v>
                </c:pt>
                <c:pt idx="357">
                  <c:v>3.5699999999999679</c:v>
                </c:pt>
                <c:pt idx="358">
                  <c:v>3.5799999999999677</c:v>
                </c:pt>
                <c:pt idx="359">
                  <c:v>3.5899999999999674</c:v>
                </c:pt>
                <c:pt idx="360">
                  <c:v>3.5999999999999672</c:v>
                </c:pt>
                <c:pt idx="361">
                  <c:v>3.609999999999967</c:v>
                </c:pt>
                <c:pt idx="362">
                  <c:v>3.6199999999999668</c:v>
                </c:pt>
                <c:pt idx="363">
                  <c:v>3.6299999999999666</c:v>
                </c:pt>
                <c:pt idx="364">
                  <c:v>3.6399999999999664</c:v>
                </c:pt>
                <c:pt idx="365">
                  <c:v>3.6499999999999662</c:v>
                </c:pt>
                <c:pt idx="366">
                  <c:v>3.6599999999999659</c:v>
                </c:pt>
                <c:pt idx="367">
                  <c:v>3.6699999999999657</c:v>
                </c:pt>
                <c:pt idx="368">
                  <c:v>3.6799999999999655</c:v>
                </c:pt>
                <c:pt idx="369">
                  <c:v>3.6899999999999653</c:v>
                </c:pt>
                <c:pt idx="370">
                  <c:v>3.6999999999999651</c:v>
                </c:pt>
                <c:pt idx="371">
                  <c:v>3.7099999999999649</c:v>
                </c:pt>
                <c:pt idx="372">
                  <c:v>3.7199999999999647</c:v>
                </c:pt>
                <c:pt idx="373">
                  <c:v>3.7299999999999645</c:v>
                </c:pt>
                <c:pt idx="374">
                  <c:v>3.7399999999999642</c:v>
                </c:pt>
                <c:pt idx="375">
                  <c:v>3.749999999999964</c:v>
                </c:pt>
                <c:pt idx="376">
                  <c:v>3.7599999999999638</c:v>
                </c:pt>
                <c:pt idx="377">
                  <c:v>3.7699999999999636</c:v>
                </c:pt>
                <c:pt idx="378">
                  <c:v>3.7799999999999634</c:v>
                </c:pt>
                <c:pt idx="379">
                  <c:v>3.7899999999999632</c:v>
                </c:pt>
                <c:pt idx="380">
                  <c:v>3.799999999999963</c:v>
                </c:pt>
                <c:pt idx="381">
                  <c:v>3.8099999999999627</c:v>
                </c:pt>
                <c:pt idx="382">
                  <c:v>3.8199999999999625</c:v>
                </c:pt>
                <c:pt idx="383">
                  <c:v>3.8299999999999623</c:v>
                </c:pt>
                <c:pt idx="384">
                  <c:v>3.8399999999999621</c:v>
                </c:pt>
                <c:pt idx="385">
                  <c:v>3.8499999999999619</c:v>
                </c:pt>
                <c:pt idx="386">
                  <c:v>3.8599999999999617</c:v>
                </c:pt>
                <c:pt idx="387">
                  <c:v>3.8699999999999615</c:v>
                </c:pt>
                <c:pt idx="388">
                  <c:v>3.8799999999999613</c:v>
                </c:pt>
                <c:pt idx="389">
                  <c:v>3.889999999999961</c:v>
                </c:pt>
                <c:pt idx="390">
                  <c:v>3.8999999999999608</c:v>
                </c:pt>
                <c:pt idx="391">
                  <c:v>3.9099999999999606</c:v>
                </c:pt>
                <c:pt idx="392">
                  <c:v>3.9199999999999604</c:v>
                </c:pt>
                <c:pt idx="393">
                  <c:v>3.9299999999999602</c:v>
                </c:pt>
                <c:pt idx="394">
                  <c:v>3.93999999999996</c:v>
                </c:pt>
                <c:pt idx="395">
                  <c:v>3.9499999999999598</c:v>
                </c:pt>
                <c:pt idx="396">
                  <c:v>3.9599999999999596</c:v>
                </c:pt>
                <c:pt idx="397">
                  <c:v>3.9699999999999593</c:v>
                </c:pt>
                <c:pt idx="398">
                  <c:v>3.9799999999999591</c:v>
                </c:pt>
                <c:pt idx="399">
                  <c:v>3.9899999999999589</c:v>
                </c:pt>
                <c:pt idx="400">
                  <c:v>3.9999999999999587</c:v>
                </c:pt>
                <c:pt idx="401">
                  <c:v>4.0099999999999589</c:v>
                </c:pt>
                <c:pt idx="402">
                  <c:v>4.0199999999999587</c:v>
                </c:pt>
                <c:pt idx="403">
                  <c:v>4.0299999999999585</c:v>
                </c:pt>
                <c:pt idx="404">
                  <c:v>4.0399999999999583</c:v>
                </c:pt>
                <c:pt idx="405">
                  <c:v>4.0499999999999581</c:v>
                </c:pt>
                <c:pt idx="406">
                  <c:v>4.0599999999999579</c:v>
                </c:pt>
                <c:pt idx="407">
                  <c:v>4.0699999999999577</c:v>
                </c:pt>
                <c:pt idx="408">
                  <c:v>4.0799999999999574</c:v>
                </c:pt>
                <c:pt idx="409">
                  <c:v>4.0899999999999572</c:v>
                </c:pt>
                <c:pt idx="410">
                  <c:v>4.099999999999957</c:v>
                </c:pt>
                <c:pt idx="411">
                  <c:v>4.1099999999999568</c:v>
                </c:pt>
                <c:pt idx="412">
                  <c:v>4.1199999999999566</c:v>
                </c:pt>
                <c:pt idx="413">
                  <c:v>4.1299999999999564</c:v>
                </c:pt>
                <c:pt idx="414">
                  <c:v>4.1399999999999562</c:v>
                </c:pt>
                <c:pt idx="415">
                  <c:v>4.1499999999999559</c:v>
                </c:pt>
                <c:pt idx="416">
                  <c:v>4.1599999999999557</c:v>
                </c:pt>
                <c:pt idx="417">
                  <c:v>4.1699999999999555</c:v>
                </c:pt>
                <c:pt idx="418">
                  <c:v>4.1799999999999553</c:v>
                </c:pt>
                <c:pt idx="419">
                  <c:v>4.1899999999999551</c:v>
                </c:pt>
                <c:pt idx="420">
                  <c:v>4.1999999999999549</c:v>
                </c:pt>
                <c:pt idx="421">
                  <c:v>4.2099999999999547</c:v>
                </c:pt>
                <c:pt idx="422">
                  <c:v>4.2199999999999545</c:v>
                </c:pt>
                <c:pt idx="423">
                  <c:v>4.2299999999999542</c:v>
                </c:pt>
                <c:pt idx="424">
                  <c:v>4.239999999999954</c:v>
                </c:pt>
                <c:pt idx="425">
                  <c:v>4.2499999999999538</c:v>
                </c:pt>
                <c:pt idx="426">
                  <c:v>4.2599999999999536</c:v>
                </c:pt>
                <c:pt idx="427">
                  <c:v>4.2699999999999534</c:v>
                </c:pt>
                <c:pt idx="428">
                  <c:v>4.2799999999999532</c:v>
                </c:pt>
                <c:pt idx="429">
                  <c:v>4.289999999999953</c:v>
                </c:pt>
                <c:pt idx="430">
                  <c:v>4.2999999999999527</c:v>
                </c:pt>
                <c:pt idx="431">
                  <c:v>4.3099999999999525</c:v>
                </c:pt>
                <c:pt idx="432">
                  <c:v>4.3199999999999523</c:v>
                </c:pt>
                <c:pt idx="433">
                  <c:v>4.3299999999999521</c:v>
                </c:pt>
                <c:pt idx="434">
                  <c:v>4.3399999999999519</c:v>
                </c:pt>
                <c:pt idx="435">
                  <c:v>4.3499999999999517</c:v>
                </c:pt>
                <c:pt idx="436">
                  <c:v>4.3599999999999515</c:v>
                </c:pt>
                <c:pt idx="437">
                  <c:v>4.3699999999999513</c:v>
                </c:pt>
                <c:pt idx="438">
                  <c:v>4.379999999999951</c:v>
                </c:pt>
                <c:pt idx="439">
                  <c:v>4.3899999999999508</c:v>
                </c:pt>
                <c:pt idx="440">
                  <c:v>4.3999999999999506</c:v>
                </c:pt>
                <c:pt idx="441">
                  <c:v>4.4099999999999504</c:v>
                </c:pt>
                <c:pt idx="442">
                  <c:v>4.4199999999999502</c:v>
                </c:pt>
                <c:pt idx="443">
                  <c:v>4.42999999999995</c:v>
                </c:pt>
                <c:pt idx="444">
                  <c:v>4.4399999999999498</c:v>
                </c:pt>
                <c:pt idx="445">
                  <c:v>4.4499999999999496</c:v>
                </c:pt>
                <c:pt idx="446">
                  <c:v>4.4599999999999493</c:v>
                </c:pt>
                <c:pt idx="447">
                  <c:v>4.4699999999999491</c:v>
                </c:pt>
                <c:pt idx="448">
                  <c:v>4.4799999999999489</c:v>
                </c:pt>
                <c:pt idx="449">
                  <c:v>4.4899999999999487</c:v>
                </c:pt>
                <c:pt idx="450">
                  <c:v>4.4999999999999485</c:v>
                </c:pt>
                <c:pt idx="451">
                  <c:v>4.5099999999999483</c:v>
                </c:pt>
                <c:pt idx="452">
                  <c:v>4.5199999999999481</c:v>
                </c:pt>
                <c:pt idx="453">
                  <c:v>4.5299999999999478</c:v>
                </c:pt>
                <c:pt idx="454">
                  <c:v>4.5399999999999476</c:v>
                </c:pt>
                <c:pt idx="455">
                  <c:v>4.5499999999999474</c:v>
                </c:pt>
                <c:pt idx="456">
                  <c:v>4.5599999999999472</c:v>
                </c:pt>
                <c:pt idx="457">
                  <c:v>4.569999999999947</c:v>
                </c:pt>
                <c:pt idx="458">
                  <c:v>4.5799999999999468</c:v>
                </c:pt>
                <c:pt idx="459">
                  <c:v>4.5899999999999466</c:v>
                </c:pt>
                <c:pt idx="460">
                  <c:v>4.5999999999999464</c:v>
                </c:pt>
                <c:pt idx="461">
                  <c:v>4.6099999999999461</c:v>
                </c:pt>
                <c:pt idx="462">
                  <c:v>4.6199999999999459</c:v>
                </c:pt>
                <c:pt idx="463">
                  <c:v>4.6299999999999457</c:v>
                </c:pt>
                <c:pt idx="464">
                  <c:v>4.6399999999999455</c:v>
                </c:pt>
                <c:pt idx="465">
                  <c:v>4.6499999999999453</c:v>
                </c:pt>
                <c:pt idx="466">
                  <c:v>4.6599999999999451</c:v>
                </c:pt>
                <c:pt idx="467">
                  <c:v>4.6699999999999449</c:v>
                </c:pt>
                <c:pt idx="468">
                  <c:v>4.6799999999999446</c:v>
                </c:pt>
                <c:pt idx="469">
                  <c:v>4.6899999999999444</c:v>
                </c:pt>
                <c:pt idx="470">
                  <c:v>4.6999999999999442</c:v>
                </c:pt>
                <c:pt idx="471">
                  <c:v>4.709999999999944</c:v>
                </c:pt>
                <c:pt idx="472">
                  <c:v>4.7199999999999438</c:v>
                </c:pt>
                <c:pt idx="473">
                  <c:v>4.7299999999999436</c:v>
                </c:pt>
                <c:pt idx="474">
                  <c:v>4.7399999999999434</c:v>
                </c:pt>
                <c:pt idx="475">
                  <c:v>4.7499999999999432</c:v>
                </c:pt>
                <c:pt idx="476">
                  <c:v>4.7599999999999429</c:v>
                </c:pt>
                <c:pt idx="477">
                  <c:v>4.7699999999999427</c:v>
                </c:pt>
                <c:pt idx="478">
                  <c:v>4.7799999999999425</c:v>
                </c:pt>
                <c:pt idx="479">
                  <c:v>4.7899999999999423</c:v>
                </c:pt>
                <c:pt idx="480">
                  <c:v>4.7999999999999421</c:v>
                </c:pt>
                <c:pt idx="481">
                  <c:v>4.8099999999999419</c:v>
                </c:pt>
                <c:pt idx="482">
                  <c:v>4.8199999999999417</c:v>
                </c:pt>
                <c:pt idx="483">
                  <c:v>4.8299999999999415</c:v>
                </c:pt>
                <c:pt idx="484">
                  <c:v>4.8399999999999412</c:v>
                </c:pt>
                <c:pt idx="485">
                  <c:v>4.849999999999941</c:v>
                </c:pt>
                <c:pt idx="486">
                  <c:v>4.8599999999999408</c:v>
                </c:pt>
                <c:pt idx="487">
                  <c:v>4.8699999999999406</c:v>
                </c:pt>
                <c:pt idx="488">
                  <c:v>4.8799999999999404</c:v>
                </c:pt>
                <c:pt idx="489">
                  <c:v>4.8899999999999402</c:v>
                </c:pt>
                <c:pt idx="490">
                  <c:v>4.89999999999994</c:v>
                </c:pt>
                <c:pt idx="491">
                  <c:v>4.9099999999999397</c:v>
                </c:pt>
                <c:pt idx="492">
                  <c:v>4.9199999999999395</c:v>
                </c:pt>
                <c:pt idx="493">
                  <c:v>4.9299999999999393</c:v>
                </c:pt>
                <c:pt idx="494">
                  <c:v>4.9399999999999391</c:v>
                </c:pt>
                <c:pt idx="495">
                  <c:v>4.9499999999999389</c:v>
                </c:pt>
                <c:pt idx="496">
                  <c:v>4.9599999999999387</c:v>
                </c:pt>
                <c:pt idx="497">
                  <c:v>4.9699999999999385</c:v>
                </c:pt>
                <c:pt idx="498">
                  <c:v>4.9799999999999383</c:v>
                </c:pt>
                <c:pt idx="499">
                  <c:v>4.989999999999938</c:v>
                </c:pt>
                <c:pt idx="500">
                  <c:v>4.9999999999999378</c:v>
                </c:pt>
                <c:pt idx="501">
                  <c:v>5.0999999999999375</c:v>
                </c:pt>
                <c:pt idx="502">
                  <c:v>5.1999999999999371</c:v>
                </c:pt>
                <c:pt idx="503">
                  <c:v>5.2999999999999368</c:v>
                </c:pt>
                <c:pt idx="504">
                  <c:v>5.3999999999999364</c:v>
                </c:pt>
                <c:pt idx="505">
                  <c:v>5.4999999999999361</c:v>
                </c:pt>
                <c:pt idx="506">
                  <c:v>5.5999999999999357</c:v>
                </c:pt>
                <c:pt idx="507">
                  <c:v>5.6999999999999353</c:v>
                </c:pt>
                <c:pt idx="508">
                  <c:v>5.799999999999935</c:v>
                </c:pt>
                <c:pt idx="509">
                  <c:v>5.8999999999999346</c:v>
                </c:pt>
                <c:pt idx="510">
                  <c:v>5.9999999999999343</c:v>
                </c:pt>
                <c:pt idx="511">
                  <c:v>6.0999999999999339</c:v>
                </c:pt>
                <c:pt idx="512">
                  <c:v>6.1999999999999336</c:v>
                </c:pt>
                <c:pt idx="513">
                  <c:v>6.2999999999999332</c:v>
                </c:pt>
                <c:pt idx="514">
                  <c:v>6.3999999999999329</c:v>
                </c:pt>
                <c:pt idx="515">
                  <c:v>6.4999999999999325</c:v>
                </c:pt>
                <c:pt idx="516">
                  <c:v>6.5999999999999321</c:v>
                </c:pt>
                <c:pt idx="517">
                  <c:v>6.6999999999999318</c:v>
                </c:pt>
                <c:pt idx="518">
                  <c:v>6.7999999999999314</c:v>
                </c:pt>
                <c:pt idx="519">
                  <c:v>6.8999999999999311</c:v>
                </c:pt>
                <c:pt idx="520">
                  <c:v>6.9999999999999307</c:v>
                </c:pt>
                <c:pt idx="521">
                  <c:v>7.0999999999999304</c:v>
                </c:pt>
                <c:pt idx="522">
                  <c:v>7.19999999999993</c:v>
                </c:pt>
                <c:pt idx="523">
                  <c:v>7.2999999999999297</c:v>
                </c:pt>
                <c:pt idx="524">
                  <c:v>7.3999999999999293</c:v>
                </c:pt>
                <c:pt idx="525">
                  <c:v>7.4999999999999289</c:v>
                </c:pt>
                <c:pt idx="526">
                  <c:v>7.5999999999999286</c:v>
                </c:pt>
                <c:pt idx="527">
                  <c:v>7.6999999999999282</c:v>
                </c:pt>
                <c:pt idx="528">
                  <c:v>7.7999999999999279</c:v>
                </c:pt>
                <c:pt idx="529">
                  <c:v>7.8999999999999275</c:v>
                </c:pt>
                <c:pt idx="530">
                  <c:v>7.9999999999999272</c:v>
                </c:pt>
                <c:pt idx="531">
                  <c:v>8.0999999999999268</c:v>
                </c:pt>
                <c:pt idx="532">
                  <c:v>8.1999999999999265</c:v>
                </c:pt>
                <c:pt idx="533">
                  <c:v>8.2999999999999261</c:v>
                </c:pt>
                <c:pt idx="534">
                  <c:v>8.3999999999999257</c:v>
                </c:pt>
                <c:pt idx="535">
                  <c:v>8.4999999999999254</c:v>
                </c:pt>
                <c:pt idx="536">
                  <c:v>8.599999999999925</c:v>
                </c:pt>
                <c:pt idx="537">
                  <c:v>8.6999999999999247</c:v>
                </c:pt>
                <c:pt idx="538">
                  <c:v>8.7999999999999243</c:v>
                </c:pt>
                <c:pt idx="539">
                  <c:v>8.899999999999924</c:v>
                </c:pt>
                <c:pt idx="540">
                  <c:v>8.9999999999999236</c:v>
                </c:pt>
                <c:pt idx="541">
                  <c:v>9.0999999999999233</c:v>
                </c:pt>
                <c:pt idx="542">
                  <c:v>9.1999999999999229</c:v>
                </c:pt>
                <c:pt idx="543">
                  <c:v>9.2999999999999226</c:v>
                </c:pt>
                <c:pt idx="544">
                  <c:v>9.3999999999999222</c:v>
                </c:pt>
                <c:pt idx="545">
                  <c:v>9.4999999999999218</c:v>
                </c:pt>
                <c:pt idx="546">
                  <c:v>9.5999999999999215</c:v>
                </c:pt>
                <c:pt idx="547">
                  <c:v>9.6999999999999211</c:v>
                </c:pt>
                <c:pt idx="548">
                  <c:v>9.7999999999999208</c:v>
                </c:pt>
                <c:pt idx="549">
                  <c:v>9.8999999999999204</c:v>
                </c:pt>
                <c:pt idx="550">
                  <c:v>9.9999999999999201</c:v>
                </c:pt>
                <c:pt idx="551">
                  <c:v>10.09999999999992</c:v>
                </c:pt>
                <c:pt idx="552">
                  <c:v>10.199999999999919</c:v>
                </c:pt>
                <c:pt idx="553">
                  <c:v>10.299999999999919</c:v>
                </c:pt>
                <c:pt idx="554">
                  <c:v>10.399999999999919</c:v>
                </c:pt>
                <c:pt idx="555">
                  <c:v>10.499999999999918</c:v>
                </c:pt>
                <c:pt idx="556">
                  <c:v>10.599999999999918</c:v>
                </c:pt>
                <c:pt idx="557">
                  <c:v>10.699999999999918</c:v>
                </c:pt>
                <c:pt idx="558">
                  <c:v>10.799999999999917</c:v>
                </c:pt>
                <c:pt idx="559">
                  <c:v>10.899999999999917</c:v>
                </c:pt>
                <c:pt idx="560">
                  <c:v>10.999999999999917</c:v>
                </c:pt>
                <c:pt idx="561">
                  <c:v>11.099999999999916</c:v>
                </c:pt>
                <c:pt idx="562">
                  <c:v>11.199999999999916</c:v>
                </c:pt>
                <c:pt idx="563">
                  <c:v>11.299999999999915</c:v>
                </c:pt>
                <c:pt idx="564">
                  <c:v>11.399999999999915</c:v>
                </c:pt>
                <c:pt idx="565">
                  <c:v>11.499999999999915</c:v>
                </c:pt>
                <c:pt idx="566">
                  <c:v>11.599999999999914</c:v>
                </c:pt>
                <c:pt idx="567">
                  <c:v>11.699999999999914</c:v>
                </c:pt>
                <c:pt idx="568">
                  <c:v>11.799999999999914</c:v>
                </c:pt>
                <c:pt idx="569">
                  <c:v>11.899999999999913</c:v>
                </c:pt>
                <c:pt idx="570">
                  <c:v>11.999999999999913</c:v>
                </c:pt>
                <c:pt idx="571">
                  <c:v>12.099999999999913</c:v>
                </c:pt>
                <c:pt idx="572">
                  <c:v>12.199999999999912</c:v>
                </c:pt>
                <c:pt idx="573">
                  <c:v>12.299999999999912</c:v>
                </c:pt>
                <c:pt idx="574">
                  <c:v>12.399999999999912</c:v>
                </c:pt>
                <c:pt idx="575">
                  <c:v>12.499999999999911</c:v>
                </c:pt>
                <c:pt idx="576">
                  <c:v>12.599999999999911</c:v>
                </c:pt>
                <c:pt idx="577">
                  <c:v>12.69999999999991</c:v>
                </c:pt>
                <c:pt idx="578">
                  <c:v>12.79999999999991</c:v>
                </c:pt>
                <c:pt idx="579">
                  <c:v>12.89999999999991</c:v>
                </c:pt>
                <c:pt idx="580">
                  <c:v>12.999999999999909</c:v>
                </c:pt>
                <c:pt idx="581">
                  <c:v>13.099999999999909</c:v>
                </c:pt>
                <c:pt idx="582">
                  <c:v>13.199999999999909</c:v>
                </c:pt>
                <c:pt idx="583">
                  <c:v>13.299999999999908</c:v>
                </c:pt>
                <c:pt idx="584">
                  <c:v>13.399999999999908</c:v>
                </c:pt>
                <c:pt idx="585">
                  <c:v>13.499999999999908</c:v>
                </c:pt>
                <c:pt idx="586">
                  <c:v>13.599999999999907</c:v>
                </c:pt>
                <c:pt idx="587">
                  <c:v>13.699999999999907</c:v>
                </c:pt>
                <c:pt idx="588">
                  <c:v>13.799999999999907</c:v>
                </c:pt>
                <c:pt idx="589">
                  <c:v>13.899999999999906</c:v>
                </c:pt>
                <c:pt idx="590">
                  <c:v>13.999999999999906</c:v>
                </c:pt>
                <c:pt idx="591">
                  <c:v>14.099999999999905</c:v>
                </c:pt>
                <c:pt idx="592">
                  <c:v>14.199999999999905</c:v>
                </c:pt>
                <c:pt idx="593">
                  <c:v>14.299999999999905</c:v>
                </c:pt>
                <c:pt idx="594">
                  <c:v>14.399999999999904</c:v>
                </c:pt>
                <c:pt idx="595">
                  <c:v>14.499999999999904</c:v>
                </c:pt>
                <c:pt idx="596">
                  <c:v>14.599999999999904</c:v>
                </c:pt>
                <c:pt idx="597">
                  <c:v>14.699999999999903</c:v>
                </c:pt>
                <c:pt idx="598">
                  <c:v>14.799999999999903</c:v>
                </c:pt>
                <c:pt idx="599">
                  <c:v>14.899999999999903</c:v>
                </c:pt>
                <c:pt idx="600">
                  <c:v>14.999999999999902</c:v>
                </c:pt>
                <c:pt idx="601">
                  <c:v>15.099999999999902</c:v>
                </c:pt>
                <c:pt idx="602">
                  <c:v>15.199999999999902</c:v>
                </c:pt>
                <c:pt idx="603">
                  <c:v>15.299999999999901</c:v>
                </c:pt>
                <c:pt idx="604">
                  <c:v>15.399999999999901</c:v>
                </c:pt>
                <c:pt idx="605">
                  <c:v>15.499999999999901</c:v>
                </c:pt>
                <c:pt idx="606">
                  <c:v>15.5999999999999</c:v>
                </c:pt>
                <c:pt idx="607">
                  <c:v>15.6999999999999</c:v>
                </c:pt>
                <c:pt idx="608">
                  <c:v>15.799999999999899</c:v>
                </c:pt>
                <c:pt idx="609">
                  <c:v>15.899999999999899</c:v>
                </c:pt>
                <c:pt idx="610">
                  <c:v>15.999999999999899</c:v>
                </c:pt>
                <c:pt idx="611">
                  <c:v>16.099999999999898</c:v>
                </c:pt>
                <c:pt idx="612">
                  <c:v>16.1999999999999</c:v>
                </c:pt>
                <c:pt idx="613">
                  <c:v>16.299999999999901</c:v>
                </c:pt>
                <c:pt idx="614">
                  <c:v>16.399999999999903</c:v>
                </c:pt>
                <c:pt idx="615">
                  <c:v>16.499999999999904</c:v>
                </c:pt>
                <c:pt idx="616">
                  <c:v>16.599999999999905</c:v>
                </c:pt>
                <c:pt idx="617">
                  <c:v>16.699999999999907</c:v>
                </c:pt>
                <c:pt idx="618">
                  <c:v>16.799999999999908</c:v>
                </c:pt>
                <c:pt idx="619">
                  <c:v>16.89999999999991</c:v>
                </c:pt>
                <c:pt idx="620">
                  <c:v>16.999999999999911</c:v>
                </c:pt>
                <c:pt idx="621">
                  <c:v>17.099999999999913</c:v>
                </c:pt>
                <c:pt idx="622">
                  <c:v>17.199999999999914</c:v>
                </c:pt>
                <c:pt idx="623">
                  <c:v>17.299999999999915</c:v>
                </c:pt>
                <c:pt idx="624">
                  <c:v>17.399999999999917</c:v>
                </c:pt>
                <c:pt idx="625">
                  <c:v>17.499999999999918</c:v>
                </c:pt>
                <c:pt idx="626">
                  <c:v>17.59999999999992</c:v>
                </c:pt>
                <c:pt idx="627">
                  <c:v>17.699999999999921</c:v>
                </c:pt>
                <c:pt idx="628">
                  <c:v>17.799999999999923</c:v>
                </c:pt>
                <c:pt idx="629">
                  <c:v>17.899999999999924</c:v>
                </c:pt>
                <c:pt idx="630">
                  <c:v>17.999999999999925</c:v>
                </c:pt>
                <c:pt idx="631">
                  <c:v>18.099999999999927</c:v>
                </c:pt>
                <c:pt idx="632">
                  <c:v>18.199999999999928</c:v>
                </c:pt>
                <c:pt idx="633">
                  <c:v>18.29999999999993</c:v>
                </c:pt>
                <c:pt idx="634">
                  <c:v>18.399999999999931</c:v>
                </c:pt>
                <c:pt idx="635">
                  <c:v>18.499999999999932</c:v>
                </c:pt>
                <c:pt idx="636">
                  <c:v>18.599999999999934</c:v>
                </c:pt>
                <c:pt idx="637">
                  <c:v>18.699999999999935</c:v>
                </c:pt>
                <c:pt idx="638">
                  <c:v>18.799999999999937</c:v>
                </c:pt>
                <c:pt idx="639">
                  <c:v>18.899999999999938</c:v>
                </c:pt>
                <c:pt idx="640">
                  <c:v>18.99999999999994</c:v>
                </c:pt>
                <c:pt idx="641">
                  <c:v>19.099999999999941</c:v>
                </c:pt>
                <c:pt idx="642">
                  <c:v>19.199999999999942</c:v>
                </c:pt>
                <c:pt idx="643">
                  <c:v>19.299999999999944</c:v>
                </c:pt>
                <c:pt idx="644">
                  <c:v>19.399999999999945</c:v>
                </c:pt>
                <c:pt idx="645">
                  <c:v>19.499999999999947</c:v>
                </c:pt>
                <c:pt idx="646">
                  <c:v>19.599999999999948</c:v>
                </c:pt>
                <c:pt idx="647">
                  <c:v>19.69999999999995</c:v>
                </c:pt>
                <c:pt idx="648">
                  <c:v>19.799999999999951</c:v>
                </c:pt>
                <c:pt idx="649">
                  <c:v>19.899999999999952</c:v>
                </c:pt>
                <c:pt idx="650">
                  <c:v>19.999999999999954</c:v>
                </c:pt>
                <c:pt idx="651">
                  <c:v>20.099999999999955</c:v>
                </c:pt>
                <c:pt idx="652">
                  <c:v>20.199999999999957</c:v>
                </c:pt>
                <c:pt idx="653">
                  <c:v>20.299999999999958</c:v>
                </c:pt>
                <c:pt idx="654">
                  <c:v>20.399999999999959</c:v>
                </c:pt>
                <c:pt idx="655">
                  <c:v>20.499999999999961</c:v>
                </c:pt>
                <c:pt idx="656">
                  <c:v>20.599999999999962</c:v>
                </c:pt>
                <c:pt idx="657">
                  <c:v>20.699999999999964</c:v>
                </c:pt>
                <c:pt idx="658">
                  <c:v>20.799999999999965</c:v>
                </c:pt>
                <c:pt idx="659">
                  <c:v>20.899999999999967</c:v>
                </c:pt>
                <c:pt idx="660">
                  <c:v>20.999999999999968</c:v>
                </c:pt>
                <c:pt idx="661">
                  <c:v>21.099999999999969</c:v>
                </c:pt>
                <c:pt idx="662">
                  <c:v>21.199999999999971</c:v>
                </c:pt>
                <c:pt idx="663">
                  <c:v>21.299999999999972</c:v>
                </c:pt>
                <c:pt idx="664">
                  <c:v>21.399999999999974</c:v>
                </c:pt>
                <c:pt idx="665">
                  <c:v>21.499999999999975</c:v>
                </c:pt>
                <c:pt idx="666">
                  <c:v>21.599999999999977</c:v>
                </c:pt>
                <c:pt idx="667">
                  <c:v>21.699999999999978</c:v>
                </c:pt>
                <c:pt idx="668">
                  <c:v>21.799999999999979</c:v>
                </c:pt>
                <c:pt idx="669">
                  <c:v>21.899999999999981</c:v>
                </c:pt>
                <c:pt idx="670">
                  <c:v>21.999999999999982</c:v>
                </c:pt>
                <c:pt idx="671">
                  <c:v>22.099999999999984</c:v>
                </c:pt>
                <c:pt idx="672">
                  <c:v>22.199999999999985</c:v>
                </c:pt>
                <c:pt idx="673">
                  <c:v>22.299999999999986</c:v>
                </c:pt>
                <c:pt idx="674">
                  <c:v>22.399999999999988</c:v>
                </c:pt>
                <c:pt idx="675">
                  <c:v>22.499999999999989</c:v>
                </c:pt>
                <c:pt idx="676">
                  <c:v>22.599999999999991</c:v>
                </c:pt>
                <c:pt idx="677">
                  <c:v>22.699999999999992</c:v>
                </c:pt>
                <c:pt idx="678">
                  <c:v>22.799999999999994</c:v>
                </c:pt>
                <c:pt idx="679">
                  <c:v>22.899999999999995</c:v>
                </c:pt>
                <c:pt idx="680">
                  <c:v>22.999999999999996</c:v>
                </c:pt>
                <c:pt idx="681">
                  <c:v>23.099999999999998</c:v>
                </c:pt>
                <c:pt idx="682">
                  <c:v>23.2</c:v>
                </c:pt>
                <c:pt idx="683">
                  <c:v>23.3</c:v>
                </c:pt>
                <c:pt idx="684">
                  <c:v>23.400000000000002</c:v>
                </c:pt>
                <c:pt idx="685">
                  <c:v>23.500000000000004</c:v>
                </c:pt>
                <c:pt idx="686">
                  <c:v>23.600000000000005</c:v>
                </c:pt>
                <c:pt idx="687">
                  <c:v>23.700000000000006</c:v>
                </c:pt>
                <c:pt idx="688">
                  <c:v>23.800000000000008</c:v>
                </c:pt>
                <c:pt idx="689">
                  <c:v>23.900000000000009</c:v>
                </c:pt>
                <c:pt idx="690">
                  <c:v>24.000000000000011</c:v>
                </c:pt>
                <c:pt idx="691">
                  <c:v>24.100000000000012</c:v>
                </c:pt>
                <c:pt idx="692">
                  <c:v>24.200000000000014</c:v>
                </c:pt>
                <c:pt idx="693">
                  <c:v>24.300000000000015</c:v>
                </c:pt>
                <c:pt idx="694">
                  <c:v>24.400000000000016</c:v>
                </c:pt>
                <c:pt idx="695">
                  <c:v>24.500000000000018</c:v>
                </c:pt>
                <c:pt idx="696">
                  <c:v>24.600000000000019</c:v>
                </c:pt>
                <c:pt idx="697">
                  <c:v>24.700000000000021</c:v>
                </c:pt>
                <c:pt idx="698">
                  <c:v>24.800000000000022</c:v>
                </c:pt>
                <c:pt idx="699">
                  <c:v>24.900000000000023</c:v>
                </c:pt>
                <c:pt idx="700">
                  <c:v>25.000000000000025</c:v>
                </c:pt>
                <c:pt idx="701">
                  <c:v>25.100000000000026</c:v>
                </c:pt>
                <c:pt idx="702">
                  <c:v>25.200000000000028</c:v>
                </c:pt>
                <c:pt idx="703">
                  <c:v>25.300000000000029</c:v>
                </c:pt>
                <c:pt idx="704">
                  <c:v>25.400000000000031</c:v>
                </c:pt>
                <c:pt idx="705">
                  <c:v>25.500000000000032</c:v>
                </c:pt>
                <c:pt idx="706">
                  <c:v>25.600000000000033</c:v>
                </c:pt>
                <c:pt idx="707">
                  <c:v>25.700000000000035</c:v>
                </c:pt>
                <c:pt idx="708">
                  <c:v>25.800000000000036</c:v>
                </c:pt>
                <c:pt idx="709">
                  <c:v>25.900000000000038</c:v>
                </c:pt>
                <c:pt idx="710">
                  <c:v>26.000000000000039</c:v>
                </c:pt>
                <c:pt idx="711">
                  <c:v>26.100000000000041</c:v>
                </c:pt>
                <c:pt idx="712">
                  <c:v>26.200000000000042</c:v>
                </c:pt>
                <c:pt idx="713">
                  <c:v>26.300000000000043</c:v>
                </c:pt>
                <c:pt idx="714">
                  <c:v>26.400000000000045</c:v>
                </c:pt>
                <c:pt idx="715">
                  <c:v>26.500000000000046</c:v>
                </c:pt>
                <c:pt idx="716">
                  <c:v>26.600000000000048</c:v>
                </c:pt>
                <c:pt idx="717">
                  <c:v>26.700000000000049</c:v>
                </c:pt>
                <c:pt idx="718">
                  <c:v>26.80000000000005</c:v>
                </c:pt>
                <c:pt idx="719">
                  <c:v>26.900000000000052</c:v>
                </c:pt>
                <c:pt idx="720">
                  <c:v>27.000000000000053</c:v>
                </c:pt>
                <c:pt idx="721">
                  <c:v>27.100000000000055</c:v>
                </c:pt>
                <c:pt idx="722">
                  <c:v>27.200000000000056</c:v>
                </c:pt>
                <c:pt idx="723">
                  <c:v>27.300000000000058</c:v>
                </c:pt>
                <c:pt idx="724">
                  <c:v>27.400000000000059</c:v>
                </c:pt>
                <c:pt idx="725">
                  <c:v>27.50000000000006</c:v>
                </c:pt>
                <c:pt idx="726">
                  <c:v>27.600000000000062</c:v>
                </c:pt>
                <c:pt idx="727">
                  <c:v>27.700000000000063</c:v>
                </c:pt>
                <c:pt idx="728">
                  <c:v>27.800000000000065</c:v>
                </c:pt>
                <c:pt idx="729">
                  <c:v>27.900000000000066</c:v>
                </c:pt>
                <c:pt idx="730">
                  <c:v>28.000000000000068</c:v>
                </c:pt>
                <c:pt idx="731">
                  <c:v>28.100000000000069</c:v>
                </c:pt>
                <c:pt idx="732">
                  <c:v>28.20000000000007</c:v>
                </c:pt>
                <c:pt idx="733">
                  <c:v>28.300000000000072</c:v>
                </c:pt>
                <c:pt idx="734">
                  <c:v>28.400000000000073</c:v>
                </c:pt>
                <c:pt idx="735">
                  <c:v>28.500000000000075</c:v>
                </c:pt>
                <c:pt idx="736">
                  <c:v>28.600000000000076</c:v>
                </c:pt>
                <c:pt idx="737">
                  <c:v>28.700000000000077</c:v>
                </c:pt>
                <c:pt idx="738">
                  <c:v>28.800000000000079</c:v>
                </c:pt>
                <c:pt idx="739">
                  <c:v>28.90000000000008</c:v>
                </c:pt>
                <c:pt idx="740">
                  <c:v>29.000000000000082</c:v>
                </c:pt>
                <c:pt idx="741">
                  <c:v>29.100000000000083</c:v>
                </c:pt>
                <c:pt idx="742">
                  <c:v>29.200000000000085</c:v>
                </c:pt>
                <c:pt idx="743">
                  <c:v>29.300000000000086</c:v>
                </c:pt>
                <c:pt idx="744">
                  <c:v>29.400000000000087</c:v>
                </c:pt>
                <c:pt idx="745">
                  <c:v>29.500000000000089</c:v>
                </c:pt>
                <c:pt idx="746">
                  <c:v>29.60000000000009</c:v>
                </c:pt>
                <c:pt idx="747">
                  <c:v>29.700000000000092</c:v>
                </c:pt>
                <c:pt idx="748">
                  <c:v>29.800000000000093</c:v>
                </c:pt>
                <c:pt idx="749">
                  <c:v>29.900000000000095</c:v>
                </c:pt>
                <c:pt idx="750">
                  <c:v>30.000000000000096</c:v>
                </c:pt>
                <c:pt idx="751">
                  <c:v>30.100000000000097</c:v>
                </c:pt>
                <c:pt idx="752">
                  <c:v>30.200000000000099</c:v>
                </c:pt>
                <c:pt idx="753">
                  <c:v>30.3000000000001</c:v>
                </c:pt>
                <c:pt idx="754">
                  <c:v>30.400000000000102</c:v>
                </c:pt>
                <c:pt idx="755">
                  <c:v>30.500000000000103</c:v>
                </c:pt>
                <c:pt idx="756">
                  <c:v>30.600000000000104</c:v>
                </c:pt>
                <c:pt idx="757">
                  <c:v>30.700000000000106</c:v>
                </c:pt>
                <c:pt idx="758">
                  <c:v>30.800000000000107</c:v>
                </c:pt>
                <c:pt idx="759">
                  <c:v>30.900000000000109</c:v>
                </c:pt>
                <c:pt idx="760">
                  <c:v>31.00000000000011</c:v>
                </c:pt>
                <c:pt idx="761">
                  <c:v>31.100000000000112</c:v>
                </c:pt>
                <c:pt idx="762">
                  <c:v>31.200000000000113</c:v>
                </c:pt>
                <c:pt idx="763">
                  <c:v>31.300000000000114</c:v>
                </c:pt>
                <c:pt idx="764">
                  <c:v>31.400000000000116</c:v>
                </c:pt>
                <c:pt idx="765">
                  <c:v>31.500000000000117</c:v>
                </c:pt>
                <c:pt idx="766">
                  <c:v>31.600000000000119</c:v>
                </c:pt>
                <c:pt idx="767">
                  <c:v>31.70000000000012</c:v>
                </c:pt>
                <c:pt idx="768">
                  <c:v>31.800000000000122</c:v>
                </c:pt>
                <c:pt idx="769">
                  <c:v>31.900000000000123</c:v>
                </c:pt>
                <c:pt idx="770">
                  <c:v>32.000000000000121</c:v>
                </c:pt>
                <c:pt idx="771">
                  <c:v>32.100000000000122</c:v>
                </c:pt>
                <c:pt idx="772">
                  <c:v>32.200000000000124</c:v>
                </c:pt>
                <c:pt idx="773">
                  <c:v>32.300000000000125</c:v>
                </c:pt>
                <c:pt idx="774">
                  <c:v>32.400000000000126</c:v>
                </c:pt>
                <c:pt idx="775">
                  <c:v>32.500000000000128</c:v>
                </c:pt>
                <c:pt idx="776">
                  <c:v>32.600000000000129</c:v>
                </c:pt>
                <c:pt idx="777">
                  <c:v>32.700000000000131</c:v>
                </c:pt>
                <c:pt idx="778">
                  <c:v>32.800000000000132</c:v>
                </c:pt>
                <c:pt idx="779">
                  <c:v>32.900000000000134</c:v>
                </c:pt>
                <c:pt idx="780">
                  <c:v>33.000000000000135</c:v>
                </c:pt>
                <c:pt idx="781">
                  <c:v>33.100000000000136</c:v>
                </c:pt>
                <c:pt idx="782">
                  <c:v>33.200000000000138</c:v>
                </c:pt>
                <c:pt idx="783">
                  <c:v>33.300000000000139</c:v>
                </c:pt>
                <c:pt idx="784">
                  <c:v>33.400000000000141</c:v>
                </c:pt>
                <c:pt idx="785">
                  <c:v>33.500000000000142</c:v>
                </c:pt>
                <c:pt idx="786">
                  <c:v>33.600000000000144</c:v>
                </c:pt>
                <c:pt idx="787">
                  <c:v>33.700000000000145</c:v>
                </c:pt>
                <c:pt idx="788">
                  <c:v>33.800000000000146</c:v>
                </c:pt>
                <c:pt idx="789">
                  <c:v>33.900000000000148</c:v>
                </c:pt>
                <c:pt idx="790">
                  <c:v>34.000000000000149</c:v>
                </c:pt>
                <c:pt idx="791">
                  <c:v>34.100000000000151</c:v>
                </c:pt>
                <c:pt idx="792">
                  <c:v>34.200000000000152</c:v>
                </c:pt>
                <c:pt idx="793">
                  <c:v>34.300000000000153</c:v>
                </c:pt>
                <c:pt idx="794">
                  <c:v>34.400000000000155</c:v>
                </c:pt>
                <c:pt idx="795">
                  <c:v>34.500000000000156</c:v>
                </c:pt>
                <c:pt idx="796">
                  <c:v>34.600000000000158</c:v>
                </c:pt>
                <c:pt idx="797">
                  <c:v>34.700000000000159</c:v>
                </c:pt>
                <c:pt idx="798">
                  <c:v>34.800000000000161</c:v>
                </c:pt>
                <c:pt idx="799">
                  <c:v>34.900000000000162</c:v>
                </c:pt>
                <c:pt idx="800">
                  <c:v>35.000000000000163</c:v>
                </c:pt>
                <c:pt idx="801">
                  <c:v>35.100000000000165</c:v>
                </c:pt>
                <c:pt idx="802">
                  <c:v>35.200000000000166</c:v>
                </c:pt>
                <c:pt idx="803">
                  <c:v>35.300000000000168</c:v>
                </c:pt>
                <c:pt idx="804">
                  <c:v>35.400000000000169</c:v>
                </c:pt>
                <c:pt idx="805">
                  <c:v>35.500000000000171</c:v>
                </c:pt>
                <c:pt idx="806">
                  <c:v>35.600000000000172</c:v>
                </c:pt>
                <c:pt idx="807">
                  <c:v>35.700000000000173</c:v>
                </c:pt>
                <c:pt idx="808">
                  <c:v>35.800000000000175</c:v>
                </c:pt>
                <c:pt idx="809">
                  <c:v>35.900000000000176</c:v>
                </c:pt>
                <c:pt idx="810">
                  <c:v>36.000000000000178</c:v>
                </c:pt>
                <c:pt idx="811">
                  <c:v>36.100000000000179</c:v>
                </c:pt>
                <c:pt idx="812">
                  <c:v>36.20000000000018</c:v>
                </c:pt>
                <c:pt idx="813">
                  <c:v>36.300000000000182</c:v>
                </c:pt>
                <c:pt idx="814">
                  <c:v>36.400000000000183</c:v>
                </c:pt>
                <c:pt idx="815">
                  <c:v>36.500000000000185</c:v>
                </c:pt>
                <c:pt idx="816">
                  <c:v>36.600000000000186</c:v>
                </c:pt>
                <c:pt idx="817">
                  <c:v>36.700000000000188</c:v>
                </c:pt>
                <c:pt idx="818">
                  <c:v>36.800000000000189</c:v>
                </c:pt>
                <c:pt idx="819">
                  <c:v>36.90000000000019</c:v>
                </c:pt>
                <c:pt idx="820">
                  <c:v>37.000000000000192</c:v>
                </c:pt>
                <c:pt idx="821">
                  <c:v>37.100000000000193</c:v>
                </c:pt>
                <c:pt idx="822">
                  <c:v>37.200000000000195</c:v>
                </c:pt>
                <c:pt idx="823">
                  <c:v>37.300000000000196</c:v>
                </c:pt>
                <c:pt idx="824">
                  <c:v>37.400000000000198</c:v>
                </c:pt>
                <c:pt idx="825">
                  <c:v>37.500000000000199</c:v>
                </c:pt>
                <c:pt idx="826">
                  <c:v>37.6000000000002</c:v>
                </c:pt>
                <c:pt idx="827">
                  <c:v>37.700000000000202</c:v>
                </c:pt>
                <c:pt idx="828">
                  <c:v>37.800000000000203</c:v>
                </c:pt>
                <c:pt idx="829">
                  <c:v>37.900000000000205</c:v>
                </c:pt>
                <c:pt idx="830">
                  <c:v>38.000000000000206</c:v>
                </c:pt>
                <c:pt idx="831">
                  <c:v>38.100000000000207</c:v>
                </c:pt>
                <c:pt idx="832">
                  <c:v>38.200000000000209</c:v>
                </c:pt>
                <c:pt idx="833">
                  <c:v>38.30000000000021</c:v>
                </c:pt>
                <c:pt idx="834">
                  <c:v>38.400000000000212</c:v>
                </c:pt>
                <c:pt idx="835">
                  <c:v>38.500000000000213</c:v>
                </c:pt>
                <c:pt idx="836">
                  <c:v>38.600000000000215</c:v>
                </c:pt>
                <c:pt idx="837">
                  <c:v>38.700000000000216</c:v>
                </c:pt>
                <c:pt idx="838">
                  <c:v>38.800000000000217</c:v>
                </c:pt>
                <c:pt idx="839">
                  <c:v>38.900000000000219</c:v>
                </c:pt>
                <c:pt idx="840">
                  <c:v>39.00000000000022</c:v>
                </c:pt>
                <c:pt idx="841">
                  <c:v>39.100000000000222</c:v>
                </c:pt>
                <c:pt idx="842">
                  <c:v>39.200000000000223</c:v>
                </c:pt>
                <c:pt idx="843">
                  <c:v>39.300000000000225</c:v>
                </c:pt>
                <c:pt idx="844">
                  <c:v>39.400000000000226</c:v>
                </c:pt>
                <c:pt idx="845">
                  <c:v>39.500000000000227</c:v>
                </c:pt>
                <c:pt idx="846">
                  <c:v>39.600000000000229</c:v>
                </c:pt>
                <c:pt idx="847">
                  <c:v>39.70000000000023</c:v>
                </c:pt>
                <c:pt idx="848">
                  <c:v>39.800000000000232</c:v>
                </c:pt>
                <c:pt idx="849">
                  <c:v>39.900000000000233</c:v>
                </c:pt>
                <c:pt idx="850">
                  <c:v>40.000000000000234</c:v>
                </c:pt>
                <c:pt idx="851">
                  <c:v>40.100000000000236</c:v>
                </c:pt>
                <c:pt idx="852">
                  <c:v>40.200000000000237</c:v>
                </c:pt>
                <c:pt idx="853">
                  <c:v>40.300000000000239</c:v>
                </c:pt>
                <c:pt idx="854">
                  <c:v>40.40000000000024</c:v>
                </c:pt>
                <c:pt idx="855">
                  <c:v>40.500000000000242</c:v>
                </c:pt>
                <c:pt idx="856">
                  <c:v>40.600000000000243</c:v>
                </c:pt>
                <c:pt idx="857">
                  <c:v>40.700000000000244</c:v>
                </c:pt>
                <c:pt idx="858">
                  <c:v>40.800000000000246</c:v>
                </c:pt>
                <c:pt idx="859">
                  <c:v>40.900000000000247</c:v>
                </c:pt>
                <c:pt idx="860">
                  <c:v>41.000000000000249</c:v>
                </c:pt>
                <c:pt idx="861">
                  <c:v>41.10000000000025</c:v>
                </c:pt>
                <c:pt idx="862">
                  <c:v>41.200000000000252</c:v>
                </c:pt>
                <c:pt idx="863">
                  <c:v>41.300000000000253</c:v>
                </c:pt>
                <c:pt idx="864">
                  <c:v>41.400000000000254</c:v>
                </c:pt>
                <c:pt idx="865">
                  <c:v>41.500000000000256</c:v>
                </c:pt>
                <c:pt idx="866">
                  <c:v>41.600000000000257</c:v>
                </c:pt>
                <c:pt idx="867">
                  <c:v>41.700000000000259</c:v>
                </c:pt>
                <c:pt idx="868">
                  <c:v>41.80000000000026</c:v>
                </c:pt>
                <c:pt idx="869">
                  <c:v>41.900000000000261</c:v>
                </c:pt>
                <c:pt idx="870">
                  <c:v>42.000000000000263</c:v>
                </c:pt>
                <c:pt idx="871">
                  <c:v>42.100000000000264</c:v>
                </c:pt>
                <c:pt idx="872">
                  <c:v>42.200000000000266</c:v>
                </c:pt>
                <c:pt idx="873">
                  <c:v>42.300000000000267</c:v>
                </c:pt>
                <c:pt idx="874">
                  <c:v>42.400000000000269</c:v>
                </c:pt>
                <c:pt idx="875">
                  <c:v>42.50000000000027</c:v>
                </c:pt>
                <c:pt idx="876">
                  <c:v>42.600000000000271</c:v>
                </c:pt>
                <c:pt idx="877">
                  <c:v>42.700000000000273</c:v>
                </c:pt>
                <c:pt idx="878">
                  <c:v>42.800000000000274</c:v>
                </c:pt>
                <c:pt idx="879">
                  <c:v>42.900000000000276</c:v>
                </c:pt>
                <c:pt idx="880">
                  <c:v>43.000000000000277</c:v>
                </c:pt>
                <c:pt idx="881">
                  <c:v>43.100000000000279</c:v>
                </c:pt>
                <c:pt idx="882">
                  <c:v>43.20000000000028</c:v>
                </c:pt>
                <c:pt idx="883">
                  <c:v>43.300000000000281</c:v>
                </c:pt>
                <c:pt idx="884">
                  <c:v>43.400000000000283</c:v>
                </c:pt>
                <c:pt idx="885">
                  <c:v>43.500000000000284</c:v>
                </c:pt>
                <c:pt idx="886">
                  <c:v>43.600000000000286</c:v>
                </c:pt>
                <c:pt idx="887">
                  <c:v>43.700000000000287</c:v>
                </c:pt>
                <c:pt idx="888">
                  <c:v>43.800000000000288</c:v>
                </c:pt>
                <c:pt idx="889">
                  <c:v>43.90000000000029</c:v>
                </c:pt>
                <c:pt idx="890">
                  <c:v>44.000000000000291</c:v>
                </c:pt>
                <c:pt idx="891">
                  <c:v>44.100000000000293</c:v>
                </c:pt>
                <c:pt idx="892">
                  <c:v>44.200000000000294</c:v>
                </c:pt>
                <c:pt idx="893">
                  <c:v>44.300000000000296</c:v>
                </c:pt>
                <c:pt idx="894">
                  <c:v>44.400000000000297</c:v>
                </c:pt>
                <c:pt idx="895">
                  <c:v>44.500000000000298</c:v>
                </c:pt>
                <c:pt idx="896">
                  <c:v>44.6000000000003</c:v>
                </c:pt>
                <c:pt idx="897">
                  <c:v>44.700000000000301</c:v>
                </c:pt>
                <c:pt idx="898">
                  <c:v>44.800000000000303</c:v>
                </c:pt>
                <c:pt idx="899">
                  <c:v>44.900000000000304</c:v>
                </c:pt>
                <c:pt idx="900">
                  <c:v>45.000000000000306</c:v>
                </c:pt>
                <c:pt idx="901">
                  <c:v>45.100000000000307</c:v>
                </c:pt>
                <c:pt idx="902">
                  <c:v>45.200000000000308</c:v>
                </c:pt>
                <c:pt idx="903">
                  <c:v>45.30000000000031</c:v>
                </c:pt>
                <c:pt idx="904">
                  <c:v>45.400000000000311</c:v>
                </c:pt>
                <c:pt idx="905">
                  <c:v>45.500000000000313</c:v>
                </c:pt>
                <c:pt idx="906">
                  <c:v>45.600000000000314</c:v>
                </c:pt>
                <c:pt idx="907">
                  <c:v>45.700000000000315</c:v>
                </c:pt>
                <c:pt idx="908">
                  <c:v>45.800000000000317</c:v>
                </c:pt>
                <c:pt idx="909">
                  <c:v>45.900000000000318</c:v>
                </c:pt>
                <c:pt idx="910">
                  <c:v>46.00000000000032</c:v>
                </c:pt>
                <c:pt idx="911">
                  <c:v>46.100000000000321</c:v>
                </c:pt>
                <c:pt idx="912">
                  <c:v>46.200000000000323</c:v>
                </c:pt>
                <c:pt idx="913">
                  <c:v>46.300000000000324</c:v>
                </c:pt>
                <c:pt idx="914">
                  <c:v>46.400000000000325</c:v>
                </c:pt>
                <c:pt idx="915">
                  <c:v>46.500000000000327</c:v>
                </c:pt>
                <c:pt idx="916">
                  <c:v>46.600000000000328</c:v>
                </c:pt>
                <c:pt idx="917">
                  <c:v>46.70000000000033</c:v>
                </c:pt>
                <c:pt idx="918">
                  <c:v>46.800000000000331</c:v>
                </c:pt>
                <c:pt idx="919">
                  <c:v>46.900000000000333</c:v>
                </c:pt>
                <c:pt idx="920">
                  <c:v>47.000000000000334</c:v>
                </c:pt>
                <c:pt idx="921">
                  <c:v>47.100000000000335</c:v>
                </c:pt>
                <c:pt idx="922">
                  <c:v>47.200000000000337</c:v>
                </c:pt>
                <c:pt idx="923">
                  <c:v>47.300000000000338</c:v>
                </c:pt>
                <c:pt idx="924">
                  <c:v>47.40000000000034</c:v>
                </c:pt>
                <c:pt idx="925">
                  <c:v>47.500000000000341</c:v>
                </c:pt>
                <c:pt idx="926">
                  <c:v>47.600000000000342</c:v>
                </c:pt>
                <c:pt idx="927">
                  <c:v>47.700000000000344</c:v>
                </c:pt>
                <c:pt idx="928">
                  <c:v>47.800000000000345</c:v>
                </c:pt>
                <c:pt idx="929">
                  <c:v>47.900000000000347</c:v>
                </c:pt>
                <c:pt idx="930">
                  <c:v>48.000000000000348</c:v>
                </c:pt>
                <c:pt idx="931">
                  <c:v>48.10000000000035</c:v>
                </c:pt>
                <c:pt idx="932">
                  <c:v>48.200000000000351</c:v>
                </c:pt>
                <c:pt idx="933">
                  <c:v>48.300000000000352</c:v>
                </c:pt>
                <c:pt idx="934">
                  <c:v>48.400000000000354</c:v>
                </c:pt>
                <c:pt idx="935">
                  <c:v>48.500000000000355</c:v>
                </c:pt>
                <c:pt idx="936">
                  <c:v>48.600000000000357</c:v>
                </c:pt>
                <c:pt idx="937">
                  <c:v>48.700000000000358</c:v>
                </c:pt>
                <c:pt idx="938">
                  <c:v>48.80000000000036</c:v>
                </c:pt>
                <c:pt idx="939">
                  <c:v>48.900000000000361</c:v>
                </c:pt>
                <c:pt idx="940">
                  <c:v>49.000000000000362</c:v>
                </c:pt>
                <c:pt idx="941">
                  <c:v>49.100000000000364</c:v>
                </c:pt>
                <c:pt idx="942">
                  <c:v>49.200000000000365</c:v>
                </c:pt>
                <c:pt idx="943">
                  <c:v>49.300000000000367</c:v>
                </c:pt>
                <c:pt idx="944">
                  <c:v>49.30010000000037</c:v>
                </c:pt>
                <c:pt idx="945">
                  <c:v>49.300200000000373</c:v>
                </c:pt>
                <c:pt idx="946">
                  <c:v>49.300300000000377</c:v>
                </c:pt>
                <c:pt idx="947">
                  <c:v>49.30040000000038</c:v>
                </c:pt>
                <c:pt idx="948">
                  <c:v>49.300500000000383</c:v>
                </c:pt>
                <c:pt idx="949">
                  <c:v>49.300600000000387</c:v>
                </c:pt>
                <c:pt idx="950">
                  <c:v>49.30070000000039</c:v>
                </c:pt>
                <c:pt idx="951">
                  <c:v>49.300800000000393</c:v>
                </c:pt>
                <c:pt idx="952">
                  <c:v>49.300900000000397</c:v>
                </c:pt>
                <c:pt idx="953">
                  <c:v>49.3010000000004</c:v>
                </c:pt>
                <c:pt idx="954">
                  <c:v>49.301100000000403</c:v>
                </c:pt>
                <c:pt idx="955">
                  <c:v>49.301200000000406</c:v>
                </c:pt>
                <c:pt idx="956">
                  <c:v>49.30130000000041</c:v>
                </c:pt>
                <c:pt idx="957">
                  <c:v>49.301400000000413</c:v>
                </c:pt>
                <c:pt idx="958">
                  <c:v>49.301500000000416</c:v>
                </c:pt>
                <c:pt idx="959">
                  <c:v>49.30160000000042</c:v>
                </c:pt>
                <c:pt idx="960">
                  <c:v>49.301700000000423</c:v>
                </c:pt>
                <c:pt idx="961">
                  <c:v>49.301800000000426</c:v>
                </c:pt>
                <c:pt idx="962">
                  <c:v>49.30190000000043</c:v>
                </c:pt>
                <c:pt idx="963">
                  <c:v>49.302000000000433</c:v>
                </c:pt>
                <c:pt idx="964">
                  <c:v>49.302100000000436</c:v>
                </c:pt>
                <c:pt idx="965">
                  <c:v>49.30220000000044</c:v>
                </c:pt>
                <c:pt idx="966">
                  <c:v>49.302300000000443</c:v>
                </c:pt>
                <c:pt idx="967">
                  <c:v>49.302400000000446</c:v>
                </c:pt>
                <c:pt idx="968">
                  <c:v>49.30250000000045</c:v>
                </c:pt>
                <c:pt idx="969">
                  <c:v>49.302600000000453</c:v>
                </c:pt>
                <c:pt idx="970">
                  <c:v>49.302700000000456</c:v>
                </c:pt>
                <c:pt idx="971">
                  <c:v>49.30280000000046</c:v>
                </c:pt>
                <c:pt idx="972">
                  <c:v>49.302900000000463</c:v>
                </c:pt>
                <c:pt idx="973">
                  <c:v>49.303000000000466</c:v>
                </c:pt>
                <c:pt idx="974">
                  <c:v>49.30310000000047</c:v>
                </c:pt>
                <c:pt idx="975">
                  <c:v>49.303200000000473</c:v>
                </c:pt>
                <c:pt idx="976">
                  <c:v>49.303300000000476</c:v>
                </c:pt>
                <c:pt idx="977">
                  <c:v>49.30340000000048</c:v>
                </c:pt>
                <c:pt idx="978">
                  <c:v>49.303500000000483</c:v>
                </c:pt>
                <c:pt idx="979">
                  <c:v>49.303600000000486</c:v>
                </c:pt>
                <c:pt idx="980">
                  <c:v>49.303700000000489</c:v>
                </c:pt>
                <c:pt idx="981">
                  <c:v>49.303800000000493</c:v>
                </c:pt>
                <c:pt idx="982">
                  <c:v>49.303900000000496</c:v>
                </c:pt>
                <c:pt idx="983">
                  <c:v>49.304000000000499</c:v>
                </c:pt>
                <c:pt idx="984">
                  <c:v>49.304100000000503</c:v>
                </c:pt>
                <c:pt idx="985">
                  <c:v>49.304200000000506</c:v>
                </c:pt>
                <c:pt idx="986">
                  <c:v>49.304300000000509</c:v>
                </c:pt>
                <c:pt idx="987">
                  <c:v>49.304400000000513</c:v>
                </c:pt>
                <c:pt idx="988">
                  <c:v>49.304500000000516</c:v>
                </c:pt>
                <c:pt idx="989">
                  <c:v>49.304600000000519</c:v>
                </c:pt>
                <c:pt idx="990">
                  <c:v>49.304700000000523</c:v>
                </c:pt>
                <c:pt idx="991">
                  <c:v>49.304800000000526</c:v>
                </c:pt>
                <c:pt idx="992">
                  <c:v>49.304900000000529</c:v>
                </c:pt>
                <c:pt idx="993">
                  <c:v>49.305000000000533</c:v>
                </c:pt>
                <c:pt idx="994">
                  <c:v>49.305100000000536</c:v>
                </c:pt>
                <c:pt idx="995">
                  <c:v>49.305200000000539</c:v>
                </c:pt>
                <c:pt idx="996">
                  <c:v>49.305300000000543</c:v>
                </c:pt>
                <c:pt idx="997">
                  <c:v>49.305400000000546</c:v>
                </c:pt>
                <c:pt idx="998">
                  <c:v>49.305500000000549</c:v>
                </c:pt>
                <c:pt idx="999">
                  <c:v>49.305600000000553</c:v>
                </c:pt>
                <c:pt idx="1000">
                  <c:v>49.305700000000556</c:v>
                </c:pt>
              </c:numCache>
            </c:numRef>
          </c:xVal>
          <c:yVal>
            <c:numRef>
              <c:f>Calculs!$T$4:$T$1004</c:f>
              <c:numCache>
                <c:formatCode>0.00</c:formatCode>
                <c:ptCount val="1001"/>
                <c:pt idx="0">
                  <c:v>112.92291</c:v>
                </c:pt>
                <c:pt idx="1">
                  <c:v>112.91235932965608</c:v>
                </c:pt>
                <c:pt idx="2">
                  <c:v>112.89017250883352</c:v>
                </c:pt>
                <c:pt idx="3">
                  <c:v>112.86316108918267</c:v>
                </c:pt>
                <c:pt idx="4">
                  <c:v>112.83132507070353</c:v>
                </c:pt>
                <c:pt idx="5">
                  <c:v>112.79466445339612</c:v>
                </c:pt>
                <c:pt idx="6">
                  <c:v>112.75317923726043</c:v>
                </c:pt>
                <c:pt idx="7">
                  <c:v>112.70686942229645</c:v>
                </c:pt>
                <c:pt idx="8">
                  <c:v>112.65573500850421</c:v>
                </c:pt>
                <c:pt idx="9">
                  <c:v>112.59977599588369</c:v>
                </c:pt>
                <c:pt idx="10">
                  <c:v>112.53899238443489</c:v>
                </c:pt>
                <c:pt idx="11">
                  <c:v>112.47615274911919</c:v>
                </c:pt>
                <c:pt idx="12">
                  <c:v>112.41402566489799</c:v>
                </c:pt>
                <c:pt idx="13">
                  <c:v>112.35263219239475</c:v>
                </c:pt>
                <c:pt idx="14">
                  <c:v>112.29199339223298</c:v>
                </c:pt>
                <c:pt idx="15">
                  <c:v>112.23210926441266</c:v>
                </c:pt>
                <c:pt idx="16">
                  <c:v>112.17297980893377</c:v>
                </c:pt>
                <c:pt idx="17">
                  <c:v>112.11460502579637</c:v>
                </c:pt>
                <c:pt idx="18">
                  <c:v>112.0569849150004</c:v>
                </c:pt>
                <c:pt idx="19">
                  <c:v>112.00011947654588</c:v>
                </c:pt>
                <c:pt idx="20">
                  <c:v>111.94400871043281</c:v>
                </c:pt>
                <c:pt idx="21">
                  <c:v>111.8886526166612</c:v>
                </c:pt>
                <c:pt idx="22">
                  <c:v>111.83405119523105</c:v>
                </c:pt>
                <c:pt idx="23">
                  <c:v>111.78020444614235</c:v>
                </c:pt>
                <c:pt idx="24">
                  <c:v>111.7271123693951</c:v>
                </c:pt>
                <c:pt idx="25">
                  <c:v>111.6747749649893</c:v>
                </c:pt>
                <c:pt idx="26">
                  <c:v>111.62319223292495</c:v>
                </c:pt>
                <c:pt idx="27">
                  <c:v>111.57199502727381</c:v>
                </c:pt>
                <c:pt idx="28">
                  <c:v>111.5208142021076</c:v>
                </c:pt>
                <c:pt idx="29">
                  <c:v>111.46964975742631</c:v>
                </c:pt>
                <c:pt idx="30">
                  <c:v>111.41850169322996</c:v>
                </c:pt>
                <c:pt idx="31">
                  <c:v>111.36737000951854</c:v>
                </c:pt>
                <c:pt idx="32">
                  <c:v>111.31625470629204</c:v>
                </c:pt>
                <c:pt idx="33">
                  <c:v>111.26515578355048</c:v>
                </c:pt>
                <c:pt idx="34">
                  <c:v>111.21407324129385</c:v>
                </c:pt>
                <c:pt idx="35">
                  <c:v>111.16300707952215</c:v>
                </c:pt>
                <c:pt idx="36">
                  <c:v>111.11195729823538</c:v>
                </c:pt>
                <c:pt idx="37">
                  <c:v>111.06092389743354</c:v>
                </c:pt>
                <c:pt idx="38">
                  <c:v>111.00990687711662</c:v>
                </c:pt>
                <c:pt idx="39">
                  <c:v>110.95890623728464</c:v>
                </c:pt>
                <c:pt idx="40">
                  <c:v>110.9079219779376</c:v>
                </c:pt>
                <c:pt idx="41">
                  <c:v>110.85695409907548</c:v>
                </c:pt>
                <c:pt idx="42">
                  <c:v>110.80600260069829</c:v>
                </c:pt>
                <c:pt idx="43">
                  <c:v>110.75506748280603</c:v>
                </c:pt>
                <c:pt idx="44">
                  <c:v>110.70414874539871</c:v>
                </c:pt>
                <c:pt idx="45">
                  <c:v>110.65324638847633</c:v>
                </c:pt>
                <c:pt idx="46">
                  <c:v>110.60236041203886</c:v>
                </c:pt>
                <c:pt idx="47">
                  <c:v>110.55149081608633</c:v>
                </c:pt>
                <c:pt idx="48">
                  <c:v>110.50063760061873</c:v>
                </c:pt>
                <c:pt idx="49">
                  <c:v>110.44980076563607</c:v>
                </c:pt>
                <c:pt idx="50">
                  <c:v>110.39898031113832</c:v>
                </c:pt>
                <c:pt idx="51">
                  <c:v>110.34817623712551</c:v>
                </c:pt>
                <c:pt idx="52">
                  <c:v>110.29738854359763</c:v>
                </c:pt>
                <c:pt idx="53">
                  <c:v>110.24661723055469</c:v>
                </c:pt>
                <c:pt idx="54">
                  <c:v>110.19586229799667</c:v>
                </c:pt>
                <c:pt idx="55">
                  <c:v>110.14512374592358</c:v>
                </c:pt>
                <c:pt idx="56">
                  <c:v>110.09440157433542</c:v>
                </c:pt>
                <c:pt idx="57">
                  <c:v>110.04369578323221</c:v>
                </c:pt>
                <c:pt idx="58">
                  <c:v>109.99300637261392</c:v>
                </c:pt>
                <c:pt idx="59">
                  <c:v>109.94233334248055</c:v>
                </c:pt>
                <c:pt idx="60">
                  <c:v>109.89167669283212</c:v>
                </c:pt>
                <c:pt idx="61">
                  <c:v>109.84103642366863</c:v>
                </c:pt>
                <c:pt idx="62">
                  <c:v>109.79041253499007</c:v>
                </c:pt>
                <c:pt idx="63">
                  <c:v>109.73980502679642</c:v>
                </c:pt>
                <c:pt idx="64">
                  <c:v>109.6892138990877</c:v>
                </c:pt>
                <c:pt idx="65">
                  <c:v>109.63863915186393</c:v>
                </c:pt>
                <c:pt idx="66">
                  <c:v>109.58808078512509</c:v>
                </c:pt>
                <c:pt idx="67">
                  <c:v>109.53753879887117</c:v>
                </c:pt>
                <c:pt idx="68">
                  <c:v>109.48701319310219</c:v>
                </c:pt>
                <c:pt idx="69">
                  <c:v>109.43650396781813</c:v>
                </c:pt>
                <c:pt idx="70">
                  <c:v>109.38601112301902</c:v>
                </c:pt>
                <c:pt idx="71">
                  <c:v>109.33553465870482</c:v>
                </c:pt>
                <c:pt idx="72">
                  <c:v>109.28507871310332</c:v>
                </c:pt>
                <c:pt idx="73">
                  <c:v>109.2346474244423</c:v>
                </c:pt>
                <c:pt idx="74">
                  <c:v>109.18424079272175</c:v>
                </c:pt>
                <c:pt idx="75">
                  <c:v>109.13385881794169</c:v>
                </c:pt>
                <c:pt idx="76">
                  <c:v>109.0835015001021</c:v>
                </c:pt>
                <c:pt idx="77">
                  <c:v>109.03316883920297</c:v>
                </c:pt>
                <c:pt idx="78">
                  <c:v>108.98286083524434</c:v>
                </c:pt>
                <c:pt idx="79">
                  <c:v>108.93257748822617</c:v>
                </c:pt>
                <c:pt idx="80">
                  <c:v>108.88231879814849</c:v>
                </c:pt>
                <c:pt idx="81">
                  <c:v>108.83208476501127</c:v>
                </c:pt>
                <c:pt idx="82">
                  <c:v>108.78187538881453</c:v>
                </c:pt>
                <c:pt idx="83">
                  <c:v>108.73169066955826</c:v>
                </c:pt>
                <c:pt idx="84">
                  <c:v>108.68153060724245</c:v>
                </c:pt>
                <c:pt idx="85">
                  <c:v>108.63139520186715</c:v>
                </c:pt>
                <c:pt idx="86">
                  <c:v>108.5812844534323</c:v>
                </c:pt>
                <c:pt idx="87">
                  <c:v>108.53119836193794</c:v>
                </c:pt>
                <c:pt idx="88">
                  <c:v>108.48113692738404</c:v>
                </c:pt>
                <c:pt idx="89">
                  <c:v>108.43110014977061</c:v>
                </c:pt>
                <c:pt idx="90">
                  <c:v>108.38108802909767</c:v>
                </c:pt>
                <c:pt idx="91">
                  <c:v>108.33110056536519</c:v>
                </c:pt>
                <c:pt idx="92">
                  <c:v>108.28113775857321</c:v>
                </c:pt>
                <c:pt idx="93">
                  <c:v>108.23119960872168</c:v>
                </c:pt>
                <c:pt idx="94">
                  <c:v>108.18128611581064</c:v>
                </c:pt>
                <c:pt idx="95">
                  <c:v>108.13139727984006</c:v>
                </c:pt>
                <c:pt idx="96">
                  <c:v>108.08153310080998</c:v>
                </c:pt>
                <c:pt idx="97">
                  <c:v>108.03169357872035</c:v>
                </c:pt>
                <c:pt idx="98">
                  <c:v>107.98187871357121</c:v>
                </c:pt>
                <c:pt idx="99">
                  <c:v>107.93208850536253</c:v>
                </c:pt>
                <c:pt idx="100">
                  <c:v>107.88232295409433</c:v>
                </c:pt>
                <c:pt idx="101">
                  <c:v>107.83258205976661</c:v>
                </c:pt>
                <c:pt idx="102">
                  <c:v>107.78286582237936</c:v>
                </c:pt>
                <c:pt idx="103">
                  <c:v>107.7331742419326</c:v>
                </c:pt>
                <c:pt idx="104">
                  <c:v>107.68350731842629</c:v>
                </c:pt>
                <c:pt idx="105">
                  <c:v>107.63386505186047</c:v>
                </c:pt>
                <c:pt idx="106">
                  <c:v>107.58424744223512</c:v>
                </c:pt>
                <c:pt idx="107">
                  <c:v>107.53465448955025</c:v>
                </c:pt>
                <c:pt idx="108">
                  <c:v>107.48508619380584</c:v>
                </c:pt>
                <c:pt idx="109">
                  <c:v>107.43554255500192</c:v>
                </c:pt>
                <c:pt idx="110">
                  <c:v>107.38602357313847</c:v>
                </c:pt>
                <c:pt idx="111">
                  <c:v>107.3365292482155</c:v>
                </c:pt>
                <c:pt idx="112">
                  <c:v>107.28705958023301</c:v>
                </c:pt>
                <c:pt idx="113">
                  <c:v>107.23761456919098</c:v>
                </c:pt>
                <c:pt idx="114">
                  <c:v>107.18819421508942</c:v>
                </c:pt>
                <c:pt idx="115">
                  <c:v>107.13879851792835</c:v>
                </c:pt>
                <c:pt idx="116">
                  <c:v>107.08942747770774</c:v>
                </c:pt>
                <c:pt idx="117">
                  <c:v>107.04008109442762</c:v>
                </c:pt>
                <c:pt idx="118">
                  <c:v>106.99075936808798</c:v>
                </c:pt>
                <c:pt idx="119">
                  <c:v>106.9414622986888</c:v>
                </c:pt>
                <c:pt idx="120">
                  <c:v>106.8921898862301</c:v>
                </c:pt>
                <c:pt idx="121">
                  <c:v>106.84294213071186</c:v>
                </c:pt>
                <c:pt idx="122">
                  <c:v>106.79371903213412</c:v>
                </c:pt>
                <c:pt idx="123">
                  <c:v>106.74452059049683</c:v>
                </c:pt>
                <c:pt idx="124">
                  <c:v>106.69534680580003</c:v>
                </c:pt>
                <c:pt idx="125">
                  <c:v>106.64619767804371</c:v>
                </c:pt>
                <c:pt idx="126">
                  <c:v>106.59707320722785</c:v>
                </c:pt>
                <c:pt idx="127">
                  <c:v>106.54797339335248</c:v>
                </c:pt>
                <c:pt idx="128">
                  <c:v>106.49889823641757</c:v>
                </c:pt>
                <c:pt idx="129">
                  <c:v>106.44986636068742</c:v>
                </c:pt>
                <c:pt idx="130">
                  <c:v>106.40089639042628</c:v>
                </c:pt>
                <c:pt idx="131">
                  <c:v>106.35198832563418</c:v>
                </c:pt>
                <c:pt idx="132">
                  <c:v>106.3031421663111</c:v>
                </c:pt>
                <c:pt idx="133">
                  <c:v>106.25435791245704</c:v>
                </c:pt>
                <c:pt idx="134">
                  <c:v>106.20563556407201</c:v>
                </c:pt>
                <c:pt idx="135">
                  <c:v>106.15697512115601</c:v>
                </c:pt>
                <c:pt idx="136">
                  <c:v>106.10837658370903</c:v>
                </c:pt>
                <c:pt idx="137">
                  <c:v>106.05983995173108</c:v>
                </c:pt>
                <c:pt idx="138">
                  <c:v>106.01136522522214</c:v>
                </c:pt>
                <c:pt idx="139">
                  <c:v>105.96295240418222</c:v>
                </c:pt>
                <c:pt idx="140">
                  <c:v>105.91460148861131</c:v>
                </c:pt>
                <c:pt idx="141">
                  <c:v>105.86631247850944</c:v>
                </c:pt>
                <c:pt idx="142">
                  <c:v>105.8180853738766</c:v>
                </c:pt>
                <c:pt idx="143">
                  <c:v>105.76992017471279</c:v>
                </c:pt>
                <c:pt idx="144">
                  <c:v>105.721816881018</c:v>
                </c:pt>
                <c:pt idx="145">
                  <c:v>105.67377549279223</c:v>
                </c:pt>
                <c:pt idx="146">
                  <c:v>105.62579601003549</c:v>
                </c:pt>
                <c:pt idx="147">
                  <c:v>105.57787843274777</c:v>
                </c:pt>
                <c:pt idx="148">
                  <c:v>105.53002276092909</c:v>
                </c:pt>
                <c:pt idx="149">
                  <c:v>105.48222899457942</c:v>
                </c:pt>
                <c:pt idx="150">
                  <c:v>105.43449713369876</c:v>
                </c:pt>
                <c:pt idx="151">
                  <c:v>105.38682717828713</c:v>
                </c:pt>
                <c:pt idx="152">
                  <c:v>105.33921912834452</c:v>
                </c:pt>
                <c:pt idx="153">
                  <c:v>105.29167298387094</c:v>
                </c:pt>
                <c:pt idx="154">
                  <c:v>105.24418874486639</c:v>
                </c:pt>
                <c:pt idx="155">
                  <c:v>105.19676641133086</c:v>
                </c:pt>
                <c:pt idx="156">
                  <c:v>105.14940598326436</c:v>
                </c:pt>
                <c:pt idx="157">
                  <c:v>105.10210746066687</c:v>
                </c:pt>
                <c:pt idx="158">
                  <c:v>105.05487084353842</c:v>
                </c:pt>
                <c:pt idx="159">
                  <c:v>105.007696131879</c:v>
                </c:pt>
                <c:pt idx="160">
                  <c:v>104.96058332568859</c:v>
                </c:pt>
                <c:pt idx="161">
                  <c:v>104.91353242496722</c:v>
                </c:pt>
                <c:pt idx="162">
                  <c:v>104.86654342971487</c:v>
                </c:pt>
                <c:pt idx="163">
                  <c:v>104.81961633993153</c:v>
                </c:pt>
                <c:pt idx="164">
                  <c:v>104.77275115561721</c:v>
                </c:pt>
                <c:pt idx="165">
                  <c:v>104.72594787677191</c:v>
                </c:pt>
                <c:pt idx="166">
                  <c:v>104.67920650339565</c:v>
                </c:pt>
                <c:pt idx="167">
                  <c:v>104.63252703548841</c:v>
                </c:pt>
                <c:pt idx="168">
                  <c:v>104.58590947305019</c:v>
                </c:pt>
                <c:pt idx="169">
                  <c:v>104.539353816081</c:v>
                </c:pt>
                <c:pt idx="170">
                  <c:v>104.49286006458084</c:v>
                </c:pt>
                <c:pt idx="171">
                  <c:v>104.4464282185497</c:v>
                </c:pt>
                <c:pt idx="172">
                  <c:v>104.4000582779876</c:v>
                </c:pt>
                <c:pt idx="173">
                  <c:v>104.35375024289451</c:v>
                </c:pt>
                <c:pt idx="174">
                  <c:v>104.30750411327044</c:v>
                </c:pt>
                <c:pt idx="175">
                  <c:v>104.26131988911538</c:v>
                </c:pt>
                <c:pt idx="176">
                  <c:v>104.21519757042937</c:v>
                </c:pt>
                <c:pt idx="177">
                  <c:v>104.16913715721236</c:v>
                </c:pt>
                <c:pt idx="178">
                  <c:v>104.12313864946438</c:v>
                </c:pt>
                <c:pt idx="179">
                  <c:v>104.07720204718542</c:v>
                </c:pt>
                <c:pt idx="180">
                  <c:v>104.03132735037551</c:v>
                </c:pt>
                <c:pt idx="181">
                  <c:v>103.9855145590346</c:v>
                </c:pt>
                <c:pt idx="182">
                  <c:v>103.93976367316273</c:v>
                </c:pt>
                <c:pt idx="183">
                  <c:v>103.89407469275987</c:v>
                </c:pt>
                <c:pt idx="184">
                  <c:v>103.84844761782605</c:v>
                </c:pt>
                <c:pt idx="185">
                  <c:v>103.80288244836126</c:v>
                </c:pt>
                <c:pt idx="186">
                  <c:v>103.75737918436549</c:v>
                </c:pt>
                <c:pt idx="187">
                  <c:v>103.71193782583872</c:v>
                </c:pt>
                <c:pt idx="188">
                  <c:v>103.66655837278098</c:v>
                </c:pt>
                <c:pt idx="189">
                  <c:v>103.62124082519226</c:v>
                </c:pt>
                <c:pt idx="190">
                  <c:v>103.57598518307258</c:v>
                </c:pt>
                <c:pt idx="191">
                  <c:v>103.53079144642192</c:v>
                </c:pt>
                <c:pt idx="192">
                  <c:v>103.48565961524028</c:v>
                </c:pt>
                <c:pt idx="193">
                  <c:v>103.44058968952767</c:v>
                </c:pt>
                <c:pt idx="194">
                  <c:v>103.39558166928408</c:v>
                </c:pt>
                <c:pt idx="195">
                  <c:v>103.35063555450952</c:v>
                </c:pt>
                <c:pt idx="196">
                  <c:v>103.30575134520399</c:v>
                </c:pt>
                <c:pt idx="197">
                  <c:v>103.26092904136748</c:v>
                </c:pt>
                <c:pt idx="198">
                  <c:v>103.21616864299999</c:v>
                </c:pt>
                <c:pt idx="199">
                  <c:v>103.17147015010153</c:v>
                </c:pt>
                <c:pt idx="200">
                  <c:v>103.12683356267208</c:v>
                </c:pt>
                <c:pt idx="201">
                  <c:v>103.08225888071165</c:v>
                </c:pt>
                <c:pt idx="202">
                  <c:v>103.03774610422026</c:v>
                </c:pt>
                <c:pt idx="203">
                  <c:v>102.99329523319788</c:v>
                </c:pt>
                <c:pt idx="204">
                  <c:v>102.94890626764453</c:v>
                </c:pt>
                <c:pt idx="205">
                  <c:v>102.9045792075602</c:v>
                </c:pt>
                <c:pt idx="206">
                  <c:v>102.86031845475705</c:v>
                </c:pt>
                <c:pt idx="207">
                  <c:v>102.81612841104717</c:v>
                </c:pt>
                <c:pt idx="208">
                  <c:v>102.77200907643058</c:v>
                </c:pt>
                <c:pt idx="209">
                  <c:v>102.72796045090726</c:v>
                </c:pt>
                <c:pt idx="210">
                  <c:v>102.68398253447722</c:v>
                </c:pt>
                <c:pt idx="211">
                  <c:v>102.64007532714048</c:v>
                </c:pt>
                <c:pt idx="212">
                  <c:v>102.59623882889703</c:v>
                </c:pt>
                <c:pt idx="213">
                  <c:v>102.55247303974686</c:v>
                </c:pt>
                <c:pt idx="214">
                  <c:v>102.50877795968997</c:v>
                </c:pt>
                <c:pt idx="215">
                  <c:v>102.46515358872635</c:v>
                </c:pt>
                <c:pt idx="216">
                  <c:v>102.42159992685603</c:v>
                </c:pt>
                <c:pt idx="217">
                  <c:v>102.37811697407899</c:v>
                </c:pt>
                <c:pt idx="218">
                  <c:v>102.33470473039523</c:v>
                </c:pt>
                <c:pt idx="219">
                  <c:v>102.29136319580476</c:v>
                </c:pt>
                <c:pt idx="220">
                  <c:v>102.24809237030759</c:v>
                </c:pt>
                <c:pt idx="221">
                  <c:v>102.20489225390369</c:v>
                </c:pt>
                <c:pt idx="222">
                  <c:v>102.16176284659308</c:v>
                </c:pt>
                <c:pt idx="223">
                  <c:v>102.11870414837574</c:v>
                </c:pt>
                <c:pt idx="224">
                  <c:v>102.07571615925168</c:v>
                </c:pt>
                <c:pt idx="225">
                  <c:v>102.03279887922093</c:v>
                </c:pt>
                <c:pt idx="226">
                  <c:v>101.98995230828346</c:v>
                </c:pt>
                <c:pt idx="227">
                  <c:v>101.94717644643927</c:v>
                </c:pt>
                <c:pt idx="228">
                  <c:v>101.90447129368836</c:v>
                </c:pt>
                <c:pt idx="229">
                  <c:v>101.86183685003074</c:v>
                </c:pt>
                <c:pt idx="230">
                  <c:v>101.81927311546639</c:v>
                </c:pt>
                <c:pt idx="231">
                  <c:v>101.77678008999533</c:v>
                </c:pt>
                <c:pt idx="232">
                  <c:v>101.73435777361756</c:v>
                </c:pt>
                <c:pt idx="233">
                  <c:v>101.69200616633309</c:v>
                </c:pt>
                <c:pt idx="234">
                  <c:v>101.64972526814188</c:v>
                </c:pt>
                <c:pt idx="235">
                  <c:v>101.60751507904396</c:v>
                </c:pt>
                <c:pt idx="236">
                  <c:v>101.56537559903933</c:v>
                </c:pt>
                <c:pt idx="237">
                  <c:v>101.52330682812797</c:v>
                </c:pt>
                <c:pt idx="238">
                  <c:v>101.48130876630992</c:v>
                </c:pt>
                <c:pt idx="239">
                  <c:v>101.43938141358515</c:v>
                </c:pt>
                <c:pt idx="240">
                  <c:v>101.39752476995366</c:v>
                </c:pt>
                <c:pt idx="241">
                  <c:v>101.35573883541545</c:v>
                </c:pt>
                <c:pt idx="242">
                  <c:v>101.31403862541504</c:v>
                </c:pt>
                <c:pt idx="243">
                  <c:v>101.27243915539695</c:v>
                </c:pt>
                <c:pt idx="244">
                  <c:v>101.2309404253612</c:v>
                </c:pt>
                <c:pt idx="245">
                  <c:v>101.18954243530776</c:v>
                </c:pt>
                <c:pt idx="246">
                  <c:v>101.14824518523665</c:v>
                </c:pt>
                <c:pt idx="247">
                  <c:v>101.10704867514785</c:v>
                </c:pt>
                <c:pt idx="248">
                  <c:v>101.06595290504139</c:v>
                </c:pt>
                <c:pt idx="249">
                  <c:v>101.02495787491725</c:v>
                </c:pt>
                <c:pt idx="250">
                  <c:v>100.98406358477544</c:v>
                </c:pt>
                <c:pt idx="251">
                  <c:v>100.94327003461596</c:v>
                </c:pt>
                <c:pt idx="252">
                  <c:v>100.9025772244388</c:v>
                </c:pt>
                <c:pt idx="253">
                  <c:v>100.86198515424397</c:v>
                </c:pt>
                <c:pt idx="254">
                  <c:v>100.82149382403146</c:v>
                </c:pt>
                <c:pt idx="255">
                  <c:v>100.78110323380128</c:v>
                </c:pt>
                <c:pt idx="256">
                  <c:v>100.74081338355342</c:v>
                </c:pt>
                <c:pt idx="257">
                  <c:v>100.70062427328787</c:v>
                </c:pt>
                <c:pt idx="258">
                  <c:v>100.66053590300466</c:v>
                </c:pt>
                <c:pt idx="259">
                  <c:v>100.62054827270376</c:v>
                </c:pt>
                <c:pt idx="260">
                  <c:v>100.58066138238519</c:v>
                </c:pt>
                <c:pt idx="261">
                  <c:v>100.54087523204895</c:v>
                </c:pt>
                <c:pt idx="262">
                  <c:v>100.50118982169502</c:v>
                </c:pt>
                <c:pt idx="263">
                  <c:v>100.46160515132343</c:v>
                </c:pt>
                <c:pt idx="264">
                  <c:v>100.42212122093414</c:v>
                </c:pt>
                <c:pt idx="265">
                  <c:v>100.38273803052719</c:v>
                </c:pt>
                <c:pt idx="266">
                  <c:v>100.34345558010256</c:v>
                </c:pt>
                <c:pt idx="267">
                  <c:v>100.30427386966026</c:v>
                </c:pt>
                <c:pt idx="268">
                  <c:v>100.2651928992003</c:v>
                </c:pt>
                <c:pt idx="269">
                  <c:v>100.22621266872265</c:v>
                </c:pt>
                <c:pt idx="270">
                  <c:v>100.18733317822733</c:v>
                </c:pt>
                <c:pt idx="271">
                  <c:v>100.14855442771434</c:v>
                </c:pt>
                <c:pt idx="272">
                  <c:v>100.10987641718367</c:v>
                </c:pt>
                <c:pt idx="273">
                  <c:v>100.07129914663531</c:v>
                </c:pt>
                <c:pt idx="274">
                  <c:v>100.03282261606928</c:v>
                </c:pt>
                <c:pt idx="275">
                  <c:v>99.994446825485582</c:v>
                </c:pt>
                <c:pt idx="276">
                  <c:v>99.956171774884197</c:v>
                </c:pt>
                <c:pt idx="277">
                  <c:v>99.917997464265142</c:v>
                </c:pt>
                <c:pt idx="278">
                  <c:v>99.879923893628415</c:v>
                </c:pt>
                <c:pt idx="279">
                  <c:v>99.841951062974005</c:v>
                </c:pt>
                <c:pt idx="280">
                  <c:v>99.804078972301909</c:v>
                </c:pt>
                <c:pt idx="281">
                  <c:v>99.766307621612142</c:v>
                </c:pt>
                <c:pt idx="282">
                  <c:v>99.728637010904706</c:v>
                </c:pt>
                <c:pt idx="283">
                  <c:v>99.691067140179584</c:v>
                </c:pt>
                <c:pt idx="284">
                  <c:v>99.653580634422426</c:v>
                </c:pt>
                <c:pt idx="285">
                  <c:v>99.616160118618851</c:v>
                </c:pt>
                <c:pt idx="286">
                  <c:v>99.57880559276883</c:v>
                </c:pt>
                <c:pt idx="287">
                  <c:v>99.541517056872422</c:v>
                </c:pt>
                <c:pt idx="288">
                  <c:v>99.504294510929569</c:v>
                </c:pt>
                <c:pt idx="289">
                  <c:v>99.467137954940299</c:v>
                </c:pt>
                <c:pt idx="290">
                  <c:v>99.430047388904612</c:v>
                </c:pt>
                <c:pt idx="291">
                  <c:v>99.393022812822494</c:v>
                </c:pt>
                <c:pt idx="292">
                  <c:v>99.35606422669396</c:v>
                </c:pt>
                <c:pt idx="293">
                  <c:v>99.319171630519008</c:v>
                </c:pt>
                <c:pt idx="294">
                  <c:v>99.282345024297641</c:v>
                </c:pt>
                <c:pt idx="295">
                  <c:v>99.245584408029828</c:v>
                </c:pt>
                <c:pt idx="296">
                  <c:v>99.208889781715612</c:v>
                </c:pt>
                <c:pt idx="297">
                  <c:v>99.172261145354966</c:v>
                </c:pt>
                <c:pt idx="298">
                  <c:v>99.135698498947917</c:v>
                </c:pt>
                <c:pt idx="299">
                  <c:v>99.099201842494423</c:v>
                </c:pt>
                <c:pt idx="300">
                  <c:v>99.062771175994513</c:v>
                </c:pt>
                <c:pt idx="301">
                  <c:v>99.026406499448186</c:v>
                </c:pt>
                <c:pt idx="302">
                  <c:v>98.990107812855442</c:v>
                </c:pt>
                <c:pt idx="303">
                  <c:v>98.953875116216267</c:v>
                </c:pt>
                <c:pt idx="304">
                  <c:v>98.917708409530675</c:v>
                </c:pt>
                <c:pt idx="305">
                  <c:v>98.881607692798653</c:v>
                </c:pt>
                <c:pt idx="306">
                  <c:v>98.845572966020214</c:v>
                </c:pt>
                <c:pt idx="307">
                  <c:v>98.809604229195358</c:v>
                </c:pt>
                <c:pt idx="308">
                  <c:v>98.773701482324086</c:v>
                </c:pt>
                <c:pt idx="309">
                  <c:v>98.737864725406382</c:v>
                </c:pt>
                <c:pt idx="310">
                  <c:v>98.702093958442248</c:v>
                </c:pt>
                <c:pt idx="311">
                  <c:v>98.666389181431697</c:v>
                </c:pt>
                <c:pt idx="312">
                  <c:v>98.630750394374743</c:v>
                </c:pt>
                <c:pt idx="313">
                  <c:v>98.595177597271345</c:v>
                </c:pt>
                <c:pt idx="314">
                  <c:v>98.559670790121544</c:v>
                </c:pt>
                <c:pt idx="315">
                  <c:v>98.524229972925312</c:v>
                </c:pt>
                <c:pt idx="316">
                  <c:v>98.488855145682649</c:v>
                </c:pt>
                <c:pt idx="317">
                  <c:v>98.45354630839357</c:v>
                </c:pt>
                <c:pt idx="318">
                  <c:v>98.418303461058088</c:v>
                </c:pt>
                <c:pt idx="319">
                  <c:v>98.38312660367616</c:v>
                </c:pt>
                <c:pt idx="320">
                  <c:v>98.348015736247817</c:v>
                </c:pt>
                <c:pt idx="321">
                  <c:v>98.312970858773042</c:v>
                </c:pt>
                <c:pt idx="322">
                  <c:v>98.277991971251865</c:v>
                </c:pt>
                <c:pt idx="323">
                  <c:v>98.243079073684271</c:v>
                </c:pt>
                <c:pt idx="324">
                  <c:v>98.208232166070246</c:v>
                </c:pt>
                <c:pt idx="325">
                  <c:v>98.173451248409791</c:v>
                </c:pt>
                <c:pt idx="326">
                  <c:v>98.138735267671734</c:v>
                </c:pt>
                <c:pt idx="327">
                  <c:v>98.104083170824907</c:v>
                </c:pt>
                <c:pt idx="328">
                  <c:v>98.069494957869338</c:v>
                </c:pt>
                <c:pt idx="329">
                  <c:v>98.034970628804984</c:v>
                </c:pt>
                <c:pt idx="330">
                  <c:v>98.000510183631874</c:v>
                </c:pt>
                <c:pt idx="331">
                  <c:v>97.96611362234998</c:v>
                </c:pt>
                <c:pt idx="332">
                  <c:v>97.931780944959314</c:v>
                </c:pt>
                <c:pt idx="333">
                  <c:v>97.897512151459878</c:v>
                </c:pt>
                <c:pt idx="334">
                  <c:v>97.863307241851672</c:v>
                </c:pt>
                <c:pt idx="335">
                  <c:v>97.829166216134695</c:v>
                </c:pt>
                <c:pt idx="336">
                  <c:v>97.795089074308947</c:v>
                </c:pt>
                <c:pt idx="337">
                  <c:v>97.761075816374429</c:v>
                </c:pt>
                <c:pt idx="338">
                  <c:v>97.727126442331141</c:v>
                </c:pt>
                <c:pt idx="339">
                  <c:v>97.693240952179082</c:v>
                </c:pt>
                <c:pt idx="340">
                  <c:v>97.659419345918252</c:v>
                </c:pt>
                <c:pt idx="341">
                  <c:v>97.625661623548666</c:v>
                </c:pt>
                <c:pt idx="342">
                  <c:v>97.59196778507031</c:v>
                </c:pt>
                <c:pt idx="343">
                  <c:v>97.558337830483183</c:v>
                </c:pt>
                <c:pt idx="344">
                  <c:v>97.524771759787271</c:v>
                </c:pt>
                <c:pt idx="345">
                  <c:v>97.491269572982603</c:v>
                </c:pt>
                <c:pt idx="346">
                  <c:v>97.457831270069164</c:v>
                </c:pt>
                <c:pt idx="347">
                  <c:v>97.424456851046941</c:v>
                </c:pt>
                <c:pt idx="348">
                  <c:v>97.391146315915947</c:v>
                </c:pt>
                <c:pt idx="349">
                  <c:v>97.357899664676196</c:v>
                </c:pt>
                <c:pt idx="350">
                  <c:v>97.324716897327662</c:v>
                </c:pt>
                <c:pt idx="351">
                  <c:v>97.29159801387037</c:v>
                </c:pt>
                <c:pt idx="352">
                  <c:v>97.258543014304323</c:v>
                </c:pt>
                <c:pt idx="353">
                  <c:v>97.22555189862949</c:v>
                </c:pt>
                <c:pt idx="354">
                  <c:v>97.192624666845887</c:v>
                </c:pt>
                <c:pt idx="355">
                  <c:v>97.159761318953514</c:v>
                </c:pt>
                <c:pt idx="356">
                  <c:v>97.12696185495237</c:v>
                </c:pt>
                <c:pt idx="357">
                  <c:v>97.094226274842455</c:v>
                </c:pt>
                <c:pt idx="358">
                  <c:v>97.06155457862377</c:v>
                </c:pt>
                <c:pt idx="359">
                  <c:v>97.028946766296315</c:v>
                </c:pt>
                <c:pt idx="360">
                  <c:v>96.996402837860089</c:v>
                </c:pt>
                <c:pt idx="361">
                  <c:v>96.963922793315092</c:v>
                </c:pt>
                <c:pt idx="362">
                  <c:v>96.931506632661325</c:v>
                </c:pt>
                <c:pt idx="363">
                  <c:v>96.899154355898787</c:v>
                </c:pt>
                <c:pt idx="364">
                  <c:v>96.866865963027493</c:v>
                </c:pt>
                <c:pt idx="365">
                  <c:v>96.834641454047429</c:v>
                </c:pt>
                <c:pt idx="366">
                  <c:v>96.802454456377845</c:v>
                </c:pt>
                <c:pt idx="367">
                  <c:v>96.770278597438022</c:v>
                </c:pt>
                <c:pt idx="368">
                  <c:v>96.738113877227946</c:v>
                </c:pt>
                <c:pt idx="369">
                  <c:v>96.705960295747616</c:v>
                </c:pt>
                <c:pt idx="370">
                  <c:v>96.673817852997047</c:v>
                </c:pt>
                <c:pt idx="371">
                  <c:v>96.641686548976224</c:v>
                </c:pt>
                <c:pt idx="372">
                  <c:v>96.609566383685163</c:v>
                </c:pt>
                <c:pt idx="373">
                  <c:v>96.577457357123862</c:v>
                </c:pt>
                <c:pt idx="374">
                  <c:v>96.545359469292308</c:v>
                </c:pt>
                <c:pt idx="375">
                  <c:v>96.5132727201905</c:v>
                </c:pt>
                <c:pt idx="376">
                  <c:v>96.481197109818439</c:v>
                </c:pt>
                <c:pt idx="377">
                  <c:v>96.449132638176138</c:v>
                </c:pt>
                <c:pt idx="378">
                  <c:v>96.417079305263599</c:v>
                </c:pt>
                <c:pt idx="379">
                  <c:v>96.385037111080791</c:v>
                </c:pt>
                <c:pt idx="380">
                  <c:v>96.353006055627745</c:v>
                </c:pt>
                <c:pt idx="381">
                  <c:v>96.321014477143393</c:v>
                </c:pt>
                <c:pt idx="382">
                  <c:v>96.289090713866656</c:v>
                </c:pt>
                <c:pt idx="383">
                  <c:v>96.25723476579752</c:v>
                </c:pt>
                <c:pt idx="384">
                  <c:v>96.225446632935999</c:v>
                </c:pt>
                <c:pt idx="385">
                  <c:v>96.193726315282092</c:v>
                </c:pt>
                <c:pt idx="386">
                  <c:v>96.1620738128358</c:v>
                </c:pt>
                <c:pt idx="387">
                  <c:v>96.130489125597123</c:v>
                </c:pt>
                <c:pt idx="388">
                  <c:v>96.098972253566075</c:v>
                </c:pt>
                <c:pt idx="389">
                  <c:v>96.067523196742613</c:v>
                </c:pt>
                <c:pt idx="390">
                  <c:v>96.03614195512678</c:v>
                </c:pt>
                <c:pt idx="391">
                  <c:v>96.004828528718548</c:v>
                </c:pt>
                <c:pt idx="392">
                  <c:v>95.973582917517945</c:v>
                </c:pt>
                <c:pt idx="393">
                  <c:v>95.942405121524942</c:v>
                </c:pt>
                <c:pt idx="394">
                  <c:v>95.911295140739554</c:v>
                </c:pt>
                <c:pt idx="395">
                  <c:v>95.880252975161795</c:v>
                </c:pt>
                <c:pt idx="396">
                  <c:v>95.849278624791637</c:v>
                </c:pt>
                <c:pt idx="397">
                  <c:v>95.818372089629094</c:v>
                </c:pt>
                <c:pt idx="398">
                  <c:v>95.787533369674165</c:v>
                </c:pt>
                <c:pt idx="399">
                  <c:v>95.756762464926837</c:v>
                </c:pt>
                <c:pt idx="400">
                  <c:v>95.726059375387138</c:v>
                </c:pt>
                <c:pt idx="401">
                  <c:v>95.695446214709705</c:v>
                </c:pt>
                <c:pt idx="402">
                  <c:v>95.664945096549189</c:v>
                </c:pt>
                <c:pt idx="403">
                  <c:v>95.63455602090562</c:v>
                </c:pt>
                <c:pt idx="404">
                  <c:v>95.604278987778969</c:v>
                </c:pt>
                <c:pt idx="405">
                  <c:v>95.574113997169249</c:v>
                </c:pt>
                <c:pt idx="406">
                  <c:v>95.544061049076447</c:v>
                </c:pt>
                <c:pt idx="407">
                  <c:v>95.514120143500563</c:v>
                </c:pt>
                <c:pt idx="408">
                  <c:v>95.484291280441624</c:v>
                </c:pt>
                <c:pt idx="409">
                  <c:v>95.454574459899604</c:v>
                </c:pt>
                <c:pt idx="410">
                  <c:v>95.424969681874501</c:v>
                </c:pt>
                <c:pt idx="411">
                  <c:v>95.395598653369376</c:v>
                </c:pt>
                <c:pt idx="412">
                  <c:v>95.366583081387247</c:v>
                </c:pt>
                <c:pt idx="413">
                  <c:v>95.337922965928115</c:v>
                </c:pt>
                <c:pt idx="414">
                  <c:v>95.309618306991979</c:v>
                </c:pt>
                <c:pt idx="415">
                  <c:v>95.281669104578825</c:v>
                </c:pt>
                <c:pt idx="416">
                  <c:v>95.254075358688681</c:v>
                </c:pt>
                <c:pt idx="417">
                  <c:v>95.226837069321533</c:v>
                </c:pt>
                <c:pt idx="418">
                  <c:v>95.199954236477382</c:v>
                </c:pt>
                <c:pt idx="419">
                  <c:v>95.173426860156226</c:v>
                </c:pt>
                <c:pt idx="420">
                  <c:v>95.147323943150838</c:v>
                </c:pt>
                <c:pt idx="421">
                  <c:v>95.121714488254</c:v>
                </c:pt>
                <c:pt idx="422">
                  <c:v>95.096598495465699</c:v>
                </c:pt>
                <c:pt idx="423">
                  <c:v>95.071975964785935</c:v>
                </c:pt>
                <c:pt idx="424">
                  <c:v>95.047846896214708</c:v>
                </c:pt>
                <c:pt idx="425">
                  <c:v>95.024211289752017</c:v>
                </c:pt>
                <c:pt idx="426">
                  <c:v>95.001069145397864</c:v>
                </c:pt>
                <c:pt idx="427">
                  <c:v>94.978420463152261</c:v>
                </c:pt>
                <c:pt idx="428">
                  <c:v>94.956265243015196</c:v>
                </c:pt>
                <c:pt idx="429">
                  <c:v>94.934603484986681</c:v>
                </c:pt>
                <c:pt idx="430">
                  <c:v>94.913435189066689</c:v>
                </c:pt>
                <c:pt idx="431">
                  <c:v>94.892760355255248</c:v>
                </c:pt>
                <c:pt idx="432">
                  <c:v>94.872689756581693</c:v>
                </c:pt>
                <c:pt idx="433">
                  <c:v>94.853334166075356</c:v>
                </c:pt>
                <c:pt idx="434">
                  <c:v>94.834693583736239</c:v>
                </c:pt>
                <c:pt idx="435">
                  <c:v>94.81676800956437</c:v>
                </c:pt>
                <c:pt idx="436">
                  <c:v>94.799557443559735</c:v>
                </c:pt>
                <c:pt idx="437">
                  <c:v>94.783061885722304</c:v>
                </c:pt>
                <c:pt idx="438">
                  <c:v>94.767281336052108</c:v>
                </c:pt>
                <c:pt idx="439">
                  <c:v>94.752215794549144</c:v>
                </c:pt>
                <c:pt idx="440">
                  <c:v>94.737865261213415</c:v>
                </c:pt>
                <c:pt idx="441">
                  <c:v>94.724229736044904</c:v>
                </c:pt>
                <c:pt idx="442">
                  <c:v>94.711242096283797</c:v>
                </c:pt>
                <c:pt idx="443">
                  <c:v>94.698835219170221</c:v>
                </c:pt>
                <c:pt idx="444">
                  <c:v>94.687009104704188</c:v>
                </c:pt>
                <c:pt idx="445">
                  <c:v>94.675763752885715</c:v>
                </c:pt>
                <c:pt idx="446">
                  <c:v>94.665099163714785</c:v>
                </c:pt>
                <c:pt idx="447">
                  <c:v>94.655015337191386</c:v>
                </c:pt>
                <c:pt idx="448">
                  <c:v>94.645512273315546</c:v>
                </c:pt>
                <c:pt idx="449">
                  <c:v>94.636589972087251</c:v>
                </c:pt>
                <c:pt idx="450">
                  <c:v>94.628248433506485</c:v>
                </c:pt>
                <c:pt idx="451">
                  <c:v>94.620487657573278</c:v>
                </c:pt>
                <c:pt idx="452">
                  <c:v>94.613307644287616</c:v>
                </c:pt>
                <c:pt idx="453">
                  <c:v>94.606612428206248</c:v>
                </c:pt>
                <c:pt idx="454">
                  <c:v>94.600306043885936</c:v>
                </c:pt>
                <c:pt idx="455">
                  <c:v>94.594388491326654</c:v>
                </c:pt>
                <c:pt idx="456">
                  <c:v>94.588859770528416</c:v>
                </c:pt>
                <c:pt idx="457">
                  <c:v>94.583719881491234</c:v>
                </c:pt>
                <c:pt idx="458">
                  <c:v>94.578968824215096</c:v>
                </c:pt>
                <c:pt idx="459">
                  <c:v>94.574606598700001</c:v>
                </c:pt>
                <c:pt idx="460">
                  <c:v>94.570633204945949</c:v>
                </c:pt>
                <c:pt idx="461">
                  <c:v>94.566962338272944</c:v>
                </c:pt>
                <c:pt idx="462">
                  <c:v>94.563507694001032</c:v>
                </c:pt>
                <c:pt idx="463">
                  <c:v>94.560269272130213</c:v>
                </c:pt>
                <c:pt idx="464">
                  <c:v>94.557247072660488</c:v>
                </c:pt>
                <c:pt idx="465">
                  <c:v>94.554441095591841</c:v>
                </c:pt>
                <c:pt idx="466">
                  <c:v>94.55192382457011</c:v>
                </c:pt>
                <c:pt idx="467">
                  <c:v>94.549767743241091</c:v>
                </c:pt>
                <c:pt idx="468">
                  <c:v>94.548779999999766</c:v>
                </c:pt>
                <c:pt idx="469">
                  <c:v>94.548779999999766</c:v>
                </c:pt>
                <c:pt idx="470">
                  <c:v>94.548779999999766</c:v>
                </c:pt>
                <c:pt idx="471">
                  <c:v>94.548779999999766</c:v>
                </c:pt>
                <c:pt idx="472">
                  <c:v>94.548779999999766</c:v>
                </c:pt>
                <c:pt idx="473">
                  <c:v>94.548779999999766</c:v>
                </c:pt>
                <c:pt idx="474">
                  <c:v>94.548779999999766</c:v>
                </c:pt>
                <c:pt idx="475">
                  <c:v>94.548779999999766</c:v>
                </c:pt>
                <c:pt idx="476">
                  <c:v>94.548779999999766</c:v>
                </c:pt>
                <c:pt idx="477">
                  <c:v>94.548779999999766</c:v>
                </c:pt>
                <c:pt idx="478">
                  <c:v>94.548779999999766</c:v>
                </c:pt>
                <c:pt idx="479">
                  <c:v>94.548779999999766</c:v>
                </c:pt>
                <c:pt idx="480">
                  <c:v>94.548779999999766</c:v>
                </c:pt>
                <c:pt idx="481">
                  <c:v>94.548779999999766</c:v>
                </c:pt>
                <c:pt idx="482">
                  <c:v>94.548779999999766</c:v>
                </c:pt>
                <c:pt idx="483">
                  <c:v>94.548779999999766</c:v>
                </c:pt>
                <c:pt idx="484">
                  <c:v>94.548779999999766</c:v>
                </c:pt>
                <c:pt idx="485">
                  <c:v>94.548779999999766</c:v>
                </c:pt>
                <c:pt idx="486">
                  <c:v>94.548779999999766</c:v>
                </c:pt>
                <c:pt idx="487">
                  <c:v>94.548779999999766</c:v>
                </c:pt>
                <c:pt idx="488">
                  <c:v>94.548779999999766</c:v>
                </c:pt>
                <c:pt idx="489">
                  <c:v>94.548779999999766</c:v>
                </c:pt>
                <c:pt idx="490">
                  <c:v>94.548779999999766</c:v>
                </c:pt>
                <c:pt idx="491">
                  <c:v>94.548779999999766</c:v>
                </c:pt>
                <c:pt idx="492">
                  <c:v>94.548779999999766</c:v>
                </c:pt>
                <c:pt idx="493">
                  <c:v>94.548779999999766</c:v>
                </c:pt>
                <c:pt idx="494">
                  <c:v>94.548779999999766</c:v>
                </c:pt>
                <c:pt idx="495">
                  <c:v>94.548779999999766</c:v>
                </c:pt>
                <c:pt idx="496">
                  <c:v>94.548779999999766</c:v>
                </c:pt>
                <c:pt idx="497">
                  <c:v>94.548779999999766</c:v>
                </c:pt>
                <c:pt idx="498">
                  <c:v>94.548779999999766</c:v>
                </c:pt>
                <c:pt idx="499">
                  <c:v>94.548779999999766</c:v>
                </c:pt>
                <c:pt idx="500">
                  <c:v>94.548779999999766</c:v>
                </c:pt>
                <c:pt idx="501">
                  <c:v>94.548779999999766</c:v>
                </c:pt>
                <c:pt idx="502">
                  <c:v>94.548779999999766</c:v>
                </c:pt>
                <c:pt idx="503">
                  <c:v>94.548779999999766</c:v>
                </c:pt>
                <c:pt idx="504">
                  <c:v>94.548779999999766</c:v>
                </c:pt>
                <c:pt idx="505">
                  <c:v>94.548779999999766</c:v>
                </c:pt>
                <c:pt idx="506">
                  <c:v>94.548779999999766</c:v>
                </c:pt>
                <c:pt idx="507">
                  <c:v>94.548779999999766</c:v>
                </c:pt>
                <c:pt idx="508">
                  <c:v>94.548779999999766</c:v>
                </c:pt>
                <c:pt idx="509">
                  <c:v>94.548779999999766</c:v>
                </c:pt>
                <c:pt idx="510">
                  <c:v>94.548779999999766</c:v>
                </c:pt>
                <c:pt idx="511">
                  <c:v>94.548779999999766</c:v>
                </c:pt>
                <c:pt idx="512">
                  <c:v>94.548779999999766</c:v>
                </c:pt>
                <c:pt idx="513">
                  <c:v>94.548779999999766</c:v>
                </c:pt>
                <c:pt idx="514">
                  <c:v>94.548779999999766</c:v>
                </c:pt>
                <c:pt idx="515">
                  <c:v>94.548779999999766</c:v>
                </c:pt>
                <c:pt idx="516">
                  <c:v>94.548779999999766</c:v>
                </c:pt>
                <c:pt idx="517">
                  <c:v>94.548779999999766</c:v>
                </c:pt>
                <c:pt idx="518">
                  <c:v>94.548779999999766</c:v>
                </c:pt>
                <c:pt idx="519">
                  <c:v>94.548779999999766</c:v>
                </c:pt>
                <c:pt idx="520">
                  <c:v>94.548779999999766</c:v>
                </c:pt>
                <c:pt idx="521">
                  <c:v>94.548779999999766</c:v>
                </c:pt>
                <c:pt idx="522">
                  <c:v>94.548779999999766</c:v>
                </c:pt>
                <c:pt idx="523">
                  <c:v>94.548779999999766</c:v>
                </c:pt>
                <c:pt idx="524">
                  <c:v>94.548779999999766</c:v>
                </c:pt>
                <c:pt idx="525">
                  <c:v>94.548779999999766</c:v>
                </c:pt>
                <c:pt idx="526">
                  <c:v>94.548779999999766</c:v>
                </c:pt>
                <c:pt idx="527">
                  <c:v>94.548779999999766</c:v>
                </c:pt>
                <c:pt idx="528">
                  <c:v>94.548779999999766</c:v>
                </c:pt>
                <c:pt idx="529">
                  <c:v>94.548779999999766</c:v>
                </c:pt>
                <c:pt idx="530">
                  <c:v>94.548779999999766</c:v>
                </c:pt>
                <c:pt idx="531">
                  <c:v>94.548779999999766</c:v>
                </c:pt>
                <c:pt idx="532">
                  <c:v>94.548779999999766</c:v>
                </c:pt>
                <c:pt idx="533">
                  <c:v>94.548779999999766</c:v>
                </c:pt>
                <c:pt idx="534">
                  <c:v>94.548779999999766</c:v>
                </c:pt>
                <c:pt idx="535">
                  <c:v>94.548779999999766</c:v>
                </c:pt>
                <c:pt idx="536">
                  <c:v>94.548779999999766</c:v>
                </c:pt>
                <c:pt idx="537">
                  <c:v>94.548779999999766</c:v>
                </c:pt>
                <c:pt idx="538">
                  <c:v>94.548779999999766</c:v>
                </c:pt>
                <c:pt idx="539">
                  <c:v>94.548779999999766</c:v>
                </c:pt>
                <c:pt idx="540">
                  <c:v>94.548779999999766</c:v>
                </c:pt>
                <c:pt idx="541">
                  <c:v>94.548779999999766</c:v>
                </c:pt>
                <c:pt idx="542">
                  <c:v>94.548779999999766</c:v>
                </c:pt>
                <c:pt idx="543">
                  <c:v>94.548779999999766</c:v>
                </c:pt>
                <c:pt idx="544">
                  <c:v>94.548779999999766</c:v>
                </c:pt>
                <c:pt idx="545">
                  <c:v>94.548779999999766</c:v>
                </c:pt>
                <c:pt idx="546">
                  <c:v>94.548779999999766</c:v>
                </c:pt>
                <c:pt idx="547">
                  <c:v>94.548779999999766</c:v>
                </c:pt>
                <c:pt idx="548">
                  <c:v>94.548779999999766</c:v>
                </c:pt>
                <c:pt idx="549">
                  <c:v>94.548779999999766</c:v>
                </c:pt>
                <c:pt idx="550">
                  <c:v>94.548779999999766</c:v>
                </c:pt>
                <c:pt idx="551">
                  <c:v>94.548779999999766</c:v>
                </c:pt>
                <c:pt idx="552">
                  <c:v>94.548779999999766</c:v>
                </c:pt>
                <c:pt idx="553">
                  <c:v>94.548779999999766</c:v>
                </c:pt>
                <c:pt idx="554">
                  <c:v>94.548779999999766</c:v>
                </c:pt>
                <c:pt idx="555">
                  <c:v>94.548779999999766</c:v>
                </c:pt>
                <c:pt idx="556">
                  <c:v>94.548779999999766</c:v>
                </c:pt>
                <c:pt idx="557">
                  <c:v>94.548779999999766</c:v>
                </c:pt>
                <c:pt idx="558">
                  <c:v>94.548779999999766</c:v>
                </c:pt>
                <c:pt idx="559">
                  <c:v>94.548779999999766</c:v>
                </c:pt>
                <c:pt idx="560">
                  <c:v>94.548779999999766</c:v>
                </c:pt>
                <c:pt idx="561">
                  <c:v>94.548779999999766</c:v>
                </c:pt>
                <c:pt idx="562">
                  <c:v>94.548779999999766</c:v>
                </c:pt>
                <c:pt idx="563">
                  <c:v>94.548779999999766</c:v>
                </c:pt>
                <c:pt idx="564">
                  <c:v>94.548779999999766</c:v>
                </c:pt>
                <c:pt idx="565">
                  <c:v>94.548779999999766</c:v>
                </c:pt>
                <c:pt idx="566">
                  <c:v>94.548779999999766</c:v>
                </c:pt>
                <c:pt idx="567">
                  <c:v>94.548779999999766</c:v>
                </c:pt>
                <c:pt idx="568">
                  <c:v>94.548779999999766</c:v>
                </c:pt>
                <c:pt idx="569">
                  <c:v>94.548779999999766</c:v>
                </c:pt>
                <c:pt idx="570">
                  <c:v>94.548779999999766</c:v>
                </c:pt>
                <c:pt idx="571">
                  <c:v>94.548779999999766</c:v>
                </c:pt>
                <c:pt idx="572">
                  <c:v>94.548779999999766</c:v>
                </c:pt>
                <c:pt idx="573">
                  <c:v>94.548779999999766</c:v>
                </c:pt>
                <c:pt idx="574">
                  <c:v>94.548779999999766</c:v>
                </c:pt>
                <c:pt idx="575">
                  <c:v>94.548779999999766</c:v>
                </c:pt>
                <c:pt idx="576">
                  <c:v>94.548779999999766</c:v>
                </c:pt>
                <c:pt idx="577">
                  <c:v>94.548779999999766</c:v>
                </c:pt>
                <c:pt idx="578">
                  <c:v>94.548779999999766</c:v>
                </c:pt>
                <c:pt idx="579">
                  <c:v>94.548779999999766</c:v>
                </c:pt>
                <c:pt idx="580">
                  <c:v>94.548779999999766</c:v>
                </c:pt>
                <c:pt idx="581">
                  <c:v>94.548779999999766</c:v>
                </c:pt>
                <c:pt idx="582">
                  <c:v>94.548779999999766</c:v>
                </c:pt>
                <c:pt idx="583">
                  <c:v>94.548779999999766</c:v>
                </c:pt>
                <c:pt idx="584">
                  <c:v>94.548779999999766</c:v>
                </c:pt>
                <c:pt idx="585">
                  <c:v>94.548779999999766</c:v>
                </c:pt>
                <c:pt idx="586">
                  <c:v>94.548779999999766</c:v>
                </c:pt>
                <c:pt idx="587">
                  <c:v>94.548779999999766</c:v>
                </c:pt>
                <c:pt idx="588">
                  <c:v>94.548779999999766</c:v>
                </c:pt>
                <c:pt idx="589">
                  <c:v>94.548779999999766</c:v>
                </c:pt>
                <c:pt idx="590">
                  <c:v>94.548779999999766</c:v>
                </c:pt>
                <c:pt idx="591">
                  <c:v>94.548779999999766</c:v>
                </c:pt>
                <c:pt idx="592">
                  <c:v>94.548779999999766</c:v>
                </c:pt>
                <c:pt idx="593">
                  <c:v>94.548779999999766</c:v>
                </c:pt>
                <c:pt idx="594">
                  <c:v>94.548779999999766</c:v>
                </c:pt>
                <c:pt idx="595">
                  <c:v>94.548779999999766</c:v>
                </c:pt>
                <c:pt idx="596">
                  <c:v>94.548779999999766</c:v>
                </c:pt>
                <c:pt idx="597">
                  <c:v>94.548779999999766</c:v>
                </c:pt>
                <c:pt idx="598">
                  <c:v>94.548779999999766</c:v>
                </c:pt>
                <c:pt idx="599">
                  <c:v>94.548779999999766</c:v>
                </c:pt>
                <c:pt idx="600">
                  <c:v>94.548779999999766</c:v>
                </c:pt>
                <c:pt idx="601">
                  <c:v>94.548779999999766</c:v>
                </c:pt>
                <c:pt idx="602">
                  <c:v>94.548779999999766</c:v>
                </c:pt>
                <c:pt idx="603">
                  <c:v>94.548779999999766</c:v>
                </c:pt>
                <c:pt idx="604">
                  <c:v>94.548779999999766</c:v>
                </c:pt>
                <c:pt idx="605">
                  <c:v>94.548779999999766</c:v>
                </c:pt>
                <c:pt idx="606">
                  <c:v>94.548779999999766</c:v>
                </c:pt>
                <c:pt idx="607">
                  <c:v>94.548779999999766</c:v>
                </c:pt>
                <c:pt idx="608">
                  <c:v>94.548779999999766</c:v>
                </c:pt>
                <c:pt idx="609">
                  <c:v>94.548779999999766</c:v>
                </c:pt>
                <c:pt idx="610">
                  <c:v>94.548779999999766</c:v>
                </c:pt>
                <c:pt idx="611">
                  <c:v>94.548779999999766</c:v>
                </c:pt>
                <c:pt idx="612">
                  <c:v>94.548779999999766</c:v>
                </c:pt>
                <c:pt idx="613">
                  <c:v>94.548779999999766</c:v>
                </c:pt>
                <c:pt idx="614">
                  <c:v>94.548779999999766</c:v>
                </c:pt>
                <c:pt idx="615">
                  <c:v>94.548779999999766</c:v>
                </c:pt>
                <c:pt idx="616">
                  <c:v>94.548779999999766</c:v>
                </c:pt>
                <c:pt idx="617">
                  <c:v>94.548779999999766</c:v>
                </c:pt>
                <c:pt idx="618">
                  <c:v>94.548779999999766</c:v>
                </c:pt>
                <c:pt idx="619">
                  <c:v>94.548779999999766</c:v>
                </c:pt>
                <c:pt idx="620">
                  <c:v>94.548779999999766</c:v>
                </c:pt>
                <c:pt idx="621">
                  <c:v>94.548779999999766</c:v>
                </c:pt>
                <c:pt idx="622">
                  <c:v>94.548779999999766</c:v>
                </c:pt>
                <c:pt idx="623">
                  <c:v>94.548779999999766</c:v>
                </c:pt>
                <c:pt idx="624">
                  <c:v>94.548779999999766</c:v>
                </c:pt>
                <c:pt idx="625">
                  <c:v>94.548779999999766</c:v>
                </c:pt>
                <c:pt idx="626">
                  <c:v>94.548779999999766</c:v>
                </c:pt>
                <c:pt idx="627">
                  <c:v>94.548779999999766</c:v>
                </c:pt>
                <c:pt idx="628">
                  <c:v>94.548779999999766</c:v>
                </c:pt>
                <c:pt idx="629">
                  <c:v>94.548779999999766</c:v>
                </c:pt>
                <c:pt idx="630">
                  <c:v>94.548779999999766</c:v>
                </c:pt>
                <c:pt idx="631">
                  <c:v>94.548779999999766</c:v>
                </c:pt>
                <c:pt idx="632">
                  <c:v>94.548779999999766</c:v>
                </c:pt>
                <c:pt idx="633">
                  <c:v>94.548779999999766</c:v>
                </c:pt>
                <c:pt idx="634">
                  <c:v>94.548779999999766</c:v>
                </c:pt>
                <c:pt idx="635">
                  <c:v>94.548779999999766</c:v>
                </c:pt>
                <c:pt idx="636">
                  <c:v>94.548779999999766</c:v>
                </c:pt>
                <c:pt idx="637">
                  <c:v>94.548779999999766</c:v>
                </c:pt>
                <c:pt idx="638">
                  <c:v>94.548779999999766</c:v>
                </c:pt>
                <c:pt idx="639">
                  <c:v>94.548779999999766</c:v>
                </c:pt>
                <c:pt idx="640">
                  <c:v>94.548779999999766</c:v>
                </c:pt>
                <c:pt idx="641">
                  <c:v>94.548779999999766</c:v>
                </c:pt>
                <c:pt idx="642">
                  <c:v>94.548779999999766</c:v>
                </c:pt>
                <c:pt idx="643">
                  <c:v>94.548779999999766</c:v>
                </c:pt>
                <c:pt idx="644">
                  <c:v>94.548779999999766</c:v>
                </c:pt>
                <c:pt idx="645">
                  <c:v>94.548779999999766</c:v>
                </c:pt>
                <c:pt idx="646">
                  <c:v>94.548779999999766</c:v>
                </c:pt>
                <c:pt idx="647">
                  <c:v>94.548779999999766</c:v>
                </c:pt>
                <c:pt idx="648">
                  <c:v>94.548779999999766</c:v>
                </c:pt>
                <c:pt idx="649">
                  <c:v>94.548779999999766</c:v>
                </c:pt>
                <c:pt idx="650">
                  <c:v>94.548779999999766</c:v>
                </c:pt>
                <c:pt idx="651">
                  <c:v>94.548779999999766</c:v>
                </c:pt>
                <c:pt idx="652">
                  <c:v>94.548779999999766</c:v>
                </c:pt>
                <c:pt idx="653">
                  <c:v>94.548779999999766</c:v>
                </c:pt>
                <c:pt idx="654">
                  <c:v>94.548779999999766</c:v>
                </c:pt>
                <c:pt idx="655">
                  <c:v>94.548779999999766</c:v>
                </c:pt>
                <c:pt idx="656">
                  <c:v>94.548779999999766</c:v>
                </c:pt>
                <c:pt idx="657">
                  <c:v>94.548779999999766</c:v>
                </c:pt>
                <c:pt idx="658">
                  <c:v>94.548779999999766</c:v>
                </c:pt>
                <c:pt idx="659">
                  <c:v>94.548779999999766</c:v>
                </c:pt>
                <c:pt idx="660">
                  <c:v>94.548779999999766</c:v>
                </c:pt>
                <c:pt idx="661">
                  <c:v>94.548779999999766</c:v>
                </c:pt>
                <c:pt idx="662">
                  <c:v>94.548779999999766</c:v>
                </c:pt>
                <c:pt idx="663">
                  <c:v>94.548779999999766</c:v>
                </c:pt>
                <c:pt idx="664">
                  <c:v>94.548779999999766</c:v>
                </c:pt>
                <c:pt idx="665">
                  <c:v>94.548779999999766</c:v>
                </c:pt>
                <c:pt idx="666">
                  <c:v>94.548779999999766</c:v>
                </c:pt>
                <c:pt idx="667">
                  <c:v>94.548779999999766</c:v>
                </c:pt>
                <c:pt idx="668">
                  <c:v>94.548779999999766</c:v>
                </c:pt>
                <c:pt idx="669">
                  <c:v>94.548779999999766</c:v>
                </c:pt>
                <c:pt idx="670">
                  <c:v>94.548779999999766</c:v>
                </c:pt>
                <c:pt idx="671">
                  <c:v>94.548779999999766</c:v>
                </c:pt>
                <c:pt idx="672">
                  <c:v>94.548779999999766</c:v>
                </c:pt>
                <c:pt idx="673">
                  <c:v>94.548779999999766</c:v>
                </c:pt>
                <c:pt idx="674">
                  <c:v>94.548779999999766</c:v>
                </c:pt>
                <c:pt idx="675">
                  <c:v>94.548779999999766</c:v>
                </c:pt>
                <c:pt idx="676">
                  <c:v>94.548779999999766</c:v>
                </c:pt>
                <c:pt idx="677">
                  <c:v>94.548779999999766</c:v>
                </c:pt>
                <c:pt idx="678">
                  <c:v>94.548779999999766</c:v>
                </c:pt>
                <c:pt idx="679">
                  <c:v>94.548779999999766</c:v>
                </c:pt>
                <c:pt idx="680">
                  <c:v>94.548779999999766</c:v>
                </c:pt>
                <c:pt idx="681">
                  <c:v>94.548779999999766</c:v>
                </c:pt>
                <c:pt idx="682">
                  <c:v>94.548779999999766</c:v>
                </c:pt>
                <c:pt idx="683">
                  <c:v>94.548779999999766</c:v>
                </c:pt>
                <c:pt idx="684">
                  <c:v>94.548779999999766</c:v>
                </c:pt>
                <c:pt idx="685">
                  <c:v>94.548779999999766</c:v>
                </c:pt>
                <c:pt idx="686">
                  <c:v>94.548779999999766</c:v>
                </c:pt>
                <c:pt idx="687">
                  <c:v>94.548779999999766</c:v>
                </c:pt>
                <c:pt idx="688">
                  <c:v>94.548779999999766</c:v>
                </c:pt>
                <c:pt idx="689">
                  <c:v>94.548779999999766</c:v>
                </c:pt>
                <c:pt idx="690">
                  <c:v>94.548779999999766</c:v>
                </c:pt>
                <c:pt idx="691">
                  <c:v>94.548779999999766</c:v>
                </c:pt>
                <c:pt idx="692">
                  <c:v>94.548779999999766</c:v>
                </c:pt>
                <c:pt idx="693">
                  <c:v>94.548779999999766</c:v>
                </c:pt>
                <c:pt idx="694">
                  <c:v>94.548779999999766</c:v>
                </c:pt>
                <c:pt idx="695">
                  <c:v>94.548779999999766</c:v>
                </c:pt>
                <c:pt idx="696">
                  <c:v>94.548779999999766</c:v>
                </c:pt>
                <c:pt idx="697">
                  <c:v>94.548779999999766</c:v>
                </c:pt>
                <c:pt idx="698">
                  <c:v>94.548779999999766</c:v>
                </c:pt>
                <c:pt idx="699">
                  <c:v>94.548779999999766</c:v>
                </c:pt>
                <c:pt idx="700">
                  <c:v>94.548779999999766</c:v>
                </c:pt>
                <c:pt idx="701">
                  <c:v>94.548779999999766</c:v>
                </c:pt>
                <c:pt idx="702">
                  <c:v>94.548779999999766</c:v>
                </c:pt>
                <c:pt idx="703">
                  <c:v>94.548779999999766</c:v>
                </c:pt>
                <c:pt idx="704">
                  <c:v>94.548779999999766</c:v>
                </c:pt>
                <c:pt idx="705">
                  <c:v>94.548779999999766</c:v>
                </c:pt>
                <c:pt idx="706">
                  <c:v>94.548779999999766</c:v>
                </c:pt>
                <c:pt idx="707">
                  <c:v>94.548779999999766</c:v>
                </c:pt>
                <c:pt idx="708">
                  <c:v>94.548779999999766</c:v>
                </c:pt>
                <c:pt idx="709">
                  <c:v>94.548779999999766</c:v>
                </c:pt>
                <c:pt idx="710">
                  <c:v>94.548779999999766</c:v>
                </c:pt>
                <c:pt idx="711">
                  <c:v>94.548779999999766</c:v>
                </c:pt>
                <c:pt idx="712">
                  <c:v>94.548779999999766</c:v>
                </c:pt>
                <c:pt idx="713">
                  <c:v>94.548779999999766</c:v>
                </c:pt>
                <c:pt idx="714">
                  <c:v>94.548779999999766</c:v>
                </c:pt>
                <c:pt idx="715">
                  <c:v>94.548779999999766</c:v>
                </c:pt>
                <c:pt idx="716">
                  <c:v>94.548779999999766</c:v>
                </c:pt>
                <c:pt idx="717">
                  <c:v>94.548779999999766</c:v>
                </c:pt>
                <c:pt idx="718">
                  <c:v>94.548779999999766</c:v>
                </c:pt>
                <c:pt idx="719">
                  <c:v>94.548779999999766</c:v>
                </c:pt>
                <c:pt idx="720">
                  <c:v>94.548779999999766</c:v>
                </c:pt>
                <c:pt idx="721">
                  <c:v>94.548779999999766</c:v>
                </c:pt>
                <c:pt idx="722">
                  <c:v>94.548779999999766</c:v>
                </c:pt>
                <c:pt idx="723">
                  <c:v>94.548779999999766</c:v>
                </c:pt>
                <c:pt idx="724">
                  <c:v>94.548779999999766</c:v>
                </c:pt>
                <c:pt idx="725">
                  <c:v>94.548779999999766</c:v>
                </c:pt>
                <c:pt idx="726">
                  <c:v>94.548779999999766</c:v>
                </c:pt>
                <c:pt idx="727">
                  <c:v>94.548779999999766</c:v>
                </c:pt>
                <c:pt idx="728">
                  <c:v>94.548779999999766</c:v>
                </c:pt>
                <c:pt idx="729">
                  <c:v>94.548779999999766</c:v>
                </c:pt>
                <c:pt idx="730">
                  <c:v>94.548779999999766</c:v>
                </c:pt>
                <c:pt idx="731">
                  <c:v>94.548779999999766</c:v>
                </c:pt>
                <c:pt idx="732">
                  <c:v>94.548779999999766</c:v>
                </c:pt>
                <c:pt idx="733">
                  <c:v>94.548779999999766</c:v>
                </c:pt>
                <c:pt idx="734">
                  <c:v>94.548779999999766</c:v>
                </c:pt>
                <c:pt idx="735">
                  <c:v>94.548779999999766</c:v>
                </c:pt>
                <c:pt idx="736">
                  <c:v>94.548779999999766</c:v>
                </c:pt>
                <c:pt idx="737">
                  <c:v>94.548779999999766</c:v>
                </c:pt>
                <c:pt idx="738">
                  <c:v>94.548779999999766</c:v>
                </c:pt>
                <c:pt idx="739">
                  <c:v>94.548779999999766</c:v>
                </c:pt>
                <c:pt idx="740">
                  <c:v>94.548779999999766</c:v>
                </c:pt>
                <c:pt idx="741">
                  <c:v>94.548779999999766</c:v>
                </c:pt>
                <c:pt idx="742">
                  <c:v>94.548779999999766</c:v>
                </c:pt>
                <c:pt idx="743">
                  <c:v>94.548779999999766</c:v>
                </c:pt>
                <c:pt idx="744">
                  <c:v>94.548779999999766</c:v>
                </c:pt>
                <c:pt idx="745">
                  <c:v>94.548779999999766</c:v>
                </c:pt>
                <c:pt idx="746">
                  <c:v>94.548779999999766</c:v>
                </c:pt>
                <c:pt idx="747">
                  <c:v>94.548779999999766</c:v>
                </c:pt>
                <c:pt idx="748">
                  <c:v>94.548779999999766</c:v>
                </c:pt>
                <c:pt idx="749">
                  <c:v>94.548779999999766</c:v>
                </c:pt>
                <c:pt idx="750">
                  <c:v>94.548779999999766</c:v>
                </c:pt>
                <c:pt idx="751">
                  <c:v>94.548779999999766</c:v>
                </c:pt>
                <c:pt idx="752">
                  <c:v>94.548779999999766</c:v>
                </c:pt>
                <c:pt idx="753">
                  <c:v>94.548779999999766</c:v>
                </c:pt>
                <c:pt idx="754">
                  <c:v>94.548779999999766</c:v>
                </c:pt>
                <c:pt idx="755">
                  <c:v>94.548779999999766</c:v>
                </c:pt>
                <c:pt idx="756">
                  <c:v>94.548779999999766</c:v>
                </c:pt>
                <c:pt idx="757">
                  <c:v>94.548779999999766</c:v>
                </c:pt>
                <c:pt idx="758">
                  <c:v>94.548779999999766</c:v>
                </c:pt>
                <c:pt idx="759">
                  <c:v>94.548779999999766</c:v>
                </c:pt>
                <c:pt idx="760">
                  <c:v>94.548779999999766</c:v>
                </c:pt>
                <c:pt idx="761">
                  <c:v>94.548779999999766</c:v>
                </c:pt>
                <c:pt idx="762">
                  <c:v>94.548779999999766</c:v>
                </c:pt>
                <c:pt idx="763">
                  <c:v>94.548779999999766</c:v>
                </c:pt>
                <c:pt idx="764">
                  <c:v>94.548779999999766</c:v>
                </c:pt>
                <c:pt idx="765">
                  <c:v>94.548779999999766</c:v>
                </c:pt>
                <c:pt idx="766">
                  <c:v>94.548779999999766</c:v>
                </c:pt>
                <c:pt idx="767">
                  <c:v>94.548779999999766</c:v>
                </c:pt>
                <c:pt idx="768">
                  <c:v>94.548779999999766</c:v>
                </c:pt>
                <c:pt idx="769">
                  <c:v>94.548779999999766</c:v>
                </c:pt>
                <c:pt idx="770">
                  <c:v>94.548779999999766</c:v>
                </c:pt>
                <c:pt idx="771">
                  <c:v>94.548779999999766</c:v>
                </c:pt>
                <c:pt idx="772">
                  <c:v>94.548779999999766</c:v>
                </c:pt>
                <c:pt idx="773">
                  <c:v>94.548779999999766</c:v>
                </c:pt>
                <c:pt idx="774">
                  <c:v>94.548779999999766</c:v>
                </c:pt>
                <c:pt idx="775">
                  <c:v>94.548779999999766</c:v>
                </c:pt>
                <c:pt idx="776">
                  <c:v>94.548779999999766</c:v>
                </c:pt>
                <c:pt idx="777">
                  <c:v>94.548779999999766</c:v>
                </c:pt>
                <c:pt idx="778">
                  <c:v>94.548779999999766</c:v>
                </c:pt>
                <c:pt idx="779">
                  <c:v>94.548779999999766</c:v>
                </c:pt>
                <c:pt idx="780">
                  <c:v>94.548779999999766</c:v>
                </c:pt>
                <c:pt idx="781">
                  <c:v>94.548779999999766</c:v>
                </c:pt>
                <c:pt idx="782">
                  <c:v>94.548779999999766</c:v>
                </c:pt>
                <c:pt idx="783">
                  <c:v>94.548779999999766</c:v>
                </c:pt>
                <c:pt idx="784">
                  <c:v>94.548779999999766</c:v>
                </c:pt>
                <c:pt idx="785">
                  <c:v>94.548779999999766</c:v>
                </c:pt>
                <c:pt idx="786">
                  <c:v>94.548779999999766</c:v>
                </c:pt>
                <c:pt idx="787">
                  <c:v>94.548779999999766</c:v>
                </c:pt>
                <c:pt idx="788">
                  <c:v>94.548779999999766</c:v>
                </c:pt>
                <c:pt idx="789">
                  <c:v>94.548779999999766</c:v>
                </c:pt>
                <c:pt idx="790">
                  <c:v>94.548779999999766</c:v>
                </c:pt>
                <c:pt idx="791">
                  <c:v>94.548779999999766</c:v>
                </c:pt>
                <c:pt idx="792">
                  <c:v>94.548779999999766</c:v>
                </c:pt>
                <c:pt idx="793">
                  <c:v>94.548779999999766</c:v>
                </c:pt>
                <c:pt idx="794">
                  <c:v>94.548779999999766</c:v>
                </c:pt>
                <c:pt idx="795">
                  <c:v>94.548779999999766</c:v>
                </c:pt>
                <c:pt idx="796">
                  <c:v>94.548779999999766</c:v>
                </c:pt>
                <c:pt idx="797">
                  <c:v>94.548779999999766</c:v>
                </c:pt>
                <c:pt idx="798">
                  <c:v>94.548779999999766</c:v>
                </c:pt>
                <c:pt idx="799">
                  <c:v>94.548779999999766</c:v>
                </c:pt>
                <c:pt idx="800">
                  <c:v>94.548779999999766</c:v>
                </c:pt>
                <c:pt idx="801">
                  <c:v>94.548779999999766</c:v>
                </c:pt>
                <c:pt idx="802">
                  <c:v>94.548779999999766</c:v>
                </c:pt>
                <c:pt idx="803">
                  <c:v>94.548779999999766</c:v>
                </c:pt>
                <c:pt idx="804">
                  <c:v>94.548779999999766</c:v>
                </c:pt>
                <c:pt idx="805">
                  <c:v>94.548779999999766</c:v>
                </c:pt>
                <c:pt idx="806">
                  <c:v>94.548779999999766</c:v>
                </c:pt>
                <c:pt idx="807">
                  <c:v>94.548779999999766</c:v>
                </c:pt>
                <c:pt idx="808">
                  <c:v>94.548779999999766</c:v>
                </c:pt>
                <c:pt idx="809">
                  <c:v>94.548779999999766</c:v>
                </c:pt>
                <c:pt idx="810">
                  <c:v>94.548779999999766</c:v>
                </c:pt>
                <c:pt idx="811">
                  <c:v>94.548779999999766</c:v>
                </c:pt>
                <c:pt idx="812">
                  <c:v>94.548779999999766</c:v>
                </c:pt>
                <c:pt idx="813">
                  <c:v>94.548779999999766</c:v>
                </c:pt>
                <c:pt idx="814">
                  <c:v>94.548779999999766</c:v>
                </c:pt>
                <c:pt idx="815">
                  <c:v>94.548779999999766</c:v>
                </c:pt>
                <c:pt idx="816">
                  <c:v>94.548779999999766</c:v>
                </c:pt>
                <c:pt idx="817">
                  <c:v>94.548779999999766</c:v>
                </c:pt>
                <c:pt idx="818">
                  <c:v>94.548779999999766</c:v>
                </c:pt>
                <c:pt idx="819">
                  <c:v>94.548779999999766</c:v>
                </c:pt>
                <c:pt idx="820">
                  <c:v>94.548779999999766</c:v>
                </c:pt>
                <c:pt idx="821">
                  <c:v>94.548779999999766</c:v>
                </c:pt>
                <c:pt idx="822">
                  <c:v>94.548779999999766</c:v>
                </c:pt>
                <c:pt idx="823">
                  <c:v>94.548779999999766</c:v>
                </c:pt>
                <c:pt idx="824">
                  <c:v>94.548779999999766</c:v>
                </c:pt>
                <c:pt idx="825">
                  <c:v>94.548779999999766</c:v>
                </c:pt>
                <c:pt idx="826">
                  <c:v>94.548779999999766</c:v>
                </c:pt>
                <c:pt idx="827">
                  <c:v>94.548779999999766</c:v>
                </c:pt>
                <c:pt idx="828">
                  <c:v>94.548779999999766</c:v>
                </c:pt>
                <c:pt idx="829">
                  <c:v>94.548779999999766</c:v>
                </c:pt>
                <c:pt idx="830">
                  <c:v>94.548779999999766</c:v>
                </c:pt>
                <c:pt idx="831">
                  <c:v>94.548779999999766</c:v>
                </c:pt>
                <c:pt idx="832">
                  <c:v>94.548779999999766</c:v>
                </c:pt>
                <c:pt idx="833">
                  <c:v>94.548779999999766</c:v>
                </c:pt>
                <c:pt idx="834">
                  <c:v>94.548779999999766</c:v>
                </c:pt>
                <c:pt idx="835">
                  <c:v>94.548779999999766</c:v>
                </c:pt>
                <c:pt idx="836">
                  <c:v>94.548779999999766</c:v>
                </c:pt>
                <c:pt idx="837">
                  <c:v>94.548779999999766</c:v>
                </c:pt>
                <c:pt idx="838">
                  <c:v>94.548779999999766</c:v>
                </c:pt>
                <c:pt idx="839">
                  <c:v>94.548779999999766</c:v>
                </c:pt>
                <c:pt idx="840">
                  <c:v>94.548779999999766</c:v>
                </c:pt>
                <c:pt idx="841">
                  <c:v>94.548779999999766</c:v>
                </c:pt>
                <c:pt idx="842">
                  <c:v>94.548779999999766</c:v>
                </c:pt>
                <c:pt idx="843">
                  <c:v>94.548779999999766</c:v>
                </c:pt>
                <c:pt idx="844">
                  <c:v>94.548779999999766</c:v>
                </c:pt>
                <c:pt idx="845">
                  <c:v>94.548779999999766</c:v>
                </c:pt>
                <c:pt idx="846">
                  <c:v>94.548779999999766</c:v>
                </c:pt>
                <c:pt idx="847">
                  <c:v>94.548779999999766</c:v>
                </c:pt>
                <c:pt idx="848">
                  <c:v>94.548779999999766</c:v>
                </c:pt>
                <c:pt idx="849">
                  <c:v>94.548779999999766</c:v>
                </c:pt>
                <c:pt idx="850">
                  <c:v>94.548779999999766</c:v>
                </c:pt>
                <c:pt idx="851">
                  <c:v>94.548779999999766</c:v>
                </c:pt>
                <c:pt idx="852">
                  <c:v>94.548779999999766</c:v>
                </c:pt>
                <c:pt idx="853">
                  <c:v>94.548779999999766</c:v>
                </c:pt>
                <c:pt idx="854">
                  <c:v>94.548779999999766</c:v>
                </c:pt>
                <c:pt idx="855">
                  <c:v>94.548779999999766</c:v>
                </c:pt>
                <c:pt idx="856">
                  <c:v>94.548779999999766</c:v>
                </c:pt>
                <c:pt idx="857">
                  <c:v>94.548779999999766</c:v>
                </c:pt>
                <c:pt idx="858">
                  <c:v>94.548779999999766</c:v>
                </c:pt>
                <c:pt idx="859">
                  <c:v>94.548779999999766</c:v>
                </c:pt>
                <c:pt idx="860">
                  <c:v>94.548779999999766</c:v>
                </c:pt>
                <c:pt idx="861">
                  <c:v>94.548779999999766</c:v>
                </c:pt>
                <c:pt idx="862">
                  <c:v>94.548779999999766</c:v>
                </c:pt>
                <c:pt idx="863">
                  <c:v>94.548779999999766</c:v>
                </c:pt>
                <c:pt idx="864">
                  <c:v>94.548779999999766</c:v>
                </c:pt>
                <c:pt idx="865">
                  <c:v>94.548779999999766</c:v>
                </c:pt>
                <c:pt idx="866">
                  <c:v>94.548779999999766</c:v>
                </c:pt>
                <c:pt idx="867">
                  <c:v>94.548779999999766</c:v>
                </c:pt>
                <c:pt idx="868">
                  <c:v>94.548779999999766</c:v>
                </c:pt>
                <c:pt idx="869">
                  <c:v>94.548779999999766</c:v>
                </c:pt>
                <c:pt idx="870">
                  <c:v>94.548779999999766</c:v>
                </c:pt>
                <c:pt idx="871">
                  <c:v>94.548779999999766</c:v>
                </c:pt>
                <c:pt idx="872">
                  <c:v>94.548779999999766</c:v>
                </c:pt>
                <c:pt idx="873">
                  <c:v>94.548779999999766</c:v>
                </c:pt>
                <c:pt idx="874">
                  <c:v>94.548779999999766</c:v>
                </c:pt>
                <c:pt idx="875">
                  <c:v>94.548779999999766</c:v>
                </c:pt>
                <c:pt idx="876">
                  <c:v>94.548779999999766</c:v>
                </c:pt>
                <c:pt idx="877">
                  <c:v>94.548779999999766</c:v>
                </c:pt>
                <c:pt idx="878">
                  <c:v>94.548779999999766</c:v>
                </c:pt>
                <c:pt idx="879">
                  <c:v>94.548779999999766</c:v>
                </c:pt>
                <c:pt idx="880">
                  <c:v>94.548779999999766</c:v>
                </c:pt>
                <c:pt idx="881">
                  <c:v>94.548779999999766</c:v>
                </c:pt>
                <c:pt idx="882">
                  <c:v>94.548779999999766</c:v>
                </c:pt>
                <c:pt idx="883">
                  <c:v>94.548779999999766</c:v>
                </c:pt>
                <c:pt idx="884">
                  <c:v>94.548779999999766</c:v>
                </c:pt>
                <c:pt idx="885">
                  <c:v>94.548779999999766</c:v>
                </c:pt>
                <c:pt idx="886">
                  <c:v>94.548779999999766</c:v>
                </c:pt>
                <c:pt idx="887">
                  <c:v>94.548779999999766</c:v>
                </c:pt>
                <c:pt idx="888">
                  <c:v>94.548779999999766</c:v>
                </c:pt>
                <c:pt idx="889">
                  <c:v>94.548779999999766</c:v>
                </c:pt>
                <c:pt idx="890">
                  <c:v>94.548779999999766</c:v>
                </c:pt>
                <c:pt idx="891">
                  <c:v>94.548779999999766</c:v>
                </c:pt>
                <c:pt idx="892">
                  <c:v>94.548779999999766</c:v>
                </c:pt>
                <c:pt idx="893">
                  <c:v>94.548779999999766</c:v>
                </c:pt>
                <c:pt idx="894">
                  <c:v>94.548779999999766</c:v>
                </c:pt>
                <c:pt idx="895">
                  <c:v>94.548779999999766</c:v>
                </c:pt>
                <c:pt idx="896">
                  <c:v>94.548779999999766</c:v>
                </c:pt>
                <c:pt idx="897">
                  <c:v>94.548779999999766</c:v>
                </c:pt>
                <c:pt idx="898">
                  <c:v>94.548779999999766</c:v>
                </c:pt>
                <c:pt idx="899">
                  <c:v>94.548779999999766</c:v>
                </c:pt>
                <c:pt idx="900">
                  <c:v>94.548779999999766</c:v>
                </c:pt>
                <c:pt idx="901">
                  <c:v>94.548779999999766</c:v>
                </c:pt>
                <c:pt idx="902">
                  <c:v>94.548779999999766</c:v>
                </c:pt>
                <c:pt idx="903">
                  <c:v>94.548779999999766</c:v>
                </c:pt>
                <c:pt idx="904">
                  <c:v>94.548779999999766</c:v>
                </c:pt>
                <c:pt idx="905">
                  <c:v>94.548779999999766</c:v>
                </c:pt>
                <c:pt idx="906">
                  <c:v>94.548779999999766</c:v>
                </c:pt>
                <c:pt idx="907">
                  <c:v>94.548779999999766</c:v>
                </c:pt>
                <c:pt idx="908">
                  <c:v>94.548779999999766</c:v>
                </c:pt>
                <c:pt idx="909">
                  <c:v>94.548779999999766</c:v>
                </c:pt>
                <c:pt idx="910">
                  <c:v>94.548779999999766</c:v>
                </c:pt>
                <c:pt idx="911">
                  <c:v>94.548779999999766</c:v>
                </c:pt>
                <c:pt idx="912">
                  <c:v>94.548779999999766</c:v>
                </c:pt>
                <c:pt idx="913">
                  <c:v>94.548779999999766</c:v>
                </c:pt>
                <c:pt idx="914">
                  <c:v>94.548779999999766</c:v>
                </c:pt>
                <c:pt idx="915">
                  <c:v>94.548779999999766</c:v>
                </c:pt>
                <c:pt idx="916">
                  <c:v>94.548779999999766</c:v>
                </c:pt>
                <c:pt idx="917">
                  <c:v>94.548779999999766</c:v>
                </c:pt>
                <c:pt idx="918">
                  <c:v>94.548779999999766</c:v>
                </c:pt>
                <c:pt idx="919">
                  <c:v>94.548779999999766</c:v>
                </c:pt>
                <c:pt idx="920">
                  <c:v>94.548779999999766</c:v>
                </c:pt>
                <c:pt idx="921">
                  <c:v>94.548779999999766</c:v>
                </c:pt>
                <c:pt idx="922">
                  <c:v>94.548779999999766</c:v>
                </c:pt>
                <c:pt idx="923">
                  <c:v>94.548779999999766</c:v>
                </c:pt>
                <c:pt idx="924">
                  <c:v>94.548779999999766</c:v>
                </c:pt>
                <c:pt idx="925">
                  <c:v>94.548779999999766</c:v>
                </c:pt>
                <c:pt idx="926">
                  <c:v>94.548779999999766</c:v>
                </c:pt>
                <c:pt idx="927">
                  <c:v>94.548779999999766</c:v>
                </c:pt>
                <c:pt idx="928">
                  <c:v>94.548779999999766</c:v>
                </c:pt>
                <c:pt idx="929">
                  <c:v>94.548779999999766</c:v>
                </c:pt>
                <c:pt idx="930">
                  <c:v>94.548779999999766</c:v>
                </c:pt>
                <c:pt idx="931">
                  <c:v>94.548779999999766</c:v>
                </c:pt>
                <c:pt idx="932">
                  <c:v>94.548779999999766</c:v>
                </c:pt>
                <c:pt idx="933">
                  <c:v>94.548779999999766</c:v>
                </c:pt>
                <c:pt idx="934">
                  <c:v>94.548779999999766</c:v>
                </c:pt>
                <c:pt idx="935">
                  <c:v>94.548779999999766</c:v>
                </c:pt>
                <c:pt idx="936">
                  <c:v>94.548779999999766</c:v>
                </c:pt>
                <c:pt idx="937">
                  <c:v>94.548779999999766</c:v>
                </c:pt>
                <c:pt idx="938">
                  <c:v>94.548779999999766</c:v>
                </c:pt>
                <c:pt idx="939">
                  <c:v>94.548779999999766</c:v>
                </c:pt>
                <c:pt idx="940">
                  <c:v>94.548779999999766</c:v>
                </c:pt>
                <c:pt idx="941">
                  <c:v>94.548779999999766</c:v>
                </c:pt>
                <c:pt idx="942">
                  <c:v>94.548779999999766</c:v>
                </c:pt>
                <c:pt idx="943">
                  <c:v>94.548779999999766</c:v>
                </c:pt>
                <c:pt idx="944">
                  <c:v>94.548779999999766</c:v>
                </c:pt>
                <c:pt idx="945">
                  <c:v>94.548779999999766</c:v>
                </c:pt>
                <c:pt idx="946">
                  <c:v>94.548779999999766</c:v>
                </c:pt>
                <c:pt idx="947">
                  <c:v>94.548779999999766</c:v>
                </c:pt>
                <c:pt idx="948">
                  <c:v>94.548779999999766</c:v>
                </c:pt>
                <c:pt idx="949">
                  <c:v>94.548779999999766</c:v>
                </c:pt>
                <c:pt idx="950">
                  <c:v>94.548779999999766</c:v>
                </c:pt>
                <c:pt idx="951">
                  <c:v>94.548779999999766</c:v>
                </c:pt>
                <c:pt idx="952">
                  <c:v>94.548779999999766</c:v>
                </c:pt>
                <c:pt idx="953">
                  <c:v>94.548779999999766</c:v>
                </c:pt>
                <c:pt idx="954">
                  <c:v>94.548779999999766</c:v>
                </c:pt>
                <c:pt idx="955">
                  <c:v>94.548779999999766</c:v>
                </c:pt>
                <c:pt idx="956">
                  <c:v>94.548779999999766</c:v>
                </c:pt>
                <c:pt idx="957">
                  <c:v>94.548779999999766</c:v>
                </c:pt>
                <c:pt idx="958">
                  <c:v>94.548779999999766</c:v>
                </c:pt>
                <c:pt idx="959">
                  <c:v>94.548779999999766</c:v>
                </c:pt>
                <c:pt idx="960">
                  <c:v>94.548779999999766</c:v>
                </c:pt>
                <c:pt idx="961">
                  <c:v>94.548779999999766</c:v>
                </c:pt>
                <c:pt idx="962">
                  <c:v>94.548779999999766</c:v>
                </c:pt>
                <c:pt idx="963">
                  <c:v>94.548779999999766</c:v>
                </c:pt>
                <c:pt idx="964">
                  <c:v>94.548779999999766</c:v>
                </c:pt>
                <c:pt idx="965">
                  <c:v>94.548779999999766</c:v>
                </c:pt>
                <c:pt idx="966">
                  <c:v>94.548779999999766</c:v>
                </c:pt>
                <c:pt idx="967">
                  <c:v>94.548779999999766</c:v>
                </c:pt>
                <c:pt idx="968">
                  <c:v>94.548779999999766</c:v>
                </c:pt>
                <c:pt idx="969">
                  <c:v>94.548779999999766</c:v>
                </c:pt>
                <c:pt idx="970">
                  <c:v>94.548779999999766</c:v>
                </c:pt>
                <c:pt idx="971">
                  <c:v>94.548779999999766</c:v>
                </c:pt>
                <c:pt idx="972">
                  <c:v>94.548779999999766</c:v>
                </c:pt>
                <c:pt idx="973">
                  <c:v>94.548779999999766</c:v>
                </c:pt>
                <c:pt idx="974">
                  <c:v>94.548779999999766</c:v>
                </c:pt>
                <c:pt idx="975">
                  <c:v>94.548779999999766</c:v>
                </c:pt>
                <c:pt idx="976">
                  <c:v>94.548779999999766</c:v>
                </c:pt>
                <c:pt idx="977">
                  <c:v>94.548779999999766</c:v>
                </c:pt>
                <c:pt idx="978">
                  <c:v>94.548779999999766</c:v>
                </c:pt>
                <c:pt idx="979">
                  <c:v>94.548779999999766</c:v>
                </c:pt>
                <c:pt idx="980">
                  <c:v>94.548779999999766</c:v>
                </c:pt>
                <c:pt idx="981">
                  <c:v>94.548779999999766</c:v>
                </c:pt>
                <c:pt idx="982">
                  <c:v>94.548779999999766</c:v>
                </c:pt>
                <c:pt idx="983">
                  <c:v>94.548779999999766</c:v>
                </c:pt>
                <c:pt idx="984">
                  <c:v>94.548779999999766</c:v>
                </c:pt>
                <c:pt idx="985">
                  <c:v>94.548779999999766</c:v>
                </c:pt>
                <c:pt idx="986">
                  <c:v>94.548779999999766</c:v>
                </c:pt>
                <c:pt idx="987">
                  <c:v>94.548779999999766</c:v>
                </c:pt>
                <c:pt idx="988">
                  <c:v>94.548779999999766</c:v>
                </c:pt>
                <c:pt idx="989">
                  <c:v>94.548779999999766</c:v>
                </c:pt>
                <c:pt idx="990">
                  <c:v>94.548779999999766</c:v>
                </c:pt>
                <c:pt idx="991">
                  <c:v>94.548779999999766</c:v>
                </c:pt>
                <c:pt idx="992">
                  <c:v>94.548779999999766</c:v>
                </c:pt>
                <c:pt idx="993">
                  <c:v>94.548779999999766</c:v>
                </c:pt>
                <c:pt idx="994">
                  <c:v>94.548779999999766</c:v>
                </c:pt>
                <c:pt idx="995">
                  <c:v>94.548779999999766</c:v>
                </c:pt>
                <c:pt idx="996">
                  <c:v>94.548779999999766</c:v>
                </c:pt>
                <c:pt idx="997">
                  <c:v>94.548779999999766</c:v>
                </c:pt>
                <c:pt idx="998">
                  <c:v>94.548779999999766</c:v>
                </c:pt>
                <c:pt idx="999">
                  <c:v>94.548779999999766</c:v>
                </c:pt>
                <c:pt idx="1000">
                  <c:v>94.548779999999766</c:v>
                </c:pt>
              </c:numCache>
            </c:numRef>
          </c:yVal>
          <c:smooth val="0"/>
          <c:extLst>
            <c:ext xmlns:c16="http://schemas.microsoft.com/office/drawing/2014/chart" uri="{C3380CC4-5D6E-409C-BE32-E72D297353CC}">
              <c16:uniqueId val="{00000001-5334-48F2-9051-C40E5F5CB63F}"/>
            </c:ext>
          </c:extLst>
        </c:ser>
        <c:ser>
          <c:idx val="0"/>
          <c:order val="2"/>
          <c:tx>
            <c:strRef>
              <c:f>Courbes!$B$133</c:f>
              <c:strCache>
                <c:ptCount val="1"/>
                <c:pt idx="0">
                  <c:v>Traînée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2.0100000000000011</c:v>
                </c:pt>
                <c:pt idx="202">
                  <c:v>2.0200000000000009</c:v>
                </c:pt>
                <c:pt idx="203">
                  <c:v>2.0300000000000007</c:v>
                </c:pt>
                <c:pt idx="204">
                  <c:v>2.0400000000000005</c:v>
                </c:pt>
                <c:pt idx="205">
                  <c:v>2.0500000000000003</c:v>
                </c:pt>
                <c:pt idx="206">
                  <c:v>2.06</c:v>
                </c:pt>
                <c:pt idx="207">
                  <c:v>2.0699999999999998</c:v>
                </c:pt>
                <c:pt idx="208">
                  <c:v>2.0799999999999996</c:v>
                </c:pt>
                <c:pt idx="209">
                  <c:v>2.0899999999999994</c:v>
                </c:pt>
                <c:pt idx="210">
                  <c:v>2.0999999999999992</c:v>
                </c:pt>
                <c:pt idx="211">
                  <c:v>2.109999999999999</c:v>
                </c:pt>
                <c:pt idx="212">
                  <c:v>2.1199999999999988</c:v>
                </c:pt>
                <c:pt idx="213">
                  <c:v>2.1299999999999986</c:v>
                </c:pt>
                <c:pt idx="214">
                  <c:v>2.1399999999999983</c:v>
                </c:pt>
                <c:pt idx="215">
                  <c:v>2.1499999999999981</c:v>
                </c:pt>
                <c:pt idx="216">
                  <c:v>2.1599999999999979</c:v>
                </c:pt>
                <c:pt idx="217">
                  <c:v>2.1699999999999977</c:v>
                </c:pt>
                <c:pt idx="218">
                  <c:v>2.1799999999999975</c:v>
                </c:pt>
                <c:pt idx="219">
                  <c:v>2.1899999999999973</c:v>
                </c:pt>
                <c:pt idx="220">
                  <c:v>2.1999999999999971</c:v>
                </c:pt>
                <c:pt idx="221">
                  <c:v>2.2099999999999969</c:v>
                </c:pt>
                <c:pt idx="222">
                  <c:v>2.2199999999999966</c:v>
                </c:pt>
                <c:pt idx="223">
                  <c:v>2.2299999999999964</c:v>
                </c:pt>
                <c:pt idx="224">
                  <c:v>2.2399999999999962</c:v>
                </c:pt>
                <c:pt idx="225">
                  <c:v>2.249999999999996</c:v>
                </c:pt>
                <c:pt idx="226">
                  <c:v>2.2599999999999958</c:v>
                </c:pt>
                <c:pt idx="227">
                  <c:v>2.2699999999999956</c:v>
                </c:pt>
                <c:pt idx="228">
                  <c:v>2.2799999999999954</c:v>
                </c:pt>
                <c:pt idx="229">
                  <c:v>2.2899999999999952</c:v>
                </c:pt>
                <c:pt idx="230">
                  <c:v>2.2999999999999949</c:v>
                </c:pt>
                <c:pt idx="231">
                  <c:v>2.3099999999999947</c:v>
                </c:pt>
                <c:pt idx="232">
                  <c:v>2.3199999999999945</c:v>
                </c:pt>
                <c:pt idx="233">
                  <c:v>2.3299999999999943</c:v>
                </c:pt>
                <c:pt idx="234">
                  <c:v>2.3399999999999941</c:v>
                </c:pt>
                <c:pt idx="235">
                  <c:v>2.3499999999999939</c:v>
                </c:pt>
                <c:pt idx="236">
                  <c:v>2.3599999999999937</c:v>
                </c:pt>
                <c:pt idx="237">
                  <c:v>2.3699999999999934</c:v>
                </c:pt>
                <c:pt idx="238">
                  <c:v>2.3799999999999932</c:v>
                </c:pt>
                <c:pt idx="239">
                  <c:v>2.389999999999993</c:v>
                </c:pt>
                <c:pt idx="240">
                  <c:v>2.3999999999999928</c:v>
                </c:pt>
                <c:pt idx="241">
                  <c:v>2.4099999999999926</c:v>
                </c:pt>
                <c:pt idx="242">
                  <c:v>2.4199999999999924</c:v>
                </c:pt>
                <c:pt idx="243">
                  <c:v>2.4299999999999922</c:v>
                </c:pt>
                <c:pt idx="244">
                  <c:v>2.439999999999992</c:v>
                </c:pt>
                <c:pt idx="245">
                  <c:v>2.4499999999999917</c:v>
                </c:pt>
                <c:pt idx="246">
                  <c:v>2.4599999999999915</c:v>
                </c:pt>
                <c:pt idx="247">
                  <c:v>2.4699999999999913</c:v>
                </c:pt>
                <c:pt idx="248">
                  <c:v>2.4799999999999911</c:v>
                </c:pt>
                <c:pt idx="249">
                  <c:v>2.4899999999999909</c:v>
                </c:pt>
                <c:pt idx="250">
                  <c:v>2.4999999999999907</c:v>
                </c:pt>
                <c:pt idx="251">
                  <c:v>2.5099999999999905</c:v>
                </c:pt>
                <c:pt idx="252">
                  <c:v>2.5199999999999902</c:v>
                </c:pt>
                <c:pt idx="253">
                  <c:v>2.52999999999999</c:v>
                </c:pt>
                <c:pt idx="254">
                  <c:v>2.5399999999999898</c:v>
                </c:pt>
                <c:pt idx="255">
                  <c:v>2.5499999999999896</c:v>
                </c:pt>
                <c:pt idx="256">
                  <c:v>2.5599999999999894</c:v>
                </c:pt>
                <c:pt idx="257">
                  <c:v>2.5699999999999892</c:v>
                </c:pt>
                <c:pt idx="258">
                  <c:v>2.579999999999989</c:v>
                </c:pt>
                <c:pt idx="259">
                  <c:v>2.5899999999999888</c:v>
                </c:pt>
                <c:pt idx="260">
                  <c:v>2.5999999999999885</c:v>
                </c:pt>
                <c:pt idx="261">
                  <c:v>2.6099999999999883</c:v>
                </c:pt>
                <c:pt idx="262">
                  <c:v>2.6199999999999881</c:v>
                </c:pt>
                <c:pt idx="263">
                  <c:v>2.6299999999999879</c:v>
                </c:pt>
                <c:pt idx="264">
                  <c:v>2.6399999999999877</c:v>
                </c:pt>
                <c:pt idx="265">
                  <c:v>2.6499999999999875</c:v>
                </c:pt>
                <c:pt idx="266">
                  <c:v>2.6599999999999873</c:v>
                </c:pt>
                <c:pt idx="267">
                  <c:v>2.6699999999999871</c:v>
                </c:pt>
                <c:pt idx="268">
                  <c:v>2.6799999999999868</c:v>
                </c:pt>
                <c:pt idx="269">
                  <c:v>2.6899999999999866</c:v>
                </c:pt>
                <c:pt idx="270">
                  <c:v>2.6999999999999864</c:v>
                </c:pt>
                <c:pt idx="271">
                  <c:v>2.7099999999999862</c:v>
                </c:pt>
                <c:pt idx="272">
                  <c:v>2.719999999999986</c:v>
                </c:pt>
                <c:pt idx="273">
                  <c:v>2.7299999999999858</c:v>
                </c:pt>
                <c:pt idx="274">
                  <c:v>2.7399999999999856</c:v>
                </c:pt>
                <c:pt idx="275">
                  <c:v>2.7499999999999853</c:v>
                </c:pt>
                <c:pt idx="276">
                  <c:v>2.7599999999999851</c:v>
                </c:pt>
                <c:pt idx="277">
                  <c:v>2.7699999999999849</c:v>
                </c:pt>
                <c:pt idx="278">
                  <c:v>2.7799999999999847</c:v>
                </c:pt>
                <c:pt idx="279">
                  <c:v>2.7899999999999845</c:v>
                </c:pt>
                <c:pt idx="280">
                  <c:v>2.7999999999999843</c:v>
                </c:pt>
                <c:pt idx="281">
                  <c:v>2.8099999999999841</c:v>
                </c:pt>
                <c:pt idx="282">
                  <c:v>2.8199999999999839</c:v>
                </c:pt>
                <c:pt idx="283">
                  <c:v>2.8299999999999836</c:v>
                </c:pt>
                <c:pt idx="284">
                  <c:v>2.8399999999999834</c:v>
                </c:pt>
                <c:pt idx="285">
                  <c:v>2.8499999999999832</c:v>
                </c:pt>
                <c:pt idx="286">
                  <c:v>2.859999999999983</c:v>
                </c:pt>
                <c:pt idx="287">
                  <c:v>2.8699999999999828</c:v>
                </c:pt>
                <c:pt idx="288">
                  <c:v>2.8799999999999826</c:v>
                </c:pt>
                <c:pt idx="289">
                  <c:v>2.8899999999999824</c:v>
                </c:pt>
                <c:pt idx="290">
                  <c:v>2.8999999999999821</c:v>
                </c:pt>
                <c:pt idx="291">
                  <c:v>2.9099999999999819</c:v>
                </c:pt>
                <c:pt idx="292">
                  <c:v>2.9199999999999817</c:v>
                </c:pt>
                <c:pt idx="293">
                  <c:v>2.9299999999999815</c:v>
                </c:pt>
                <c:pt idx="294">
                  <c:v>2.9399999999999813</c:v>
                </c:pt>
                <c:pt idx="295">
                  <c:v>2.9499999999999811</c:v>
                </c:pt>
                <c:pt idx="296">
                  <c:v>2.9599999999999809</c:v>
                </c:pt>
                <c:pt idx="297">
                  <c:v>2.9699999999999807</c:v>
                </c:pt>
                <c:pt idx="298">
                  <c:v>2.9799999999999804</c:v>
                </c:pt>
                <c:pt idx="299">
                  <c:v>2.9899999999999802</c:v>
                </c:pt>
                <c:pt idx="300">
                  <c:v>2.99999999999998</c:v>
                </c:pt>
                <c:pt idx="301">
                  <c:v>3.0099999999999798</c:v>
                </c:pt>
                <c:pt idx="302">
                  <c:v>3.0199999999999796</c:v>
                </c:pt>
                <c:pt idx="303">
                  <c:v>3.0299999999999794</c:v>
                </c:pt>
                <c:pt idx="304">
                  <c:v>3.0399999999999792</c:v>
                </c:pt>
                <c:pt idx="305">
                  <c:v>3.049999999999979</c:v>
                </c:pt>
                <c:pt idx="306">
                  <c:v>3.0599999999999787</c:v>
                </c:pt>
                <c:pt idx="307">
                  <c:v>3.0699999999999785</c:v>
                </c:pt>
                <c:pt idx="308">
                  <c:v>3.0799999999999783</c:v>
                </c:pt>
                <c:pt idx="309">
                  <c:v>3.0899999999999781</c:v>
                </c:pt>
                <c:pt idx="310">
                  <c:v>3.0999999999999779</c:v>
                </c:pt>
                <c:pt idx="311">
                  <c:v>3.1099999999999777</c:v>
                </c:pt>
                <c:pt idx="312">
                  <c:v>3.1199999999999775</c:v>
                </c:pt>
                <c:pt idx="313">
                  <c:v>3.1299999999999772</c:v>
                </c:pt>
                <c:pt idx="314">
                  <c:v>3.139999999999977</c:v>
                </c:pt>
                <c:pt idx="315">
                  <c:v>3.1499999999999768</c:v>
                </c:pt>
                <c:pt idx="316">
                  <c:v>3.1599999999999766</c:v>
                </c:pt>
                <c:pt idx="317">
                  <c:v>3.1699999999999764</c:v>
                </c:pt>
                <c:pt idx="318">
                  <c:v>3.1799999999999762</c:v>
                </c:pt>
                <c:pt idx="319">
                  <c:v>3.189999999999976</c:v>
                </c:pt>
                <c:pt idx="320">
                  <c:v>3.1999999999999758</c:v>
                </c:pt>
                <c:pt idx="321">
                  <c:v>3.2099999999999755</c:v>
                </c:pt>
                <c:pt idx="322">
                  <c:v>3.2199999999999753</c:v>
                </c:pt>
                <c:pt idx="323">
                  <c:v>3.2299999999999751</c:v>
                </c:pt>
                <c:pt idx="324">
                  <c:v>3.2399999999999749</c:v>
                </c:pt>
                <c:pt idx="325">
                  <c:v>3.2499999999999747</c:v>
                </c:pt>
                <c:pt idx="326">
                  <c:v>3.2599999999999745</c:v>
                </c:pt>
                <c:pt idx="327">
                  <c:v>3.2699999999999743</c:v>
                </c:pt>
                <c:pt idx="328">
                  <c:v>3.279999999999974</c:v>
                </c:pt>
                <c:pt idx="329">
                  <c:v>3.2899999999999738</c:v>
                </c:pt>
                <c:pt idx="330">
                  <c:v>3.2999999999999736</c:v>
                </c:pt>
                <c:pt idx="331">
                  <c:v>3.3099999999999734</c:v>
                </c:pt>
                <c:pt idx="332">
                  <c:v>3.3199999999999732</c:v>
                </c:pt>
                <c:pt idx="333">
                  <c:v>3.329999999999973</c:v>
                </c:pt>
                <c:pt idx="334">
                  <c:v>3.3399999999999728</c:v>
                </c:pt>
                <c:pt idx="335">
                  <c:v>3.3499999999999726</c:v>
                </c:pt>
                <c:pt idx="336">
                  <c:v>3.3599999999999723</c:v>
                </c:pt>
                <c:pt idx="337">
                  <c:v>3.3699999999999721</c:v>
                </c:pt>
                <c:pt idx="338">
                  <c:v>3.3799999999999719</c:v>
                </c:pt>
                <c:pt idx="339">
                  <c:v>3.3899999999999717</c:v>
                </c:pt>
                <c:pt idx="340">
                  <c:v>3.3999999999999715</c:v>
                </c:pt>
                <c:pt idx="341">
                  <c:v>3.4099999999999713</c:v>
                </c:pt>
                <c:pt idx="342">
                  <c:v>3.4199999999999711</c:v>
                </c:pt>
                <c:pt idx="343">
                  <c:v>3.4299999999999708</c:v>
                </c:pt>
                <c:pt idx="344">
                  <c:v>3.4399999999999706</c:v>
                </c:pt>
                <c:pt idx="345">
                  <c:v>3.4499999999999704</c:v>
                </c:pt>
                <c:pt idx="346">
                  <c:v>3.4599999999999702</c:v>
                </c:pt>
                <c:pt idx="347">
                  <c:v>3.46999999999997</c:v>
                </c:pt>
                <c:pt idx="348">
                  <c:v>3.4799999999999698</c:v>
                </c:pt>
                <c:pt idx="349">
                  <c:v>3.4899999999999696</c:v>
                </c:pt>
                <c:pt idx="350">
                  <c:v>3.4999999999999694</c:v>
                </c:pt>
                <c:pt idx="351">
                  <c:v>3.5099999999999691</c:v>
                </c:pt>
                <c:pt idx="352">
                  <c:v>3.5199999999999689</c:v>
                </c:pt>
                <c:pt idx="353">
                  <c:v>3.5299999999999687</c:v>
                </c:pt>
                <c:pt idx="354">
                  <c:v>3.5399999999999685</c:v>
                </c:pt>
                <c:pt idx="355">
                  <c:v>3.5499999999999683</c:v>
                </c:pt>
                <c:pt idx="356">
                  <c:v>3.5599999999999681</c:v>
                </c:pt>
                <c:pt idx="357">
                  <c:v>3.5699999999999679</c:v>
                </c:pt>
                <c:pt idx="358">
                  <c:v>3.5799999999999677</c:v>
                </c:pt>
                <c:pt idx="359">
                  <c:v>3.5899999999999674</c:v>
                </c:pt>
                <c:pt idx="360">
                  <c:v>3.5999999999999672</c:v>
                </c:pt>
                <c:pt idx="361">
                  <c:v>3.609999999999967</c:v>
                </c:pt>
                <c:pt idx="362">
                  <c:v>3.6199999999999668</c:v>
                </c:pt>
                <c:pt idx="363">
                  <c:v>3.6299999999999666</c:v>
                </c:pt>
                <c:pt idx="364">
                  <c:v>3.6399999999999664</c:v>
                </c:pt>
                <c:pt idx="365">
                  <c:v>3.6499999999999662</c:v>
                </c:pt>
                <c:pt idx="366">
                  <c:v>3.6599999999999659</c:v>
                </c:pt>
                <c:pt idx="367">
                  <c:v>3.6699999999999657</c:v>
                </c:pt>
                <c:pt idx="368">
                  <c:v>3.6799999999999655</c:v>
                </c:pt>
                <c:pt idx="369">
                  <c:v>3.6899999999999653</c:v>
                </c:pt>
                <c:pt idx="370">
                  <c:v>3.6999999999999651</c:v>
                </c:pt>
                <c:pt idx="371">
                  <c:v>3.7099999999999649</c:v>
                </c:pt>
                <c:pt idx="372">
                  <c:v>3.7199999999999647</c:v>
                </c:pt>
                <c:pt idx="373">
                  <c:v>3.7299999999999645</c:v>
                </c:pt>
                <c:pt idx="374">
                  <c:v>3.7399999999999642</c:v>
                </c:pt>
                <c:pt idx="375">
                  <c:v>3.749999999999964</c:v>
                </c:pt>
                <c:pt idx="376">
                  <c:v>3.7599999999999638</c:v>
                </c:pt>
                <c:pt idx="377">
                  <c:v>3.7699999999999636</c:v>
                </c:pt>
                <c:pt idx="378">
                  <c:v>3.7799999999999634</c:v>
                </c:pt>
                <c:pt idx="379">
                  <c:v>3.7899999999999632</c:v>
                </c:pt>
                <c:pt idx="380">
                  <c:v>3.799999999999963</c:v>
                </c:pt>
                <c:pt idx="381">
                  <c:v>3.8099999999999627</c:v>
                </c:pt>
                <c:pt idx="382">
                  <c:v>3.8199999999999625</c:v>
                </c:pt>
                <c:pt idx="383">
                  <c:v>3.8299999999999623</c:v>
                </c:pt>
                <c:pt idx="384">
                  <c:v>3.8399999999999621</c:v>
                </c:pt>
                <c:pt idx="385">
                  <c:v>3.8499999999999619</c:v>
                </c:pt>
                <c:pt idx="386">
                  <c:v>3.8599999999999617</c:v>
                </c:pt>
                <c:pt idx="387">
                  <c:v>3.8699999999999615</c:v>
                </c:pt>
                <c:pt idx="388">
                  <c:v>3.8799999999999613</c:v>
                </c:pt>
                <c:pt idx="389">
                  <c:v>3.889999999999961</c:v>
                </c:pt>
                <c:pt idx="390">
                  <c:v>3.8999999999999608</c:v>
                </c:pt>
                <c:pt idx="391">
                  <c:v>3.9099999999999606</c:v>
                </c:pt>
                <c:pt idx="392">
                  <c:v>3.9199999999999604</c:v>
                </c:pt>
                <c:pt idx="393">
                  <c:v>3.9299999999999602</c:v>
                </c:pt>
                <c:pt idx="394">
                  <c:v>3.93999999999996</c:v>
                </c:pt>
                <c:pt idx="395">
                  <c:v>3.9499999999999598</c:v>
                </c:pt>
                <c:pt idx="396">
                  <c:v>3.9599999999999596</c:v>
                </c:pt>
                <c:pt idx="397">
                  <c:v>3.9699999999999593</c:v>
                </c:pt>
                <c:pt idx="398">
                  <c:v>3.9799999999999591</c:v>
                </c:pt>
                <c:pt idx="399">
                  <c:v>3.9899999999999589</c:v>
                </c:pt>
                <c:pt idx="400">
                  <c:v>3.9999999999999587</c:v>
                </c:pt>
                <c:pt idx="401">
                  <c:v>4.0099999999999589</c:v>
                </c:pt>
                <c:pt idx="402">
                  <c:v>4.0199999999999587</c:v>
                </c:pt>
                <c:pt idx="403">
                  <c:v>4.0299999999999585</c:v>
                </c:pt>
                <c:pt idx="404">
                  <c:v>4.0399999999999583</c:v>
                </c:pt>
                <c:pt idx="405">
                  <c:v>4.0499999999999581</c:v>
                </c:pt>
                <c:pt idx="406">
                  <c:v>4.0599999999999579</c:v>
                </c:pt>
                <c:pt idx="407">
                  <c:v>4.0699999999999577</c:v>
                </c:pt>
                <c:pt idx="408">
                  <c:v>4.0799999999999574</c:v>
                </c:pt>
                <c:pt idx="409">
                  <c:v>4.0899999999999572</c:v>
                </c:pt>
                <c:pt idx="410">
                  <c:v>4.099999999999957</c:v>
                </c:pt>
                <c:pt idx="411">
                  <c:v>4.1099999999999568</c:v>
                </c:pt>
                <c:pt idx="412">
                  <c:v>4.1199999999999566</c:v>
                </c:pt>
                <c:pt idx="413">
                  <c:v>4.1299999999999564</c:v>
                </c:pt>
                <c:pt idx="414">
                  <c:v>4.1399999999999562</c:v>
                </c:pt>
                <c:pt idx="415">
                  <c:v>4.1499999999999559</c:v>
                </c:pt>
                <c:pt idx="416">
                  <c:v>4.1599999999999557</c:v>
                </c:pt>
                <c:pt idx="417">
                  <c:v>4.1699999999999555</c:v>
                </c:pt>
                <c:pt idx="418">
                  <c:v>4.1799999999999553</c:v>
                </c:pt>
                <c:pt idx="419">
                  <c:v>4.1899999999999551</c:v>
                </c:pt>
                <c:pt idx="420">
                  <c:v>4.1999999999999549</c:v>
                </c:pt>
                <c:pt idx="421">
                  <c:v>4.2099999999999547</c:v>
                </c:pt>
                <c:pt idx="422">
                  <c:v>4.2199999999999545</c:v>
                </c:pt>
                <c:pt idx="423">
                  <c:v>4.2299999999999542</c:v>
                </c:pt>
                <c:pt idx="424">
                  <c:v>4.239999999999954</c:v>
                </c:pt>
                <c:pt idx="425">
                  <c:v>4.2499999999999538</c:v>
                </c:pt>
                <c:pt idx="426">
                  <c:v>4.2599999999999536</c:v>
                </c:pt>
                <c:pt idx="427">
                  <c:v>4.2699999999999534</c:v>
                </c:pt>
                <c:pt idx="428">
                  <c:v>4.2799999999999532</c:v>
                </c:pt>
                <c:pt idx="429">
                  <c:v>4.289999999999953</c:v>
                </c:pt>
                <c:pt idx="430">
                  <c:v>4.2999999999999527</c:v>
                </c:pt>
                <c:pt idx="431">
                  <c:v>4.3099999999999525</c:v>
                </c:pt>
                <c:pt idx="432">
                  <c:v>4.3199999999999523</c:v>
                </c:pt>
                <c:pt idx="433">
                  <c:v>4.3299999999999521</c:v>
                </c:pt>
                <c:pt idx="434">
                  <c:v>4.3399999999999519</c:v>
                </c:pt>
                <c:pt idx="435">
                  <c:v>4.3499999999999517</c:v>
                </c:pt>
                <c:pt idx="436">
                  <c:v>4.3599999999999515</c:v>
                </c:pt>
                <c:pt idx="437">
                  <c:v>4.3699999999999513</c:v>
                </c:pt>
                <c:pt idx="438">
                  <c:v>4.379999999999951</c:v>
                </c:pt>
                <c:pt idx="439">
                  <c:v>4.3899999999999508</c:v>
                </c:pt>
                <c:pt idx="440">
                  <c:v>4.3999999999999506</c:v>
                </c:pt>
                <c:pt idx="441">
                  <c:v>4.4099999999999504</c:v>
                </c:pt>
                <c:pt idx="442">
                  <c:v>4.4199999999999502</c:v>
                </c:pt>
                <c:pt idx="443">
                  <c:v>4.42999999999995</c:v>
                </c:pt>
                <c:pt idx="444">
                  <c:v>4.4399999999999498</c:v>
                </c:pt>
                <c:pt idx="445">
                  <c:v>4.4499999999999496</c:v>
                </c:pt>
                <c:pt idx="446">
                  <c:v>4.4599999999999493</c:v>
                </c:pt>
                <c:pt idx="447">
                  <c:v>4.4699999999999491</c:v>
                </c:pt>
                <c:pt idx="448">
                  <c:v>4.4799999999999489</c:v>
                </c:pt>
                <c:pt idx="449">
                  <c:v>4.4899999999999487</c:v>
                </c:pt>
                <c:pt idx="450">
                  <c:v>4.4999999999999485</c:v>
                </c:pt>
                <c:pt idx="451">
                  <c:v>4.5099999999999483</c:v>
                </c:pt>
                <c:pt idx="452">
                  <c:v>4.5199999999999481</c:v>
                </c:pt>
                <c:pt idx="453">
                  <c:v>4.5299999999999478</c:v>
                </c:pt>
                <c:pt idx="454">
                  <c:v>4.5399999999999476</c:v>
                </c:pt>
                <c:pt idx="455">
                  <c:v>4.5499999999999474</c:v>
                </c:pt>
                <c:pt idx="456">
                  <c:v>4.5599999999999472</c:v>
                </c:pt>
                <c:pt idx="457">
                  <c:v>4.569999999999947</c:v>
                </c:pt>
                <c:pt idx="458">
                  <c:v>4.5799999999999468</c:v>
                </c:pt>
                <c:pt idx="459">
                  <c:v>4.5899999999999466</c:v>
                </c:pt>
                <c:pt idx="460">
                  <c:v>4.5999999999999464</c:v>
                </c:pt>
                <c:pt idx="461">
                  <c:v>4.6099999999999461</c:v>
                </c:pt>
                <c:pt idx="462">
                  <c:v>4.6199999999999459</c:v>
                </c:pt>
                <c:pt idx="463">
                  <c:v>4.6299999999999457</c:v>
                </c:pt>
                <c:pt idx="464">
                  <c:v>4.6399999999999455</c:v>
                </c:pt>
                <c:pt idx="465">
                  <c:v>4.6499999999999453</c:v>
                </c:pt>
                <c:pt idx="466">
                  <c:v>4.6599999999999451</c:v>
                </c:pt>
                <c:pt idx="467">
                  <c:v>4.6699999999999449</c:v>
                </c:pt>
                <c:pt idx="468">
                  <c:v>4.6799999999999446</c:v>
                </c:pt>
                <c:pt idx="469">
                  <c:v>4.6899999999999444</c:v>
                </c:pt>
                <c:pt idx="470">
                  <c:v>4.6999999999999442</c:v>
                </c:pt>
                <c:pt idx="471">
                  <c:v>4.709999999999944</c:v>
                </c:pt>
                <c:pt idx="472">
                  <c:v>4.7199999999999438</c:v>
                </c:pt>
                <c:pt idx="473">
                  <c:v>4.7299999999999436</c:v>
                </c:pt>
                <c:pt idx="474">
                  <c:v>4.7399999999999434</c:v>
                </c:pt>
                <c:pt idx="475">
                  <c:v>4.7499999999999432</c:v>
                </c:pt>
                <c:pt idx="476">
                  <c:v>4.7599999999999429</c:v>
                </c:pt>
                <c:pt idx="477">
                  <c:v>4.7699999999999427</c:v>
                </c:pt>
                <c:pt idx="478">
                  <c:v>4.7799999999999425</c:v>
                </c:pt>
                <c:pt idx="479">
                  <c:v>4.7899999999999423</c:v>
                </c:pt>
                <c:pt idx="480">
                  <c:v>4.7999999999999421</c:v>
                </c:pt>
                <c:pt idx="481">
                  <c:v>4.8099999999999419</c:v>
                </c:pt>
                <c:pt idx="482">
                  <c:v>4.8199999999999417</c:v>
                </c:pt>
                <c:pt idx="483">
                  <c:v>4.8299999999999415</c:v>
                </c:pt>
                <c:pt idx="484">
                  <c:v>4.8399999999999412</c:v>
                </c:pt>
                <c:pt idx="485">
                  <c:v>4.849999999999941</c:v>
                </c:pt>
                <c:pt idx="486">
                  <c:v>4.8599999999999408</c:v>
                </c:pt>
                <c:pt idx="487">
                  <c:v>4.8699999999999406</c:v>
                </c:pt>
                <c:pt idx="488">
                  <c:v>4.8799999999999404</c:v>
                </c:pt>
                <c:pt idx="489">
                  <c:v>4.8899999999999402</c:v>
                </c:pt>
                <c:pt idx="490">
                  <c:v>4.89999999999994</c:v>
                </c:pt>
                <c:pt idx="491">
                  <c:v>4.9099999999999397</c:v>
                </c:pt>
                <c:pt idx="492">
                  <c:v>4.9199999999999395</c:v>
                </c:pt>
                <c:pt idx="493">
                  <c:v>4.9299999999999393</c:v>
                </c:pt>
                <c:pt idx="494">
                  <c:v>4.9399999999999391</c:v>
                </c:pt>
                <c:pt idx="495">
                  <c:v>4.9499999999999389</c:v>
                </c:pt>
                <c:pt idx="496">
                  <c:v>4.9599999999999387</c:v>
                </c:pt>
                <c:pt idx="497">
                  <c:v>4.9699999999999385</c:v>
                </c:pt>
                <c:pt idx="498">
                  <c:v>4.9799999999999383</c:v>
                </c:pt>
                <c:pt idx="499">
                  <c:v>4.989999999999938</c:v>
                </c:pt>
                <c:pt idx="500">
                  <c:v>4.9999999999999378</c:v>
                </c:pt>
                <c:pt idx="501">
                  <c:v>5.0999999999999375</c:v>
                </c:pt>
                <c:pt idx="502">
                  <c:v>5.1999999999999371</c:v>
                </c:pt>
                <c:pt idx="503">
                  <c:v>5.2999999999999368</c:v>
                </c:pt>
                <c:pt idx="504">
                  <c:v>5.3999999999999364</c:v>
                </c:pt>
                <c:pt idx="505">
                  <c:v>5.4999999999999361</c:v>
                </c:pt>
                <c:pt idx="506">
                  <c:v>5.5999999999999357</c:v>
                </c:pt>
                <c:pt idx="507">
                  <c:v>5.6999999999999353</c:v>
                </c:pt>
                <c:pt idx="508">
                  <c:v>5.799999999999935</c:v>
                </c:pt>
                <c:pt idx="509">
                  <c:v>5.8999999999999346</c:v>
                </c:pt>
                <c:pt idx="510">
                  <c:v>5.9999999999999343</c:v>
                </c:pt>
                <c:pt idx="511">
                  <c:v>6.0999999999999339</c:v>
                </c:pt>
                <c:pt idx="512">
                  <c:v>6.1999999999999336</c:v>
                </c:pt>
                <c:pt idx="513">
                  <c:v>6.2999999999999332</c:v>
                </c:pt>
                <c:pt idx="514">
                  <c:v>6.3999999999999329</c:v>
                </c:pt>
                <c:pt idx="515">
                  <c:v>6.4999999999999325</c:v>
                </c:pt>
                <c:pt idx="516">
                  <c:v>6.5999999999999321</c:v>
                </c:pt>
                <c:pt idx="517">
                  <c:v>6.6999999999999318</c:v>
                </c:pt>
                <c:pt idx="518">
                  <c:v>6.7999999999999314</c:v>
                </c:pt>
                <c:pt idx="519">
                  <c:v>6.8999999999999311</c:v>
                </c:pt>
                <c:pt idx="520">
                  <c:v>6.9999999999999307</c:v>
                </c:pt>
                <c:pt idx="521">
                  <c:v>7.0999999999999304</c:v>
                </c:pt>
                <c:pt idx="522">
                  <c:v>7.19999999999993</c:v>
                </c:pt>
                <c:pt idx="523">
                  <c:v>7.2999999999999297</c:v>
                </c:pt>
                <c:pt idx="524">
                  <c:v>7.3999999999999293</c:v>
                </c:pt>
                <c:pt idx="525">
                  <c:v>7.4999999999999289</c:v>
                </c:pt>
                <c:pt idx="526">
                  <c:v>7.5999999999999286</c:v>
                </c:pt>
                <c:pt idx="527">
                  <c:v>7.6999999999999282</c:v>
                </c:pt>
                <c:pt idx="528">
                  <c:v>7.7999999999999279</c:v>
                </c:pt>
                <c:pt idx="529">
                  <c:v>7.8999999999999275</c:v>
                </c:pt>
                <c:pt idx="530">
                  <c:v>7.9999999999999272</c:v>
                </c:pt>
                <c:pt idx="531">
                  <c:v>8.0999999999999268</c:v>
                </c:pt>
                <c:pt idx="532">
                  <c:v>8.1999999999999265</c:v>
                </c:pt>
                <c:pt idx="533">
                  <c:v>8.2999999999999261</c:v>
                </c:pt>
                <c:pt idx="534">
                  <c:v>8.3999999999999257</c:v>
                </c:pt>
                <c:pt idx="535">
                  <c:v>8.4999999999999254</c:v>
                </c:pt>
                <c:pt idx="536">
                  <c:v>8.599999999999925</c:v>
                </c:pt>
                <c:pt idx="537">
                  <c:v>8.6999999999999247</c:v>
                </c:pt>
                <c:pt idx="538">
                  <c:v>8.7999999999999243</c:v>
                </c:pt>
                <c:pt idx="539">
                  <c:v>8.899999999999924</c:v>
                </c:pt>
                <c:pt idx="540">
                  <c:v>8.9999999999999236</c:v>
                </c:pt>
                <c:pt idx="541">
                  <c:v>9.0999999999999233</c:v>
                </c:pt>
                <c:pt idx="542">
                  <c:v>9.1999999999999229</c:v>
                </c:pt>
                <c:pt idx="543">
                  <c:v>9.2999999999999226</c:v>
                </c:pt>
                <c:pt idx="544">
                  <c:v>9.3999999999999222</c:v>
                </c:pt>
                <c:pt idx="545">
                  <c:v>9.4999999999999218</c:v>
                </c:pt>
                <c:pt idx="546">
                  <c:v>9.5999999999999215</c:v>
                </c:pt>
                <c:pt idx="547">
                  <c:v>9.6999999999999211</c:v>
                </c:pt>
                <c:pt idx="548">
                  <c:v>9.7999999999999208</c:v>
                </c:pt>
                <c:pt idx="549">
                  <c:v>9.8999999999999204</c:v>
                </c:pt>
                <c:pt idx="550">
                  <c:v>9.9999999999999201</c:v>
                </c:pt>
                <c:pt idx="551">
                  <c:v>10.09999999999992</c:v>
                </c:pt>
                <c:pt idx="552">
                  <c:v>10.199999999999919</c:v>
                </c:pt>
                <c:pt idx="553">
                  <c:v>10.299999999999919</c:v>
                </c:pt>
                <c:pt idx="554">
                  <c:v>10.399999999999919</c:v>
                </c:pt>
                <c:pt idx="555">
                  <c:v>10.499999999999918</c:v>
                </c:pt>
                <c:pt idx="556">
                  <c:v>10.599999999999918</c:v>
                </c:pt>
                <c:pt idx="557">
                  <c:v>10.699999999999918</c:v>
                </c:pt>
                <c:pt idx="558">
                  <c:v>10.799999999999917</c:v>
                </c:pt>
                <c:pt idx="559">
                  <c:v>10.899999999999917</c:v>
                </c:pt>
                <c:pt idx="560">
                  <c:v>10.999999999999917</c:v>
                </c:pt>
                <c:pt idx="561">
                  <c:v>11.099999999999916</c:v>
                </c:pt>
                <c:pt idx="562">
                  <c:v>11.199999999999916</c:v>
                </c:pt>
                <c:pt idx="563">
                  <c:v>11.299999999999915</c:v>
                </c:pt>
                <c:pt idx="564">
                  <c:v>11.399999999999915</c:v>
                </c:pt>
                <c:pt idx="565">
                  <c:v>11.499999999999915</c:v>
                </c:pt>
                <c:pt idx="566">
                  <c:v>11.599999999999914</c:v>
                </c:pt>
                <c:pt idx="567">
                  <c:v>11.699999999999914</c:v>
                </c:pt>
                <c:pt idx="568">
                  <c:v>11.799999999999914</c:v>
                </c:pt>
                <c:pt idx="569">
                  <c:v>11.899999999999913</c:v>
                </c:pt>
                <c:pt idx="570">
                  <c:v>11.999999999999913</c:v>
                </c:pt>
                <c:pt idx="571">
                  <c:v>12.099999999999913</c:v>
                </c:pt>
                <c:pt idx="572">
                  <c:v>12.199999999999912</c:v>
                </c:pt>
                <c:pt idx="573">
                  <c:v>12.299999999999912</c:v>
                </c:pt>
                <c:pt idx="574">
                  <c:v>12.399999999999912</c:v>
                </c:pt>
                <c:pt idx="575">
                  <c:v>12.499999999999911</c:v>
                </c:pt>
                <c:pt idx="576">
                  <c:v>12.599999999999911</c:v>
                </c:pt>
                <c:pt idx="577">
                  <c:v>12.69999999999991</c:v>
                </c:pt>
                <c:pt idx="578">
                  <c:v>12.79999999999991</c:v>
                </c:pt>
                <c:pt idx="579">
                  <c:v>12.89999999999991</c:v>
                </c:pt>
                <c:pt idx="580">
                  <c:v>12.999999999999909</c:v>
                </c:pt>
                <c:pt idx="581">
                  <c:v>13.099999999999909</c:v>
                </c:pt>
                <c:pt idx="582">
                  <c:v>13.199999999999909</c:v>
                </c:pt>
                <c:pt idx="583">
                  <c:v>13.299999999999908</c:v>
                </c:pt>
                <c:pt idx="584">
                  <c:v>13.399999999999908</c:v>
                </c:pt>
                <c:pt idx="585">
                  <c:v>13.499999999999908</c:v>
                </c:pt>
                <c:pt idx="586">
                  <c:v>13.599999999999907</c:v>
                </c:pt>
                <c:pt idx="587">
                  <c:v>13.699999999999907</c:v>
                </c:pt>
                <c:pt idx="588">
                  <c:v>13.799999999999907</c:v>
                </c:pt>
                <c:pt idx="589">
                  <c:v>13.899999999999906</c:v>
                </c:pt>
                <c:pt idx="590">
                  <c:v>13.999999999999906</c:v>
                </c:pt>
                <c:pt idx="591">
                  <c:v>14.099999999999905</c:v>
                </c:pt>
                <c:pt idx="592">
                  <c:v>14.199999999999905</c:v>
                </c:pt>
                <c:pt idx="593">
                  <c:v>14.299999999999905</c:v>
                </c:pt>
                <c:pt idx="594">
                  <c:v>14.399999999999904</c:v>
                </c:pt>
                <c:pt idx="595">
                  <c:v>14.499999999999904</c:v>
                </c:pt>
                <c:pt idx="596">
                  <c:v>14.599999999999904</c:v>
                </c:pt>
                <c:pt idx="597">
                  <c:v>14.699999999999903</c:v>
                </c:pt>
                <c:pt idx="598">
                  <c:v>14.799999999999903</c:v>
                </c:pt>
                <c:pt idx="599">
                  <c:v>14.899999999999903</c:v>
                </c:pt>
                <c:pt idx="600">
                  <c:v>14.999999999999902</c:v>
                </c:pt>
                <c:pt idx="601">
                  <c:v>15.099999999999902</c:v>
                </c:pt>
                <c:pt idx="602">
                  <c:v>15.199999999999902</c:v>
                </c:pt>
                <c:pt idx="603">
                  <c:v>15.299999999999901</c:v>
                </c:pt>
                <c:pt idx="604">
                  <c:v>15.399999999999901</c:v>
                </c:pt>
                <c:pt idx="605">
                  <c:v>15.499999999999901</c:v>
                </c:pt>
                <c:pt idx="606">
                  <c:v>15.5999999999999</c:v>
                </c:pt>
                <c:pt idx="607">
                  <c:v>15.6999999999999</c:v>
                </c:pt>
                <c:pt idx="608">
                  <c:v>15.799999999999899</c:v>
                </c:pt>
                <c:pt idx="609">
                  <c:v>15.899999999999899</c:v>
                </c:pt>
                <c:pt idx="610">
                  <c:v>15.999999999999899</c:v>
                </c:pt>
                <c:pt idx="611">
                  <c:v>16.099999999999898</c:v>
                </c:pt>
                <c:pt idx="612">
                  <c:v>16.1999999999999</c:v>
                </c:pt>
                <c:pt idx="613">
                  <c:v>16.299999999999901</c:v>
                </c:pt>
                <c:pt idx="614">
                  <c:v>16.399999999999903</c:v>
                </c:pt>
                <c:pt idx="615">
                  <c:v>16.499999999999904</c:v>
                </c:pt>
                <c:pt idx="616">
                  <c:v>16.599999999999905</c:v>
                </c:pt>
                <c:pt idx="617">
                  <c:v>16.699999999999907</c:v>
                </c:pt>
                <c:pt idx="618">
                  <c:v>16.799999999999908</c:v>
                </c:pt>
                <c:pt idx="619">
                  <c:v>16.89999999999991</c:v>
                </c:pt>
                <c:pt idx="620">
                  <c:v>16.999999999999911</c:v>
                </c:pt>
                <c:pt idx="621">
                  <c:v>17.099999999999913</c:v>
                </c:pt>
                <c:pt idx="622">
                  <c:v>17.199999999999914</c:v>
                </c:pt>
                <c:pt idx="623">
                  <c:v>17.299999999999915</c:v>
                </c:pt>
                <c:pt idx="624">
                  <c:v>17.399999999999917</c:v>
                </c:pt>
                <c:pt idx="625">
                  <c:v>17.499999999999918</c:v>
                </c:pt>
                <c:pt idx="626">
                  <c:v>17.59999999999992</c:v>
                </c:pt>
                <c:pt idx="627">
                  <c:v>17.699999999999921</c:v>
                </c:pt>
                <c:pt idx="628">
                  <c:v>17.799999999999923</c:v>
                </c:pt>
                <c:pt idx="629">
                  <c:v>17.899999999999924</c:v>
                </c:pt>
                <c:pt idx="630">
                  <c:v>17.999999999999925</c:v>
                </c:pt>
                <c:pt idx="631">
                  <c:v>18.099999999999927</c:v>
                </c:pt>
                <c:pt idx="632">
                  <c:v>18.199999999999928</c:v>
                </c:pt>
                <c:pt idx="633">
                  <c:v>18.29999999999993</c:v>
                </c:pt>
                <c:pt idx="634">
                  <c:v>18.399999999999931</c:v>
                </c:pt>
                <c:pt idx="635">
                  <c:v>18.499999999999932</c:v>
                </c:pt>
                <c:pt idx="636">
                  <c:v>18.599999999999934</c:v>
                </c:pt>
                <c:pt idx="637">
                  <c:v>18.699999999999935</c:v>
                </c:pt>
                <c:pt idx="638">
                  <c:v>18.799999999999937</c:v>
                </c:pt>
                <c:pt idx="639">
                  <c:v>18.899999999999938</c:v>
                </c:pt>
                <c:pt idx="640">
                  <c:v>18.99999999999994</c:v>
                </c:pt>
                <c:pt idx="641">
                  <c:v>19.099999999999941</c:v>
                </c:pt>
                <c:pt idx="642">
                  <c:v>19.199999999999942</c:v>
                </c:pt>
                <c:pt idx="643">
                  <c:v>19.299999999999944</c:v>
                </c:pt>
                <c:pt idx="644">
                  <c:v>19.399999999999945</c:v>
                </c:pt>
                <c:pt idx="645">
                  <c:v>19.499999999999947</c:v>
                </c:pt>
                <c:pt idx="646">
                  <c:v>19.599999999999948</c:v>
                </c:pt>
                <c:pt idx="647">
                  <c:v>19.69999999999995</c:v>
                </c:pt>
                <c:pt idx="648">
                  <c:v>19.799999999999951</c:v>
                </c:pt>
                <c:pt idx="649">
                  <c:v>19.899999999999952</c:v>
                </c:pt>
                <c:pt idx="650">
                  <c:v>19.999999999999954</c:v>
                </c:pt>
                <c:pt idx="651">
                  <c:v>20.099999999999955</c:v>
                </c:pt>
                <c:pt idx="652">
                  <c:v>20.199999999999957</c:v>
                </c:pt>
                <c:pt idx="653">
                  <c:v>20.299999999999958</c:v>
                </c:pt>
                <c:pt idx="654">
                  <c:v>20.399999999999959</c:v>
                </c:pt>
                <c:pt idx="655">
                  <c:v>20.499999999999961</c:v>
                </c:pt>
                <c:pt idx="656">
                  <c:v>20.599999999999962</c:v>
                </c:pt>
                <c:pt idx="657">
                  <c:v>20.699999999999964</c:v>
                </c:pt>
                <c:pt idx="658">
                  <c:v>20.799999999999965</c:v>
                </c:pt>
                <c:pt idx="659">
                  <c:v>20.899999999999967</c:v>
                </c:pt>
                <c:pt idx="660">
                  <c:v>20.999999999999968</c:v>
                </c:pt>
                <c:pt idx="661">
                  <c:v>21.099999999999969</c:v>
                </c:pt>
                <c:pt idx="662">
                  <c:v>21.199999999999971</c:v>
                </c:pt>
                <c:pt idx="663">
                  <c:v>21.299999999999972</c:v>
                </c:pt>
                <c:pt idx="664">
                  <c:v>21.399999999999974</c:v>
                </c:pt>
                <c:pt idx="665">
                  <c:v>21.499999999999975</c:v>
                </c:pt>
                <c:pt idx="666">
                  <c:v>21.599999999999977</c:v>
                </c:pt>
                <c:pt idx="667">
                  <c:v>21.699999999999978</c:v>
                </c:pt>
                <c:pt idx="668">
                  <c:v>21.799999999999979</c:v>
                </c:pt>
                <c:pt idx="669">
                  <c:v>21.899999999999981</c:v>
                </c:pt>
                <c:pt idx="670">
                  <c:v>21.999999999999982</c:v>
                </c:pt>
                <c:pt idx="671">
                  <c:v>22.099999999999984</c:v>
                </c:pt>
                <c:pt idx="672">
                  <c:v>22.199999999999985</c:v>
                </c:pt>
                <c:pt idx="673">
                  <c:v>22.299999999999986</c:v>
                </c:pt>
                <c:pt idx="674">
                  <c:v>22.399999999999988</c:v>
                </c:pt>
                <c:pt idx="675">
                  <c:v>22.499999999999989</c:v>
                </c:pt>
                <c:pt idx="676">
                  <c:v>22.599999999999991</c:v>
                </c:pt>
                <c:pt idx="677">
                  <c:v>22.699999999999992</c:v>
                </c:pt>
                <c:pt idx="678">
                  <c:v>22.799999999999994</c:v>
                </c:pt>
                <c:pt idx="679">
                  <c:v>22.899999999999995</c:v>
                </c:pt>
                <c:pt idx="680">
                  <c:v>22.999999999999996</c:v>
                </c:pt>
                <c:pt idx="681">
                  <c:v>23.099999999999998</c:v>
                </c:pt>
                <c:pt idx="682">
                  <c:v>23.2</c:v>
                </c:pt>
                <c:pt idx="683">
                  <c:v>23.3</c:v>
                </c:pt>
                <c:pt idx="684">
                  <c:v>23.400000000000002</c:v>
                </c:pt>
                <c:pt idx="685">
                  <c:v>23.500000000000004</c:v>
                </c:pt>
                <c:pt idx="686">
                  <c:v>23.600000000000005</c:v>
                </c:pt>
                <c:pt idx="687">
                  <c:v>23.700000000000006</c:v>
                </c:pt>
                <c:pt idx="688">
                  <c:v>23.800000000000008</c:v>
                </c:pt>
                <c:pt idx="689">
                  <c:v>23.900000000000009</c:v>
                </c:pt>
                <c:pt idx="690">
                  <c:v>24.000000000000011</c:v>
                </c:pt>
                <c:pt idx="691">
                  <c:v>24.100000000000012</c:v>
                </c:pt>
                <c:pt idx="692">
                  <c:v>24.200000000000014</c:v>
                </c:pt>
                <c:pt idx="693">
                  <c:v>24.300000000000015</c:v>
                </c:pt>
                <c:pt idx="694">
                  <c:v>24.400000000000016</c:v>
                </c:pt>
                <c:pt idx="695">
                  <c:v>24.500000000000018</c:v>
                </c:pt>
                <c:pt idx="696">
                  <c:v>24.600000000000019</c:v>
                </c:pt>
                <c:pt idx="697">
                  <c:v>24.700000000000021</c:v>
                </c:pt>
                <c:pt idx="698">
                  <c:v>24.800000000000022</c:v>
                </c:pt>
                <c:pt idx="699">
                  <c:v>24.900000000000023</c:v>
                </c:pt>
                <c:pt idx="700">
                  <c:v>25.000000000000025</c:v>
                </c:pt>
                <c:pt idx="701">
                  <c:v>25.100000000000026</c:v>
                </c:pt>
                <c:pt idx="702">
                  <c:v>25.200000000000028</c:v>
                </c:pt>
                <c:pt idx="703">
                  <c:v>25.300000000000029</c:v>
                </c:pt>
                <c:pt idx="704">
                  <c:v>25.400000000000031</c:v>
                </c:pt>
                <c:pt idx="705">
                  <c:v>25.500000000000032</c:v>
                </c:pt>
                <c:pt idx="706">
                  <c:v>25.600000000000033</c:v>
                </c:pt>
                <c:pt idx="707">
                  <c:v>25.700000000000035</c:v>
                </c:pt>
                <c:pt idx="708">
                  <c:v>25.800000000000036</c:v>
                </c:pt>
                <c:pt idx="709">
                  <c:v>25.900000000000038</c:v>
                </c:pt>
                <c:pt idx="710">
                  <c:v>26.000000000000039</c:v>
                </c:pt>
                <c:pt idx="711">
                  <c:v>26.100000000000041</c:v>
                </c:pt>
                <c:pt idx="712">
                  <c:v>26.200000000000042</c:v>
                </c:pt>
                <c:pt idx="713">
                  <c:v>26.300000000000043</c:v>
                </c:pt>
                <c:pt idx="714">
                  <c:v>26.400000000000045</c:v>
                </c:pt>
                <c:pt idx="715">
                  <c:v>26.500000000000046</c:v>
                </c:pt>
                <c:pt idx="716">
                  <c:v>26.600000000000048</c:v>
                </c:pt>
                <c:pt idx="717">
                  <c:v>26.700000000000049</c:v>
                </c:pt>
                <c:pt idx="718">
                  <c:v>26.80000000000005</c:v>
                </c:pt>
                <c:pt idx="719">
                  <c:v>26.900000000000052</c:v>
                </c:pt>
                <c:pt idx="720">
                  <c:v>27.000000000000053</c:v>
                </c:pt>
                <c:pt idx="721">
                  <c:v>27.100000000000055</c:v>
                </c:pt>
                <c:pt idx="722">
                  <c:v>27.200000000000056</c:v>
                </c:pt>
                <c:pt idx="723">
                  <c:v>27.300000000000058</c:v>
                </c:pt>
                <c:pt idx="724">
                  <c:v>27.400000000000059</c:v>
                </c:pt>
                <c:pt idx="725">
                  <c:v>27.50000000000006</c:v>
                </c:pt>
                <c:pt idx="726">
                  <c:v>27.600000000000062</c:v>
                </c:pt>
                <c:pt idx="727">
                  <c:v>27.700000000000063</c:v>
                </c:pt>
                <c:pt idx="728">
                  <c:v>27.800000000000065</c:v>
                </c:pt>
                <c:pt idx="729">
                  <c:v>27.900000000000066</c:v>
                </c:pt>
                <c:pt idx="730">
                  <c:v>28.000000000000068</c:v>
                </c:pt>
                <c:pt idx="731">
                  <c:v>28.100000000000069</c:v>
                </c:pt>
                <c:pt idx="732">
                  <c:v>28.20000000000007</c:v>
                </c:pt>
                <c:pt idx="733">
                  <c:v>28.300000000000072</c:v>
                </c:pt>
                <c:pt idx="734">
                  <c:v>28.400000000000073</c:v>
                </c:pt>
                <c:pt idx="735">
                  <c:v>28.500000000000075</c:v>
                </c:pt>
                <c:pt idx="736">
                  <c:v>28.600000000000076</c:v>
                </c:pt>
                <c:pt idx="737">
                  <c:v>28.700000000000077</c:v>
                </c:pt>
                <c:pt idx="738">
                  <c:v>28.800000000000079</c:v>
                </c:pt>
                <c:pt idx="739">
                  <c:v>28.90000000000008</c:v>
                </c:pt>
                <c:pt idx="740">
                  <c:v>29.000000000000082</c:v>
                </c:pt>
                <c:pt idx="741">
                  <c:v>29.100000000000083</c:v>
                </c:pt>
                <c:pt idx="742">
                  <c:v>29.200000000000085</c:v>
                </c:pt>
                <c:pt idx="743">
                  <c:v>29.300000000000086</c:v>
                </c:pt>
                <c:pt idx="744">
                  <c:v>29.400000000000087</c:v>
                </c:pt>
                <c:pt idx="745">
                  <c:v>29.500000000000089</c:v>
                </c:pt>
                <c:pt idx="746">
                  <c:v>29.60000000000009</c:v>
                </c:pt>
                <c:pt idx="747">
                  <c:v>29.700000000000092</c:v>
                </c:pt>
                <c:pt idx="748">
                  <c:v>29.800000000000093</c:v>
                </c:pt>
                <c:pt idx="749">
                  <c:v>29.900000000000095</c:v>
                </c:pt>
                <c:pt idx="750">
                  <c:v>30.000000000000096</c:v>
                </c:pt>
                <c:pt idx="751">
                  <c:v>30.100000000000097</c:v>
                </c:pt>
                <c:pt idx="752">
                  <c:v>30.200000000000099</c:v>
                </c:pt>
                <c:pt idx="753">
                  <c:v>30.3000000000001</c:v>
                </c:pt>
                <c:pt idx="754">
                  <c:v>30.400000000000102</c:v>
                </c:pt>
                <c:pt idx="755">
                  <c:v>30.500000000000103</c:v>
                </c:pt>
                <c:pt idx="756">
                  <c:v>30.600000000000104</c:v>
                </c:pt>
                <c:pt idx="757">
                  <c:v>30.700000000000106</c:v>
                </c:pt>
                <c:pt idx="758">
                  <c:v>30.800000000000107</c:v>
                </c:pt>
                <c:pt idx="759">
                  <c:v>30.900000000000109</c:v>
                </c:pt>
                <c:pt idx="760">
                  <c:v>31.00000000000011</c:v>
                </c:pt>
                <c:pt idx="761">
                  <c:v>31.100000000000112</c:v>
                </c:pt>
                <c:pt idx="762">
                  <c:v>31.200000000000113</c:v>
                </c:pt>
                <c:pt idx="763">
                  <c:v>31.300000000000114</c:v>
                </c:pt>
                <c:pt idx="764">
                  <c:v>31.400000000000116</c:v>
                </c:pt>
                <c:pt idx="765">
                  <c:v>31.500000000000117</c:v>
                </c:pt>
                <c:pt idx="766">
                  <c:v>31.600000000000119</c:v>
                </c:pt>
                <c:pt idx="767">
                  <c:v>31.70000000000012</c:v>
                </c:pt>
                <c:pt idx="768">
                  <c:v>31.800000000000122</c:v>
                </c:pt>
                <c:pt idx="769">
                  <c:v>31.900000000000123</c:v>
                </c:pt>
                <c:pt idx="770">
                  <c:v>32.000000000000121</c:v>
                </c:pt>
                <c:pt idx="771">
                  <c:v>32.100000000000122</c:v>
                </c:pt>
                <c:pt idx="772">
                  <c:v>32.200000000000124</c:v>
                </c:pt>
                <c:pt idx="773">
                  <c:v>32.300000000000125</c:v>
                </c:pt>
                <c:pt idx="774">
                  <c:v>32.400000000000126</c:v>
                </c:pt>
                <c:pt idx="775">
                  <c:v>32.500000000000128</c:v>
                </c:pt>
                <c:pt idx="776">
                  <c:v>32.600000000000129</c:v>
                </c:pt>
                <c:pt idx="777">
                  <c:v>32.700000000000131</c:v>
                </c:pt>
                <c:pt idx="778">
                  <c:v>32.800000000000132</c:v>
                </c:pt>
                <c:pt idx="779">
                  <c:v>32.900000000000134</c:v>
                </c:pt>
                <c:pt idx="780">
                  <c:v>33.000000000000135</c:v>
                </c:pt>
                <c:pt idx="781">
                  <c:v>33.100000000000136</c:v>
                </c:pt>
                <c:pt idx="782">
                  <c:v>33.200000000000138</c:v>
                </c:pt>
                <c:pt idx="783">
                  <c:v>33.300000000000139</c:v>
                </c:pt>
                <c:pt idx="784">
                  <c:v>33.400000000000141</c:v>
                </c:pt>
                <c:pt idx="785">
                  <c:v>33.500000000000142</c:v>
                </c:pt>
                <c:pt idx="786">
                  <c:v>33.600000000000144</c:v>
                </c:pt>
                <c:pt idx="787">
                  <c:v>33.700000000000145</c:v>
                </c:pt>
                <c:pt idx="788">
                  <c:v>33.800000000000146</c:v>
                </c:pt>
                <c:pt idx="789">
                  <c:v>33.900000000000148</c:v>
                </c:pt>
                <c:pt idx="790">
                  <c:v>34.000000000000149</c:v>
                </c:pt>
                <c:pt idx="791">
                  <c:v>34.100000000000151</c:v>
                </c:pt>
                <c:pt idx="792">
                  <c:v>34.200000000000152</c:v>
                </c:pt>
                <c:pt idx="793">
                  <c:v>34.300000000000153</c:v>
                </c:pt>
                <c:pt idx="794">
                  <c:v>34.400000000000155</c:v>
                </c:pt>
                <c:pt idx="795">
                  <c:v>34.500000000000156</c:v>
                </c:pt>
                <c:pt idx="796">
                  <c:v>34.600000000000158</c:v>
                </c:pt>
                <c:pt idx="797">
                  <c:v>34.700000000000159</c:v>
                </c:pt>
                <c:pt idx="798">
                  <c:v>34.800000000000161</c:v>
                </c:pt>
                <c:pt idx="799">
                  <c:v>34.900000000000162</c:v>
                </c:pt>
                <c:pt idx="800">
                  <c:v>35.000000000000163</c:v>
                </c:pt>
                <c:pt idx="801">
                  <c:v>35.100000000000165</c:v>
                </c:pt>
                <c:pt idx="802">
                  <c:v>35.200000000000166</c:v>
                </c:pt>
                <c:pt idx="803">
                  <c:v>35.300000000000168</c:v>
                </c:pt>
                <c:pt idx="804">
                  <c:v>35.400000000000169</c:v>
                </c:pt>
                <c:pt idx="805">
                  <c:v>35.500000000000171</c:v>
                </c:pt>
                <c:pt idx="806">
                  <c:v>35.600000000000172</c:v>
                </c:pt>
                <c:pt idx="807">
                  <c:v>35.700000000000173</c:v>
                </c:pt>
                <c:pt idx="808">
                  <c:v>35.800000000000175</c:v>
                </c:pt>
                <c:pt idx="809">
                  <c:v>35.900000000000176</c:v>
                </c:pt>
                <c:pt idx="810">
                  <c:v>36.000000000000178</c:v>
                </c:pt>
                <c:pt idx="811">
                  <c:v>36.100000000000179</c:v>
                </c:pt>
                <c:pt idx="812">
                  <c:v>36.20000000000018</c:v>
                </c:pt>
                <c:pt idx="813">
                  <c:v>36.300000000000182</c:v>
                </c:pt>
                <c:pt idx="814">
                  <c:v>36.400000000000183</c:v>
                </c:pt>
                <c:pt idx="815">
                  <c:v>36.500000000000185</c:v>
                </c:pt>
                <c:pt idx="816">
                  <c:v>36.600000000000186</c:v>
                </c:pt>
                <c:pt idx="817">
                  <c:v>36.700000000000188</c:v>
                </c:pt>
                <c:pt idx="818">
                  <c:v>36.800000000000189</c:v>
                </c:pt>
                <c:pt idx="819">
                  <c:v>36.90000000000019</c:v>
                </c:pt>
                <c:pt idx="820">
                  <c:v>37.000000000000192</c:v>
                </c:pt>
                <c:pt idx="821">
                  <c:v>37.100000000000193</c:v>
                </c:pt>
                <c:pt idx="822">
                  <c:v>37.200000000000195</c:v>
                </c:pt>
                <c:pt idx="823">
                  <c:v>37.300000000000196</c:v>
                </c:pt>
                <c:pt idx="824">
                  <c:v>37.400000000000198</c:v>
                </c:pt>
                <c:pt idx="825">
                  <c:v>37.500000000000199</c:v>
                </c:pt>
                <c:pt idx="826">
                  <c:v>37.6000000000002</c:v>
                </c:pt>
                <c:pt idx="827">
                  <c:v>37.700000000000202</c:v>
                </c:pt>
                <c:pt idx="828">
                  <c:v>37.800000000000203</c:v>
                </c:pt>
                <c:pt idx="829">
                  <c:v>37.900000000000205</c:v>
                </c:pt>
                <c:pt idx="830">
                  <c:v>38.000000000000206</c:v>
                </c:pt>
                <c:pt idx="831">
                  <c:v>38.100000000000207</c:v>
                </c:pt>
                <c:pt idx="832">
                  <c:v>38.200000000000209</c:v>
                </c:pt>
                <c:pt idx="833">
                  <c:v>38.30000000000021</c:v>
                </c:pt>
                <c:pt idx="834">
                  <c:v>38.400000000000212</c:v>
                </c:pt>
                <c:pt idx="835">
                  <c:v>38.500000000000213</c:v>
                </c:pt>
                <c:pt idx="836">
                  <c:v>38.600000000000215</c:v>
                </c:pt>
                <c:pt idx="837">
                  <c:v>38.700000000000216</c:v>
                </c:pt>
                <c:pt idx="838">
                  <c:v>38.800000000000217</c:v>
                </c:pt>
                <c:pt idx="839">
                  <c:v>38.900000000000219</c:v>
                </c:pt>
                <c:pt idx="840">
                  <c:v>39.00000000000022</c:v>
                </c:pt>
                <c:pt idx="841">
                  <c:v>39.100000000000222</c:v>
                </c:pt>
                <c:pt idx="842">
                  <c:v>39.200000000000223</c:v>
                </c:pt>
                <c:pt idx="843">
                  <c:v>39.300000000000225</c:v>
                </c:pt>
                <c:pt idx="844">
                  <c:v>39.400000000000226</c:v>
                </c:pt>
                <c:pt idx="845">
                  <c:v>39.500000000000227</c:v>
                </c:pt>
                <c:pt idx="846">
                  <c:v>39.600000000000229</c:v>
                </c:pt>
                <c:pt idx="847">
                  <c:v>39.70000000000023</c:v>
                </c:pt>
                <c:pt idx="848">
                  <c:v>39.800000000000232</c:v>
                </c:pt>
                <c:pt idx="849">
                  <c:v>39.900000000000233</c:v>
                </c:pt>
                <c:pt idx="850">
                  <c:v>40.000000000000234</c:v>
                </c:pt>
                <c:pt idx="851">
                  <c:v>40.100000000000236</c:v>
                </c:pt>
                <c:pt idx="852">
                  <c:v>40.200000000000237</c:v>
                </c:pt>
                <c:pt idx="853">
                  <c:v>40.300000000000239</c:v>
                </c:pt>
                <c:pt idx="854">
                  <c:v>40.40000000000024</c:v>
                </c:pt>
                <c:pt idx="855">
                  <c:v>40.500000000000242</c:v>
                </c:pt>
                <c:pt idx="856">
                  <c:v>40.600000000000243</c:v>
                </c:pt>
                <c:pt idx="857">
                  <c:v>40.700000000000244</c:v>
                </c:pt>
                <c:pt idx="858">
                  <c:v>40.800000000000246</c:v>
                </c:pt>
                <c:pt idx="859">
                  <c:v>40.900000000000247</c:v>
                </c:pt>
                <c:pt idx="860">
                  <c:v>41.000000000000249</c:v>
                </c:pt>
                <c:pt idx="861">
                  <c:v>41.10000000000025</c:v>
                </c:pt>
                <c:pt idx="862">
                  <c:v>41.200000000000252</c:v>
                </c:pt>
                <c:pt idx="863">
                  <c:v>41.300000000000253</c:v>
                </c:pt>
                <c:pt idx="864">
                  <c:v>41.400000000000254</c:v>
                </c:pt>
                <c:pt idx="865">
                  <c:v>41.500000000000256</c:v>
                </c:pt>
                <c:pt idx="866">
                  <c:v>41.600000000000257</c:v>
                </c:pt>
                <c:pt idx="867">
                  <c:v>41.700000000000259</c:v>
                </c:pt>
                <c:pt idx="868">
                  <c:v>41.80000000000026</c:v>
                </c:pt>
                <c:pt idx="869">
                  <c:v>41.900000000000261</c:v>
                </c:pt>
                <c:pt idx="870">
                  <c:v>42.000000000000263</c:v>
                </c:pt>
                <c:pt idx="871">
                  <c:v>42.100000000000264</c:v>
                </c:pt>
                <c:pt idx="872">
                  <c:v>42.200000000000266</c:v>
                </c:pt>
                <c:pt idx="873">
                  <c:v>42.300000000000267</c:v>
                </c:pt>
                <c:pt idx="874">
                  <c:v>42.400000000000269</c:v>
                </c:pt>
                <c:pt idx="875">
                  <c:v>42.50000000000027</c:v>
                </c:pt>
                <c:pt idx="876">
                  <c:v>42.600000000000271</c:v>
                </c:pt>
                <c:pt idx="877">
                  <c:v>42.700000000000273</c:v>
                </c:pt>
                <c:pt idx="878">
                  <c:v>42.800000000000274</c:v>
                </c:pt>
                <c:pt idx="879">
                  <c:v>42.900000000000276</c:v>
                </c:pt>
                <c:pt idx="880">
                  <c:v>43.000000000000277</c:v>
                </c:pt>
                <c:pt idx="881">
                  <c:v>43.100000000000279</c:v>
                </c:pt>
                <c:pt idx="882">
                  <c:v>43.20000000000028</c:v>
                </c:pt>
                <c:pt idx="883">
                  <c:v>43.300000000000281</c:v>
                </c:pt>
                <c:pt idx="884">
                  <c:v>43.400000000000283</c:v>
                </c:pt>
                <c:pt idx="885">
                  <c:v>43.500000000000284</c:v>
                </c:pt>
                <c:pt idx="886">
                  <c:v>43.600000000000286</c:v>
                </c:pt>
                <c:pt idx="887">
                  <c:v>43.700000000000287</c:v>
                </c:pt>
                <c:pt idx="888">
                  <c:v>43.800000000000288</c:v>
                </c:pt>
                <c:pt idx="889">
                  <c:v>43.90000000000029</c:v>
                </c:pt>
                <c:pt idx="890">
                  <c:v>44.000000000000291</c:v>
                </c:pt>
                <c:pt idx="891">
                  <c:v>44.100000000000293</c:v>
                </c:pt>
                <c:pt idx="892">
                  <c:v>44.200000000000294</c:v>
                </c:pt>
                <c:pt idx="893">
                  <c:v>44.300000000000296</c:v>
                </c:pt>
                <c:pt idx="894">
                  <c:v>44.400000000000297</c:v>
                </c:pt>
                <c:pt idx="895">
                  <c:v>44.500000000000298</c:v>
                </c:pt>
                <c:pt idx="896">
                  <c:v>44.6000000000003</c:v>
                </c:pt>
                <c:pt idx="897">
                  <c:v>44.700000000000301</c:v>
                </c:pt>
                <c:pt idx="898">
                  <c:v>44.800000000000303</c:v>
                </c:pt>
                <c:pt idx="899">
                  <c:v>44.900000000000304</c:v>
                </c:pt>
                <c:pt idx="900">
                  <c:v>45.000000000000306</c:v>
                </c:pt>
                <c:pt idx="901">
                  <c:v>45.100000000000307</c:v>
                </c:pt>
                <c:pt idx="902">
                  <c:v>45.200000000000308</c:v>
                </c:pt>
                <c:pt idx="903">
                  <c:v>45.30000000000031</c:v>
                </c:pt>
                <c:pt idx="904">
                  <c:v>45.400000000000311</c:v>
                </c:pt>
                <c:pt idx="905">
                  <c:v>45.500000000000313</c:v>
                </c:pt>
                <c:pt idx="906">
                  <c:v>45.600000000000314</c:v>
                </c:pt>
                <c:pt idx="907">
                  <c:v>45.700000000000315</c:v>
                </c:pt>
                <c:pt idx="908">
                  <c:v>45.800000000000317</c:v>
                </c:pt>
                <c:pt idx="909">
                  <c:v>45.900000000000318</c:v>
                </c:pt>
                <c:pt idx="910">
                  <c:v>46.00000000000032</c:v>
                </c:pt>
                <c:pt idx="911">
                  <c:v>46.100000000000321</c:v>
                </c:pt>
                <c:pt idx="912">
                  <c:v>46.200000000000323</c:v>
                </c:pt>
                <c:pt idx="913">
                  <c:v>46.300000000000324</c:v>
                </c:pt>
                <c:pt idx="914">
                  <c:v>46.400000000000325</c:v>
                </c:pt>
                <c:pt idx="915">
                  <c:v>46.500000000000327</c:v>
                </c:pt>
                <c:pt idx="916">
                  <c:v>46.600000000000328</c:v>
                </c:pt>
                <c:pt idx="917">
                  <c:v>46.70000000000033</c:v>
                </c:pt>
                <c:pt idx="918">
                  <c:v>46.800000000000331</c:v>
                </c:pt>
                <c:pt idx="919">
                  <c:v>46.900000000000333</c:v>
                </c:pt>
                <c:pt idx="920">
                  <c:v>47.000000000000334</c:v>
                </c:pt>
                <c:pt idx="921">
                  <c:v>47.100000000000335</c:v>
                </c:pt>
                <c:pt idx="922">
                  <c:v>47.200000000000337</c:v>
                </c:pt>
                <c:pt idx="923">
                  <c:v>47.300000000000338</c:v>
                </c:pt>
                <c:pt idx="924">
                  <c:v>47.40000000000034</c:v>
                </c:pt>
                <c:pt idx="925">
                  <c:v>47.500000000000341</c:v>
                </c:pt>
                <c:pt idx="926">
                  <c:v>47.600000000000342</c:v>
                </c:pt>
                <c:pt idx="927">
                  <c:v>47.700000000000344</c:v>
                </c:pt>
                <c:pt idx="928">
                  <c:v>47.800000000000345</c:v>
                </c:pt>
                <c:pt idx="929">
                  <c:v>47.900000000000347</c:v>
                </c:pt>
                <c:pt idx="930">
                  <c:v>48.000000000000348</c:v>
                </c:pt>
                <c:pt idx="931">
                  <c:v>48.10000000000035</c:v>
                </c:pt>
                <c:pt idx="932">
                  <c:v>48.200000000000351</c:v>
                </c:pt>
                <c:pt idx="933">
                  <c:v>48.300000000000352</c:v>
                </c:pt>
                <c:pt idx="934">
                  <c:v>48.400000000000354</c:v>
                </c:pt>
                <c:pt idx="935">
                  <c:v>48.500000000000355</c:v>
                </c:pt>
                <c:pt idx="936">
                  <c:v>48.600000000000357</c:v>
                </c:pt>
                <c:pt idx="937">
                  <c:v>48.700000000000358</c:v>
                </c:pt>
                <c:pt idx="938">
                  <c:v>48.80000000000036</c:v>
                </c:pt>
                <c:pt idx="939">
                  <c:v>48.900000000000361</c:v>
                </c:pt>
                <c:pt idx="940">
                  <c:v>49.000000000000362</c:v>
                </c:pt>
                <c:pt idx="941">
                  <c:v>49.100000000000364</c:v>
                </c:pt>
                <c:pt idx="942">
                  <c:v>49.200000000000365</c:v>
                </c:pt>
                <c:pt idx="943">
                  <c:v>49.300000000000367</c:v>
                </c:pt>
                <c:pt idx="944">
                  <c:v>49.30010000000037</c:v>
                </c:pt>
                <c:pt idx="945">
                  <c:v>49.300200000000373</c:v>
                </c:pt>
                <c:pt idx="946">
                  <c:v>49.300300000000377</c:v>
                </c:pt>
                <c:pt idx="947">
                  <c:v>49.30040000000038</c:v>
                </c:pt>
                <c:pt idx="948">
                  <c:v>49.300500000000383</c:v>
                </c:pt>
                <c:pt idx="949">
                  <c:v>49.300600000000387</c:v>
                </c:pt>
                <c:pt idx="950">
                  <c:v>49.30070000000039</c:v>
                </c:pt>
                <c:pt idx="951">
                  <c:v>49.300800000000393</c:v>
                </c:pt>
                <c:pt idx="952">
                  <c:v>49.300900000000397</c:v>
                </c:pt>
                <c:pt idx="953">
                  <c:v>49.3010000000004</c:v>
                </c:pt>
                <c:pt idx="954">
                  <c:v>49.301100000000403</c:v>
                </c:pt>
                <c:pt idx="955">
                  <c:v>49.301200000000406</c:v>
                </c:pt>
                <c:pt idx="956">
                  <c:v>49.30130000000041</c:v>
                </c:pt>
                <c:pt idx="957">
                  <c:v>49.301400000000413</c:v>
                </c:pt>
                <c:pt idx="958">
                  <c:v>49.301500000000416</c:v>
                </c:pt>
                <c:pt idx="959">
                  <c:v>49.30160000000042</c:v>
                </c:pt>
                <c:pt idx="960">
                  <c:v>49.301700000000423</c:v>
                </c:pt>
                <c:pt idx="961">
                  <c:v>49.301800000000426</c:v>
                </c:pt>
                <c:pt idx="962">
                  <c:v>49.30190000000043</c:v>
                </c:pt>
                <c:pt idx="963">
                  <c:v>49.302000000000433</c:v>
                </c:pt>
                <c:pt idx="964">
                  <c:v>49.302100000000436</c:v>
                </c:pt>
                <c:pt idx="965">
                  <c:v>49.30220000000044</c:v>
                </c:pt>
                <c:pt idx="966">
                  <c:v>49.302300000000443</c:v>
                </c:pt>
                <c:pt idx="967">
                  <c:v>49.302400000000446</c:v>
                </c:pt>
                <c:pt idx="968">
                  <c:v>49.30250000000045</c:v>
                </c:pt>
                <c:pt idx="969">
                  <c:v>49.302600000000453</c:v>
                </c:pt>
                <c:pt idx="970">
                  <c:v>49.302700000000456</c:v>
                </c:pt>
                <c:pt idx="971">
                  <c:v>49.30280000000046</c:v>
                </c:pt>
                <c:pt idx="972">
                  <c:v>49.302900000000463</c:v>
                </c:pt>
                <c:pt idx="973">
                  <c:v>49.303000000000466</c:v>
                </c:pt>
                <c:pt idx="974">
                  <c:v>49.30310000000047</c:v>
                </c:pt>
                <c:pt idx="975">
                  <c:v>49.303200000000473</c:v>
                </c:pt>
                <c:pt idx="976">
                  <c:v>49.303300000000476</c:v>
                </c:pt>
                <c:pt idx="977">
                  <c:v>49.30340000000048</c:v>
                </c:pt>
                <c:pt idx="978">
                  <c:v>49.303500000000483</c:v>
                </c:pt>
                <c:pt idx="979">
                  <c:v>49.303600000000486</c:v>
                </c:pt>
                <c:pt idx="980">
                  <c:v>49.303700000000489</c:v>
                </c:pt>
                <c:pt idx="981">
                  <c:v>49.303800000000493</c:v>
                </c:pt>
                <c:pt idx="982">
                  <c:v>49.303900000000496</c:v>
                </c:pt>
                <c:pt idx="983">
                  <c:v>49.304000000000499</c:v>
                </c:pt>
                <c:pt idx="984">
                  <c:v>49.304100000000503</c:v>
                </c:pt>
                <c:pt idx="985">
                  <c:v>49.304200000000506</c:v>
                </c:pt>
                <c:pt idx="986">
                  <c:v>49.304300000000509</c:v>
                </c:pt>
                <c:pt idx="987">
                  <c:v>49.304400000000513</c:v>
                </c:pt>
                <c:pt idx="988">
                  <c:v>49.304500000000516</c:v>
                </c:pt>
                <c:pt idx="989">
                  <c:v>49.304600000000519</c:v>
                </c:pt>
                <c:pt idx="990">
                  <c:v>49.304700000000523</c:v>
                </c:pt>
                <c:pt idx="991">
                  <c:v>49.304800000000526</c:v>
                </c:pt>
                <c:pt idx="992">
                  <c:v>49.304900000000529</c:v>
                </c:pt>
                <c:pt idx="993">
                  <c:v>49.305000000000533</c:v>
                </c:pt>
                <c:pt idx="994">
                  <c:v>49.305100000000536</c:v>
                </c:pt>
                <c:pt idx="995">
                  <c:v>49.305200000000539</c:v>
                </c:pt>
                <c:pt idx="996">
                  <c:v>49.305300000000543</c:v>
                </c:pt>
                <c:pt idx="997">
                  <c:v>49.305400000000546</c:v>
                </c:pt>
                <c:pt idx="998">
                  <c:v>49.305500000000549</c:v>
                </c:pt>
                <c:pt idx="999">
                  <c:v>49.305600000000553</c:v>
                </c:pt>
                <c:pt idx="1000">
                  <c:v>49.305700000000556</c:v>
                </c:pt>
              </c:numCache>
            </c:numRef>
          </c:xVal>
          <c:yVal>
            <c:numRef>
              <c:f>Calculs!$W$4:$W$1004</c:f>
              <c:numCache>
                <c:formatCode>0.00</c:formatCode>
                <c:ptCount val="1001"/>
                <c:pt idx="0">
                  <c:v>0</c:v>
                </c:pt>
                <c:pt idx="1">
                  <c:v>2.2422131307276839E-5</c:v>
                </c:pt>
                <c:pt idx="2">
                  <c:v>4.1239079634663528E-4</c:v>
                </c:pt>
                <c:pt idx="3">
                  <c:v>1.6303877836434633E-3</c:v>
                </c:pt>
                <c:pt idx="4">
                  <c:v>4.2185711449962754E-3</c:v>
                </c:pt>
                <c:pt idx="5">
                  <c:v>8.8414010220747002E-3</c:v>
                </c:pt>
                <c:pt idx="6">
                  <c:v>1.6286124950736905E-2</c:v>
                </c:pt>
                <c:pt idx="7">
                  <c:v>2.7463334766424138E-2</c:v>
                </c:pt>
                <c:pt idx="8">
                  <c:v>4.3407594290261475E-2</c:v>
                </c:pt>
                <c:pt idx="9">
                  <c:v>6.5278137037957276E-2</c:v>
                </c:pt>
                <c:pt idx="10">
                  <c:v>9.4359633253570052E-2</c:v>
                </c:pt>
                <c:pt idx="11">
                  <c:v>0.13018806523783619</c:v>
                </c:pt>
                <c:pt idx="12">
                  <c:v>0.17124327216662982</c:v>
                </c:pt>
                <c:pt idx="13">
                  <c:v>0.21730333323053078</c:v>
                </c:pt>
                <c:pt idx="14">
                  <c:v>0.26814001280602684</c:v>
                </c:pt>
                <c:pt idx="15">
                  <c:v>0.3235414857428664</c:v>
                </c:pt>
                <c:pt idx="16">
                  <c:v>0.38329815736835415</c:v>
                </c:pt>
                <c:pt idx="17">
                  <c:v>0.44720269458471612</c:v>
                </c:pt>
                <c:pt idx="18">
                  <c:v>0.51505005647237145</c:v>
                </c:pt>
                <c:pt idx="19">
                  <c:v>0.58663752439566308</c:v>
                </c:pt>
                <c:pt idx="20">
                  <c:v>0.66176473160779536</c:v>
                </c:pt>
                <c:pt idx="21">
                  <c:v>0.74023369235191672</c:v>
                </c:pt>
                <c:pt idx="22">
                  <c:v>0.8218488304554955</c:v>
                </c:pt>
                <c:pt idx="23">
                  <c:v>0.90641700741531217</c:v>
                </c:pt>
                <c:pt idx="24">
                  <c:v>0.99374754997061399</c:v>
                </c:pt>
                <c:pt idx="25">
                  <c:v>1.0836522771621482</c:v>
                </c:pt>
                <c:pt idx="26">
                  <c:v>1.1759455268749968</c:v>
                </c:pt>
                <c:pt idx="27">
                  <c:v>1.2712285800375178</c:v>
                </c:pt>
                <c:pt idx="28">
                  <c:v>1.3702250726260568</c:v>
                </c:pt>
                <c:pt idx="29">
                  <c:v>1.4729346796305394</c:v>
                </c:pt>
                <c:pt idx="30">
                  <c:v>1.5793569964770631</c:v>
                </c:pt>
                <c:pt idx="31">
                  <c:v>1.6894915389401601</c:v>
                </c:pt>
                <c:pt idx="32">
                  <c:v>1.8033377430585535</c:v>
                </c:pt>
                <c:pt idx="33">
                  <c:v>1.9208949650543861</c:v>
                </c:pt>
                <c:pt idx="34">
                  <c:v>2.0421632647583445</c:v>
                </c:pt>
                <c:pt idx="35">
                  <c:v>2.1671427501484022</c:v>
                </c:pt>
                <c:pt idx="36">
                  <c:v>2.2958326453844466</c:v>
                </c:pt>
                <c:pt idx="37">
                  <c:v>2.4282320922397309</c:v>
                </c:pt>
                <c:pt idx="38">
                  <c:v>2.5643401501437224</c:v>
                </c:pt>
                <c:pt idx="39">
                  <c:v>2.7041557962272602</c:v>
                </c:pt>
                <c:pt idx="40">
                  <c:v>2.8476779253635418</c:v>
                </c:pt>
                <c:pt idx="41">
                  <c:v>2.9949053502057312</c:v>
                </c:pt>
                <c:pt idx="42">
                  <c:v>3.1458368012217917</c:v>
                </c:pt>
                <c:pt idx="43">
                  <c:v>3.300470926727217</c:v>
                </c:pt>
                <c:pt idx="44">
                  <c:v>3.458806292916107</c:v>
                </c:pt>
                <c:pt idx="45">
                  <c:v>3.62084138389111</c:v>
                </c:pt>
                <c:pt idx="46">
                  <c:v>3.7865746016926067</c:v>
                </c:pt>
                <c:pt idx="47">
                  <c:v>3.9560042663275476</c:v>
                </c:pt>
                <c:pt idx="48">
                  <c:v>4.1291286157982432</c:v>
                </c:pt>
                <c:pt idx="49">
                  <c:v>4.3059458061314286</c:v>
                </c:pt>
                <c:pt idx="50">
                  <c:v>4.4864539114078719</c:v>
                </c:pt>
                <c:pt idx="51">
                  <c:v>4.6706509237927634</c:v>
                </c:pt>
                <c:pt idx="52">
                  <c:v>4.8585347535671133</c:v>
                </c:pt>
                <c:pt idx="53">
                  <c:v>5.0501032291603565</c:v>
                </c:pt>
                <c:pt idx="54">
                  <c:v>5.2453540971843617</c:v>
                </c:pt>
                <c:pt idx="55">
                  <c:v>5.4442850224689936</c:v>
                </c:pt>
                <c:pt idx="56">
                  <c:v>5.646893588099366</c:v>
                </c:pt>
                <c:pt idx="57">
                  <c:v>5.8531772954550032</c:v>
                </c:pt>
                <c:pt idx="58">
                  <c:v>6.0631335642509177</c:v>
                </c:pt>
                <c:pt idx="59">
                  <c:v>6.2767597325808255</c:v>
                </c:pt>
                <c:pt idx="60">
                  <c:v>6.4940530569625725</c:v>
                </c:pt>
                <c:pt idx="61">
                  <c:v>6.7150107123858094</c:v>
                </c:pt>
                <c:pt idx="62">
                  <c:v>6.9396297923621306</c:v>
                </c:pt>
                <c:pt idx="63">
                  <c:v>7.1679073089776582</c:v>
                </c:pt>
                <c:pt idx="64">
                  <c:v>7.3998401929481741</c:v>
                </c:pt>
                <c:pt idx="65">
                  <c:v>7.6354252936769011</c:v>
                </c:pt>
                <c:pt idx="66">
                  <c:v>7.8746593793149549</c:v>
                </c:pt>
                <c:pt idx="67">
                  <c:v>8.1175391368245879</c:v>
                </c:pt>
                <c:pt idx="68">
                  <c:v>8.3640611720451936</c:v>
                </c:pt>
                <c:pt idx="69">
                  <c:v>8.6142220097622211</c:v>
                </c:pt>
                <c:pt idx="70">
                  <c:v>8.8680180937789768</c:v>
                </c:pt>
                <c:pt idx="71">
                  <c:v>9.1254457869913885</c:v>
                </c:pt>
                <c:pt idx="72">
                  <c:v>9.3864769951236706</c:v>
                </c:pt>
                <c:pt idx="73">
                  <c:v>9.651082143375227</c:v>
                </c:pt>
                <c:pt idx="74">
                  <c:v>9.9192552561192429</c:v>
                </c:pt>
                <c:pt idx="75">
                  <c:v>10.190990276653741</c:v>
                </c:pt>
                <c:pt idx="76">
                  <c:v>10.466281067388696</c:v>
                </c:pt>
                <c:pt idx="77">
                  <c:v>10.745121410036367</c:v>
                </c:pt>
                <c:pt idx="78">
                  <c:v>11.027505005804922</c:v>
                </c:pt>
                <c:pt idx="79">
                  <c:v>11.313425475595407</c:v>
                </c:pt>
                <c:pt idx="80">
                  <c:v>11.602876360201988</c:v>
                </c:pt>
                <c:pt idx="81">
                  <c:v>11.895851120515548</c:v>
                </c:pt>
                <c:pt idx="82">
                  <c:v>12.192343137730644</c:v>
                </c:pt>
                <c:pt idx="83">
                  <c:v>12.492345713555785</c:v>
                </c:pt>
                <c:pt idx="84">
                  <c:v>12.795852070427166</c:v>
                </c:pt>
                <c:pt idx="85">
                  <c:v>13.102855351725621</c:v>
                </c:pt>
                <c:pt idx="86">
                  <c:v>13.41334862199712</c:v>
                </c:pt>
                <c:pt idx="87">
                  <c:v>13.727324867176542</c:v>
                </c:pt>
                <c:pt idx="88">
                  <c:v>14.044776994814891</c:v>
                </c:pt>
                <c:pt idx="89">
                  <c:v>14.36569783430989</c:v>
                </c:pt>
                <c:pt idx="90">
                  <c:v>14.690080137139951</c:v>
                </c:pt>
                <c:pt idx="91">
                  <c:v>15.017916577101545</c:v>
                </c:pt>
                <c:pt idx="92">
                  <c:v>15.349199750550012</c:v>
                </c:pt>
                <c:pt idx="93">
                  <c:v>15.683922176643705</c:v>
                </c:pt>
                <c:pt idx="94">
                  <c:v>16.022076297591497</c:v>
                </c:pt>
                <c:pt idx="95">
                  <c:v>16.363654478903779</c:v>
                </c:pt>
                <c:pt idx="96">
                  <c:v>16.708649009646763</c:v>
                </c:pt>
                <c:pt idx="97">
                  <c:v>17.057052102700126</c:v>
                </c:pt>
                <c:pt idx="98">
                  <c:v>17.408855895018121</c:v>
                </c:pt>
                <c:pt idx="99">
                  <c:v>17.764052447894027</c:v>
                </c:pt>
                <c:pt idx="100">
                  <c:v>18.122633747227834</c:v>
                </c:pt>
                <c:pt idx="101">
                  <c:v>18.484591703797477</c:v>
                </c:pt>
                <c:pt idx="102">
                  <c:v>18.849918153533242</c:v>
                </c:pt>
                <c:pt idx="103">
                  <c:v>19.218604857795594</c:v>
                </c:pt>
                <c:pt idx="104">
                  <c:v>19.590643503656302</c:v>
                </c:pt>
                <c:pt idx="105">
                  <c:v>19.966025704182833</c:v>
                </c:pt>
                <c:pt idx="106">
                  <c:v>20.344742998726133</c:v>
                </c:pt>
                <c:pt idx="107">
                  <c:v>20.726786853211578</c:v>
                </c:pt>
                <c:pt idx="108">
                  <c:v>21.112148660433348</c:v>
                </c:pt>
                <c:pt idx="109">
                  <c:v>21.500819740351933</c:v>
                </c:pt>
                <c:pt idx="110">
                  <c:v>21.892791340394908</c:v>
                </c:pt>
                <c:pt idx="111">
                  <c:v>22.288054635761018</c:v>
                </c:pt>
                <c:pt idx="112">
                  <c:v>22.686600729727441</c:v>
                </c:pt>
                <c:pt idx="113">
                  <c:v>23.088420653960238</c:v>
                </c:pt>
                <c:pt idx="114">
                  <c:v>23.493505368827972</c:v>
                </c:pt>
                <c:pt idx="115">
                  <c:v>23.901845763718615</c:v>
                </c:pt>
                <c:pt idx="116">
                  <c:v>24.313432657359471</c:v>
                </c:pt>
                <c:pt idx="117">
                  <c:v>24.728256798140368</c:v>
                </c:pt>
                <c:pt idx="118">
                  <c:v>25.146308864439895</c:v>
                </c:pt>
                <c:pt idx="119">
                  <c:v>25.567579464954736</c:v>
                </c:pt>
                <c:pt idx="120">
                  <c:v>25.992059139032218</c:v>
                </c:pt>
                <c:pt idx="121">
                  <c:v>26.41973835700577</c:v>
                </c:pt>
                <c:pt idx="122">
                  <c:v>26.850607520533522</c:v>
                </c:pt>
                <c:pt idx="123">
                  <c:v>27.284656962939987</c:v>
                </c:pt>
                <c:pt idx="124">
                  <c:v>27.721876949560624</c:v>
                </c:pt>
                <c:pt idx="125">
                  <c:v>28.162257678089549</c:v>
                </c:pt>
                <c:pt idx="126">
                  <c:v>28.605789278930111</c:v>
                </c:pt>
                <c:pt idx="127">
                  <c:v>29.052461815548448</c:v>
                </c:pt>
                <c:pt idx="128">
                  <c:v>29.502265284830059</c:v>
                </c:pt>
                <c:pt idx="129">
                  <c:v>29.954988876313188</c:v>
                </c:pt>
                <c:pt idx="130">
                  <c:v>30.410415418309405</c:v>
                </c:pt>
                <c:pt idx="131">
                  <c:v>30.868525341760332</c:v>
                </c:pt>
                <c:pt idx="132">
                  <c:v>31.329299034150072</c:v>
                </c:pt>
                <c:pt idx="133">
                  <c:v>31.792716840342681</c:v>
                </c:pt>
                <c:pt idx="134">
                  <c:v>32.258759063420491</c:v>
                </c:pt>
                <c:pt idx="135">
                  <c:v>32.727405965523339</c:v>
                </c:pt>
                <c:pt idx="136">
                  <c:v>33.198637768688265</c:v>
                </c:pt>
                <c:pt idx="137">
                  <c:v>33.672434655690182</c:v>
                </c:pt>
                <c:pt idx="138">
                  <c:v>34.148776770882797</c:v>
                </c:pt>
                <c:pt idx="139">
                  <c:v>34.627644221040399</c:v>
                </c:pt>
                <c:pt idx="140">
                  <c:v>35.109017076199805</c:v>
                </c:pt>
                <c:pt idx="141">
                  <c:v>35.592875370502981</c:v>
                </c:pt>
                <c:pt idx="142">
                  <c:v>36.079199103039905</c:v>
                </c:pt>
                <c:pt idx="143">
                  <c:v>36.567968238691677</c:v>
                </c:pt>
                <c:pt idx="144">
                  <c:v>37.059162708973936</c:v>
                </c:pt>
                <c:pt idx="145">
                  <c:v>37.552762412880433</c:v>
                </c:pt>
                <c:pt idx="146">
                  <c:v>38.048747217726721</c:v>
                </c:pt>
                <c:pt idx="147">
                  <c:v>38.547096959993866</c:v>
                </c:pt>
                <c:pt idx="148">
                  <c:v>39.047791446172148</c:v>
                </c:pt>
                <c:pt idx="149">
                  <c:v>39.550810453604861</c:v>
                </c:pt>
                <c:pt idx="150">
                  <c:v>40.056133731331578</c:v>
                </c:pt>
                <c:pt idx="151">
                  <c:v>40.563741000931778</c:v>
                </c:pt>
                <c:pt idx="152">
                  <c:v>41.073611957367746</c:v>
                </c:pt>
                <c:pt idx="153">
                  <c:v>41.585726269827497</c:v>
                </c:pt>
                <c:pt idx="154">
                  <c:v>42.100063582567074</c:v>
                </c:pt>
                <c:pt idx="155">
                  <c:v>42.616603515752715</c:v>
                </c:pt>
                <c:pt idx="156">
                  <c:v>43.135325666302222</c:v>
                </c:pt>
                <c:pt idx="157">
                  <c:v>43.656209608725995</c:v>
                </c:pt>
                <c:pt idx="158">
                  <c:v>44.17923489596749</c:v>
                </c:pt>
                <c:pt idx="159">
                  <c:v>44.704381060242802</c:v>
                </c:pt>
                <c:pt idx="160">
                  <c:v>45.231627613879773</c:v>
                </c:pt>
                <c:pt idx="161">
                  <c:v>45.760954050156208</c:v>
                </c:pt>
                <c:pt idx="162">
                  <c:v>46.292339844137217</c:v>
                </c:pt>
                <c:pt idx="163">
                  <c:v>46.825764453511759</c:v>
                </c:pt>
                <c:pt idx="164">
                  <c:v>47.361207319428239</c:v>
                </c:pt>
                <c:pt idx="165">
                  <c:v>47.898647867328975</c:v>
                </c:pt>
                <c:pt idx="166">
                  <c:v>48.43806550778379</c:v>
                </c:pt>
                <c:pt idx="167">
                  <c:v>48.97943963732228</c:v>
                </c:pt>
                <c:pt idx="168">
                  <c:v>49.522749639265093</c:v>
                </c:pt>
                <c:pt idx="169">
                  <c:v>50.067974884553784</c:v>
                </c:pt>
                <c:pt idx="170">
                  <c:v>50.615094732579735</c:v>
                </c:pt>
                <c:pt idx="171">
                  <c:v>51.164088532011128</c:v>
                </c:pt>
                <c:pt idx="172">
                  <c:v>51.71493562161924</c:v>
                </c:pt>
                <c:pt idx="173">
                  <c:v>52.267615331102633</c:v>
                </c:pt>
                <c:pt idx="174">
                  <c:v>52.822106981910309</c:v>
                </c:pt>
                <c:pt idx="175">
                  <c:v>53.378389888063055</c:v>
                </c:pt>
                <c:pt idx="176">
                  <c:v>53.936443356973179</c:v>
                </c:pt>
                <c:pt idx="177">
                  <c:v>54.496246690262787</c:v>
                </c:pt>
                <c:pt idx="178">
                  <c:v>55.057779184579914</c:v>
                </c:pt>
                <c:pt idx="179">
                  <c:v>55.621020132413399</c:v>
                </c:pt>
                <c:pt idx="180">
                  <c:v>56.185948822905523</c:v>
                </c:pt>
                <c:pt idx="181">
                  <c:v>56.752544542662946</c:v>
                </c:pt>
                <c:pt idx="182">
                  <c:v>57.320786576565538</c:v>
                </c:pt>
                <c:pt idx="183">
                  <c:v>57.890654208573544</c:v>
                </c:pt>
                <c:pt idx="184">
                  <c:v>58.462126722532361</c:v>
                </c:pt>
                <c:pt idx="185">
                  <c:v>59.035183402975477</c:v>
                </c:pt>
                <c:pt idx="186">
                  <c:v>59.609803535925003</c:v>
                </c:pt>
                <c:pt idx="187">
                  <c:v>60.185966409690273</c:v>
                </c:pt>
                <c:pt idx="188">
                  <c:v>60.763651315664063</c:v>
                </c:pt>
                <c:pt idx="189">
                  <c:v>61.342837549116652</c:v>
                </c:pt>
                <c:pt idx="190">
                  <c:v>61.923504409987103</c:v>
                </c:pt>
                <c:pt idx="191">
                  <c:v>62.50563120367282</c:v>
                </c:pt>
                <c:pt idx="192">
                  <c:v>63.089197241816144</c:v>
                </c:pt>
                <c:pt idx="193">
                  <c:v>63.674181843088633</c:v>
                </c:pt>
                <c:pt idx="194">
                  <c:v>64.260564333972781</c:v>
                </c:pt>
                <c:pt idx="195">
                  <c:v>64.84832404954129</c:v>
                </c:pt>
                <c:pt idx="196">
                  <c:v>65.437440334233429</c:v>
                </c:pt>
                <c:pt idx="197">
                  <c:v>66.027892542628905</c:v>
                </c:pt>
                <c:pt idx="198">
                  <c:v>66.619660040218889</c:v>
                </c:pt>
                <c:pt idx="199">
                  <c:v>67.212722204174639</c:v>
                </c:pt>
                <c:pt idx="200">
                  <c:v>67.807058424112554</c:v>
                </c:pt>
                <c:pt idx="201">
                  <c:v>68.402648102857228</c:v>
                </c:pt>
                <c:pt idx="202">
                  <c:v>68.999470657200789</c:v>
                </c:pt>
                <c:pt idx="203">
                  <c:v>69.597505518660057</c:v>
                </c:pt>
                <c:pt idx="204">
                  <c:v>70.196732134230047</c:v>
                </c:pt>
                <c:pt idx="205">
                  <c:v>70.797129967134808</c:v>
                </c:pt>
                <c:pt idx="206">
                  <c:v>71.398603078296347</c:v>
                </c:pt>
                <c:pt idx="207">
                  <c:v>72.001054242391461</c:v>
                </c:pt>
                <c:pt idx="208">
                  <c:v>72.604461064473327</c:v>
                </c:pt>
                <c:pt idx="209">
                  <c:v>73.20880118076407</c:v>
                </c:pt>
                <c:pt idx="210">
                  <c:v>73.81405225946682</c:v>
                </c:pt>
                <c:pt idx="211">
                  <c:v>74.42019200157317</c:v>
                </c:pt>
                <c:pt idx="212">
                  <c:v>75.027198141665792</c:v>
                </c:pt>
                <c:pt idx="213">
                  <c:v>75.635048448717299</c:v>
                </c:pt>
                <c:pt idx="214">
                  <c:v>76.243720726883737</c:v>
                </c:pt>
                <c:pt idx="215">
                  <c:v>76.853192816294211</c:v>
                </c:pt>
                <c:pt idx="216">
                  <c:v>77.463442593835396</c:v>
                </c:pt>
                <c:pt idx="217">
                  <c:v>78.074447973931626</c:v>
                </c:pt>
                <c:pt idx="218">
                  <c:v>78.686186909320313</c:v>
                </c:pt>
                <c:pt idx="219">
                  <c:v>79.29863739182224</c:v>
                </c:pt>
                <c:pt idx="220">
                  <c:v>79.911777453107703</c:v>
                </c:pt>
                <c:pt idx="221">
                  <c:v>80.525585165457429</c:v>
                </c:pt>
                <c:pt idx="222">
                  <c:v>81.140038642518434</c:v>
                </c:pt>
                <c:pt idx="223">
                  <c:v>81.755116040055611</c:v>
                </c:pt>
                <c:pt idx="224">
                  <c:v>82.370795556697885</c:v>
                </c:pt>
                <c:pt idx="225">
                  <c:v>82.987055434679519</c:v>
                </c:pt>
                <c:pt idx="226">
                  <c:v>83.603873960576593</c:v>
                </c:pt>
                <c:pt idx="227">
                  <c:v>84.22122946603821</c:v>
                </c:pt>
                <c:pt idx="228">
                  <c:v>84.83910032851297</c:v>
                </c:pt>
                <c:pt idx="229">
                  <c:v>85.457464971969642</c:v>
                </c:pt>
                <c:pt idx="230">
                  <c:v>86.07630186761395</c:v>
                </c:pt>
                <c:pt idx="231">
                  <c:v>86.69558953459881</c:v>
                </c:pt>
                <c:pt idx="232">
                  <c:v>87.315306540730248</c:v>
                </c:pt>
                <c:pt idx="233">
                  <c:v>87.935431503167962</c:v>
                </c:pt>
                <c:pt idx="234">
                  <c:v>88.555943089120305</c:v>
                </c:pt>
                <c:pt idx="235">
                  <c:v>89.176820016534478</c:v>
                </c:pt>
                <c:pt idx="236">
                  <c:v>89.798041054780924</c:v>
                </c:pt>
                <c:pt idx="237">
                  <c:v>90.419585025332907</c:v>
                </c:pt>
                <c:pt idx="238">
                  <c:v>91.041430802440061</c:v>
                </c:pt>
                <c:pt idx="239">
                  <c:v>91.663557313797341</c:v>
                </c:pt>
                <c:pt idx="240">
                  <c:v>92.285943541207814</c:v>
                </c:pt>
                <c:pt idx="241">
                  <c:v>92.908568521240596</c:v>
                </c:pt>
                <c:pt idx="242">
                  <c:v>93.531113317298775</c:v>
                </c:pt>
                <c:pt idx="243">
                  <c:v>94.153255038285138</c:v>
                </c:pt>
                <c:pt idx="244">
                  <c:v>94.774967077737472</c:v>
                </c:pt>
                <c:pt idx="245">
                  <c:v>95.39622294029715</c:v>
                </c:pt>
                <c:pt idx="246">
                  <c:v>96.016996242512477</c:v>
                </c:pt>
                <c:pt idx="247">
                  <c:v>96.637260713632699</c:v>
                </c:pt>
                <c:pt idx="248">
                  <c:v>97.256990196390475</c:v>
                </c:pt>
                <c:pt idx="249">
                  <c:v>97.876158647774503</c:v>
                </c:pt>
                <c:pt idx="250">
                  <c:v>98.494740139791347</c:v>
                </c:pt>
                <c:pt idx="251">
                  <c:v>99.112708860216529</c:v>
                </c:pt>
                <c:pt idx="252">
                  <c:v>99.730039113336161</c:v>
                </c:pt>
                <c:pt idx="253">
                  <c:v>100.34670532067631</c:v>
                </c:pt>
                <c:pt idx="254">
                  <c:v>100.96268202172347</c:v>
                </c:pt>
                <c:pt idx="255">
                  <c:v>101.57794387463326</c:v>
                </c:pt>
                <c:pt idx="256">
                  <c:v>102.19246565692981</c:v>
                </c:pt>
                <c:pt idx="257">
                  <c:v>102.80622226619325</c:v>
                </c:pt>
                <c:pt idx="258">
                  <c:v>103.41918872073775</c:v>
                </c:pt>
                <c:pt idx="259">
                  <c:v>104.03134016027833</c:v>
                </c:pt>
                <c:pt idx="260">
                  <c:v>104.64265184658768</c:v>
                </c:pt>
                <c:pt idx="261">
                  <c:v>105.25309916414191</c:v>
                </c:pt>
                <c:pt idx="262">
                  <c:v>105.86265762075638</c:v>
                </c:pt>
                <c:pt idx="263">
                  <c:v>106.47130284821012</c:v>
                </c:pt>
                <c:pt idx="264">
                  <c:v>107.07901060286079</c:v>
                </c:pt>
                <c:pt idx="265">
                  <c:v>107.68575676624853</c:v>
                </c:pt>
                <c:pt idx="266">
                  <c:v>108.29151734568917</c:v>
                </c:pt>
                <c:pt idx="267">
                  <c:v>108.89626847485744</c:v>
                </c:pt>
                <c:pt idx="268">
                  <c:v>109.49998641435923</c:v>
                </c:pt>
                <c:pt idx="269">
                  <c:v>110.1026475522939</c:v>
                </c:pt>
                <c:pt idx="270">
                  <c:v>110.70422840480575</c:v>
                </c:pt>
                <c:pt idx="271">
                  <c:v>111.304705616625</c:v>
                </c:pt>
                <c:pt idx="272">
                  <c:v>111.90405596159874</c:v>
                </c:pt>
                <c:pt idx="273">
                  <c:v>112.50225634321116</c:v>
                </c:pt>
                <c:pt idx="274">
                  <c:v>113.09928379509344</c:v>
                </c:pt>
                <c:pt idx="275">
                  <c:v>113.69511548152362</c:v>
                </c:pt>
                <c:pt idx="276">
                  <c:v>114.28972869791536</c:v>
                </c:pt>
                <c:pt idx="277">
                  <c:v>114.88310087129734</c:v>
                </c:pt>
                <c:pt idx="278">
                  <c:v>115.47520956078147</c:v>
                </c:pt>
                <c:pt idx="279">
                  <c:v>116.0660324580215</c:v>
                </c:pt>
                <c:pt idx="280">
                  <c:v>116.65554738766093</c:v>
                </c:pt>
                <c:pt idx="281">
                  <c:v>117.24373230777104</c:v>
                </c:pt>
                <c:pt idx="282">
                  <c:v>117.83056531027819</c:v>
                </c:pt>
                <c:pt idx="283">
                  <c:v>118.41602462138167</c:v>
                </c:pt>
                <c:pt idx="284">
                  <c:v>119.0004824500603</c:v>
                </c:pt>
                <c:pt idx="285">
                  <c:v>119.58431492200765</c:v>
                </c:pt>
                <c:pt idx="286">
                  <c:v>120.16750604274063</c:v>
                </c:pt>
                <c:pt idx="287">
                  <c:v>120.7500398888627</c:v>
                </c:pt>
                <c:pt idx="288">
                  <c:v>121.33190060837875</c:v>
                </c:pt>
                <c:pt idx="289">
                  <c:v>121.91307242100557</c:v>
                </c:pt>
                <c:pt idx="290">
                  <c:v>122.49353961847704</c:v>
                </c:pt>
                <c:pt idx="291">
                  <c:v>123.07328656484403</c:v>
                </c:pt>
                <c:pt idx="292">
                  <c:v>123.65229769677006</c:v>
                </c:pt>
                <c:pt idx="293">
                  <c:v>124.23055752382099</c:v>
                </c:pt>
                <c:pt idx="294">
                  <c:v>124.80805062875046</c:v>
                </c:pt>
                <c:pt idx="295">
                  <c:v>125.38476166778013</c:v>
                </c:pt>
                <c:pt idx="296">
                  <c:v>125.96067537087468</c:v>
                </c:pt>
                <c:pt idx="297">
                  <c:v>126.53577654201236</c:v>
                </c:pt>
                <c:pt idx="298">
                  <c:v>127.11005005944986</c:v>
                </c:pt>
                <c:pt idx="299">
                  <c:v>127.68348087598324</c:v>
                </c:pt>
                <c:pt idx="300">
                  <c:v>128.25605401920268</c:v>
                </c:pt>
                <c:pt idx="301">
                  <c:v>128.82775459174323</c:v>
                </c:pt>
                <c:pt idx="302">
                  <c:v>129.39856777153057</c:v>
                </c:pt>
                <c:pt idx="303">
                  <c:v>129.96847881202115</c:v>
                </c:pt>
                <c:pt idx="304">
                  <c:v>130.53747304243834</c:v>
                </c:pt>
                <c:pt idx="305">
                  <c:v>131.10553586800293</c:v>
                </c:pt>
                <c:pt idx="306">
                  <c:v>131.67265277015917</c:v>
                </c:pt>
                <c:pt idx="307">
                  <c:v>132.23880930679601</c:v>
                </c:pt>
                <c:pt idx="308">
                  <c:v>132.80399111246317</c:v>
                </c:pt>
                <c:pt idx="309">
                  <c:v>133.36818389858229</c:v>
                </c:pt>
                <c:pt idx="310">
                  <c:v>133.93137345365398</c:v>
                </c:pt>
                <c:pt idx="311">
                  <c:v>134.49354564345893</c:v>
                </c:pt>
                <c:pt idx="312">
                  <c:v>135.05468641125552</c:v>
                </c:pt>
                <c:pt idx="313">
                  <c:v>135.61478177797116</c:v>
                </c:pt>
                <c:pt idx="314">
                  <c:v>136.17381784239035</c:v>
                </c:pt>
                <c:pt idx="315">
                  <c:v>136.73178078133671</c:v>
                </c:pt>
                <c:pt idx="316">
                  <c:v>137.28865684985115</c:v>
                </c:pt>
                <c:pt idx="317">
                  <c:v>137.84443238136484</c:v>
                </c:pt>
                <c:pt idx="318">
                  <c:v>138.39909378786766</c:v>
                </c:pt>
                <c:pt idx="319">
                  <c:v>138.95262756007162</c:v>
                </c:pt>
                <c:pt idx="320">
                  <c:v>139.50502026757039</c:v>
                </c:pt>
                <c:pt idx="321">
                  <c:v>140.05625855899297</c:v>
                </c:pt>
                <c:pt idx="322">
                  <c:v>140.60632916215394</c:v>
                </c:pt>
                <c:pt idx="323">
                  <c:v>141.15521888419806</c:v>
                </c:pt>
                <c:pt idx="324">
                  <c:v>141.70291461174091</c:v>
                </c:pt>
                <c:pt idx="325">
                  <c:v>142.2494033110047</c:v>
                </c:pt>
                <c:pt idx="326">
                  <c:v>142.79469845790388</c:v>
                </c:pt>
                <c:pt idx="327">
                  <c:v>143.33881379726532</c:v>
                </c:pt>
                <c:pt idx="328">
                  <c:v>143.88173679721029</c:v>
                </c:pt>
                <c:pt idx="329">
                  <c:v>144.42345500250573</c:v>
                </c:pt>
                <c:pt idx="330">
                  <c:v>144.96395603467869</c:v>
                </c:pt>
                <c:pt idx="331">
                  <c:v>145.50322759212764</c:v>
                </c:pt>
                <c:pt idx="332">
                  <c:v>146.04125745022847</c:v>
                </c:pt>
                <c:pt idx="333">
                  <c:v>146.57803346143652</c:v>
                </c:pt>
                <c:pt idx="334">
                  <c:v>147.1135435553845</c:v>
                </c:pt>
                <c:pt idx="335">
                  <c:v>147.64777573897638</c:v>
                </c:pt>
                <c:pt idx="336">
                  <c:v>148.18071809647671</c:v>
                </c:pt>
                <c:pt idx="337">
                  <c:v>148.71235878959615</c:v>
                </c:pt>
                <c:pt idx="338">
                  <c:v>149.24268605757214</c:v>
                </c:pt>
                <c:pt idx="339">
                  <c:v>149.77168821724683</c:v>
                </c:pt>
                <c:pt idx="340">
                  <c:v>150.29935366313896</c:v>
                </c:pt>
                <c:pt idx="341">
                  <c:v>150.82567086751365</c:v>
                </c:pt>
                <c:pt idx="342">
                  <c:v>151.35062838044661</c:v>
                </c:pt>
                <c:pt idx="343">
                  <c:v>151.87421482988503</c:v>
                </c:pt>
                <c:pt idx="344">
                  <c:v>152.39641892170437</c:v>
                </c:pt>
                <c:pt idx="345">
                  <c:v>152.91722943976086</c:v>
                </c:pt>
                <c:pt idx="346">
                  <c:v>153.43663524594055</c:v>
                </c:pt>
                <c:pt idx="347">
                  <c:v>153.95462528020366</c:v>
                </c:pt>
                <c:pt idx="348">
                  <c:v>154.47118856062562</c:v>
                </c:pt>
                <c:pt idx="349">
                  <c:v>154.98631418343379</c:v>
                </c:pt>
                <c:pt idx="350">
                  <c:v>155.4999913230406</c:v>
                </c:pt>
                <c:pt idx="351">
                  <c:v>156.01220923207242</c:v>
                </c:pt>
                <c:pt idx="352">
                  <c:v>156.52295724139526</c:v>
                </c:pt>
                <c:pt idx="353">
                  <c:v>157.03222476013536</c:v>
                </c:pt>
                <c:pt idx="354">
                  <c:v>157.54000127569768</c:v>
                </c:pt>
                <c:pt idx="355">
                  <c:v>158.04627635377912</c:v>
                </c:pt>
                <c:pt idx="356">
                  <c:v>158.55103963837871</c:v>
                </c:pt>
                <c:pt idx="357">
                  <c:v>159.05428085180381</c:v>
                </c:pt>
                <c:pt idx="358">
                  <c:v>159.55598979467302</c:v>
                </c:pt>
                <c:pt idx="359">
                  <c:v>160.05615634591447</c:v>
                </c:pt>
                <c:pt idx="360">
                  <c:v>160.55477046276164</c:v>
                </c:pt>
                <c:pt idx="361">
                  <c:v>161.05182218074424</c:v>
                </c:pt>
                <c:pt idx="362">
                  <c:v>161.54730161367686</c:v>
                </c:pt>
                <c:pt idx="363">
                  <c:v>162.04119895364261</c:v>
                </c:pt>
                <c:pt idx="364">
                  <c:v>162.53350447097421</c:v>
                </c:pt>
                <c:pt idx="365">
                  <c:v>163.02420851423105</c:v>
                </c:pt>
                <c:pt idx="366">
                  <c:v>163.51401622652139</c:v>
                </c:pt>
                <c:pt idx="367">
                  <c:v>164.00363659953246</c:v>
                </c:pt>
                <c:pt idx="368">
                  <c:v>164.49306527616082</c:v>
                </c:pt>
                <c:pt idx="369">
                  <c:v>164.9822979132033</c:v>
                </c:pt>
                <c:pt idx="370">
                  <c:v>165.47133018140181</c:v>
                </c:pt>
                <c:pt idx="371">
                  <c:v>165.96015776548708</c:v>
                </c:pt>
                <c:pt idx="372">
                  <c:v>166.44877636422183</c:v>
                </c:pt>
                <c:pt idx="373">
                  <c:v>166.93718169044428</c:v>
                </c:pt>
                <c:pt idx="374">
                  <c:v>167.42536947110938</c:v>
                </c:pt>
                <c:pt idx="375">
                  <c:v>167.91333544733138</c:v>
                </c:pt>
                <c:pt idx="376">
                  <c:v>168.40107537442449</c:v>
                </c:pt>
                <c:pt idx="377">
                  <c:v>168.88858502194364</c:v>
                </c:pt>
                <c:pt idx="378">
                  <c:v>169.37586017372422</c:v>
                </c:pt>
                <c:pt idx="379">
                  <c:v>169.86289662792186</c:v>
                </c:pt>
                <c:pt idx="380">
                  <c:v>170.34969019705125</c:v>
                </c:pt>
                <c:pt idx="381">
                  <c:v>170.83544924352114</c:v>
                </c:pt>
                <c:pt idx="382">
                  <c:v>171.31937826460072</c:v>
                </c:pt>
                <c:pt idx="383">
                  <c:v>171.80146796961645</c:v>
                </c:pt>
                <c:pt idx="384">
                  <c:v>172.28170915351228</c:v>
                </c:pt>
                <c:pt idx="385">
                  <c:v>172.76009269676624</c:v>
                </c:pt>
                <c:pt idx="386">
                  <c:v>173.23660956530392</c:v>
                </c:pt>
                <c:pt idx="387">
                  <c:v>173.71125081040859</c:v>
                </c:pt>
                <c:pt idx="388">
                  <c:v>174.1840075686269</c:v>
                </c:pt>
                <c:pt idx="389">
                  <c:v>174.65487106167228</c:v>
                </c:pt>
                <c:pt idx="390">
                  <c:v>175.12383259632401</c:v>
                </c:pt>
                <c:pt idx="391">
                  <c:v>175.59088356432255</c:v>
                </c:pt>
                <c:pt idx="392">
                  <c:v>176.05601544226269</c:v>
                </c:pt>
                <c:pt idx="393">
                  <c:v>176.51921979148241</c:v>
                </c:pt>
                <c:pt idx="394">
                  <c:v>176.98048825794831</c:v>
                </c:pt>
                <c:pt idx="395">
                  <c:v>177.43981257213807</c:v>
                </c:pt>
                <c:pt idx="396">
                  <c:v>177.89718454891928</c:v>
                </c:pt>
                <c:pt idx="397">
                  <c:v>178.35259608742615</c:v>
                </c:pt>
                <c:pt idx="398">
                  <c:v>178.80603917093049</c:v>
                </c:pt>
                <c:pt idx="399">
                  <c:v>179.25750586671253</c:v>
                </c:pt>
                <c:pt idx="400">
                  <c:v>179.7069883259262</c:v>
                </c:pt>
                <c:pt idx="401">
                  <c:v>180.15384523530582</c:v>
                </c:pt>
                <c:pt idx="402">
                  <c:v>180.59743278981904</c:v>
                </c:pt>
                <c:pt idx="403">
                  <c:v>181.03774010937636</c:v>
                </c:pt>
                <c:pt idx="404">
                  <c:v>181.4747564854172</c:v>
                </c:pt>
                <c:pt idx="405">
                  <c:v>181.90847138048144</c:v>
                </c:pt>
                <c:pt idx="406">
                  <c:v>182.33887442777419</c:v>
                </c:pt>
                <c:pt idx="407">
                  <c:v>182.76595543072398</c:v>
                </c:pt>
                <c:pt idx="408">
                  <c:v>183.18970436253355</c:v>
                </c:pt>
                <c:pt idx="409">
                  <c:v>183.61011136572378</c:v>
                </c:pt>
                <c:pt idx="410">
                  <c:v>184.02716675167088</c:v>
                </c:pt>
                <c:pt idx="411">
                  <c:v>184.43732641982726</c:v>
                </c:pt>
                <c:pt idx="412">
                  <c:v>184.83703429312794</c:v>
                </c:pt>
                <c:pt idx="413">
                  <c:v>185.2262666464986</c:v>
                </c:pt>
                <c:pt idx="414">
                  <c:v>185.60500093902326</c:v>
                </c:pt>
                <c:pt idx="415">
                  <c:v>185.97321580915002</c:v>
                </c:pt>
                <c:pt idx="416">
                  <c:v>186.33089106981382</c:v>
                </c:pt>
                <c:pt idx="417">
                  <c:v>186.67800770347748</c:v>
                </c:pt>
                <c:pt idx="418">
                  <c:v>187.01454785709279</c:v>
                </c:pt>
                <c:pt idx="419">
                  <c:v>187.34049483698396</c:v>
                </c:pt>
                <c:pt idx="420">
                  <c:v>187.65380891814786</c:v>
                </c:pt>
                <c:pt idx="421">
                  <c:v>187.95244729643977</c:v>
                </c:pt>
                <c:pt idx="422">
                  <c:v>188.23639279508023</c:v>
                </c:pt>
                <c:pt idx="423">
                  <c:v>188.5056303426351</c:v>
                </c:pt>
                <c:pt idx="424">
                  <c:v>188.76014696251724</c:v>
                </c:pt>
                <c:pt idx="425">
                  <c:v>188.99993176232078</c:v>
                </c:pt>
                <c:pt idx="426">
                  <c:v>189.22497592299581</c:v>
                </c:pt>
                <c:pt idx="427">
                  <c:v>189.43527268786701</c:v>
                </c:pt>
                <c:pt idx="428">
                  <c:v>189.6308173514999</c:v>
                </c:pt>
                <c:pt idx="429">
                  <c:v>189.81160724842067</c:v>
                </c:pt>
                <c:pt idx="430">
                  <c:v>189.97764174169302</c:v>
                </c:pt>
                <c:pt idx="431">
                  <c:v>190.12892221135553</c:v>
                </c:pt>
                <c:pt idx="432">
                  <c:v>190.26217592293634</c:v>
                </c:pt>
                <c:pt idx="433">
                  <c:v>190.37413272007475</c:v>
                </c:pt>
                <c:pt idx="434">
                  <c:v>190.46480518091448</c:v>
                </c:pt>
                <c:pt idx="435">
                  <c:v>190.53420996439067</c:v>
                </c:pt>
                <c:pt idx="436">
                  <c:v>190.5823677845043</c:v>
                </c:pt>
                <c:pt idx="437">
                  <c:v>190.60930338423549</c:v>
                </c:pt>
                <c:pt idx="438">
                  <c:v>190.61504550910917</c:v>
                </c:pt>
                <c:pt idx="439">
                  <c:v>190.59962688042532</c:v>
                </c:pt>
                <c:pt idx="440">
                  <c:v>190.56308416816583</c:v>
                </c:pt>
                <c:pt idx="441">
                  <c:v>190.50545796359231</c:v>
                </c:pt>
                <c:pt idx="442">
                  <c:v>190.42877937967825</c:v>
                </c:pt>
                <c:pt idx="443">
                  <c:v>190.33507797547801</c:v>
                </c:pt>
                <c:pt idx="444">
                  <c:v>190.22439514424576</c:v>
                </c:pt>
                <c:pt idx="445">
                  <c:v>190.09677476969696</c:v>
                </c:pt>
                <c:pt idx="446">
                  <c:v>189.95226320726061</c:v>
                </c:pt>
                <c:pt idx="447">
                  <c:v>189.79090926522471</c:v>
                </c:pt>
                <c:pt idx="448">
                  <c:v>189.61276418578191</c:v>
                </c:pt>
                <c:pt idx="449">
                  <c:v>189.41788162597797</c:v>
                </c:pt>
                <c:pt idx="450">
                  <c:v>189.20631763857418</c:v>
                </c:pt>
                <c:pt idx="451">
                  <c:v>188.97813065282588</c:v>
                </c:pt>
                <c:pt idx="452">
                  <c:v>188.73338145518434</c:v>
                </c:pt>
                <c:pt idx="453">
                  <c:v>188.47495768788991</c:v>
                </c:pt>
                <c:pt idx="454">
                  <c:v>188.20573559492723</c:v>
                </c:pt>
                <c:pt idx="455">
                  <c:v>187.92575897438891</c:v>
                </c:pt>
                <c:pt idx="456">
                  <c:v>187.63507257722296</c:v>
                </c:pt>
                <c:pt idx="457">
                  <c:v>187.33372209894694</c:v>
                </c:pt>
                <c:pt idx="458">
                  <c:v>187.02175417137198</c:v>
                </c:pt>
                <c:pt idx="459">
                  <c:v>186.69921635433883</c:v>
                </c:pt>
                <c:pt idx="460">
                  <c:v>186.36615712746581</c:v>
                </c:pt>
                <c:pt idx="461">
                  <c:v>186.02514783363154</c:v>
                </c:pt>
                <c:pt idx="462">
                  <c:v>185.67874604585919</c:v>
                </c:pt>
                <c:pt idx="463">
                  <c:v>185.32697833321893</c:v>
                </c:pt>
                <c:pt idx="464">
                  <c:v>184.96987147729851</c:v>
                </c:pt>
                <c:pt idx="465">
                  <c:v>184.6074524701117</c:v>
                </c:pt>
                <c:pt idx="466">
                  <c:v>184.23764167703382</c:v>
                </c:pt>
                <c:pt idx="467">
                  <c:v>183.85837266753936</c:v>
                </c:pt>
                <c:pt idx="468">
                  <c:v>183.44628908502489</c:v>
                </c:pt>
                <c:pt idx="469">
                  <c:v>183.006798771089</c:v>
                </c:pt>
                <c:pt idx="470">
                  <c:v>182.5686219574421</c:v>
                </c:pt>
                <c:pt idx="471">
                  <c:v>182.13175342566581</c:v>
                </c:pt>
                <c:pt idx="472">
                  <c:v>181.69618798356589</c:v>
                </c:pt>
                <c:pt idx="473">
                  <c:v>181.26192046501245</c:v>
                </c:pt>
                <c:pt idx="474">
                  <c:v>180.82894572978347</c:v>
                </c:pt>
                <c:pt idx="475">
                  <c:v>180.39725866340709</c:v>
                </c:pt>
                <c:pt idx="476">
                  <c:v>179.96685417700664</c:v>
                </c:pt>
                <c:pt idx="477">
                  <c:v>179.53772720714653</c:v>
                </c:pt>
                <c:pt idx="478">
                  <c:v>179.10987271567799</c:v>
                </c:pt>
                <c:pt idx="479">
                  <c:v>178.68328568958816</c:v>
                </c:pt>
                <c:pt idx="480">
                  <c:v>178.2579611408479</c:v>
                </c:pt>
                <c:pt idx="481">
                  <c:v>177.83389410626185</c:v>
                </c:pt>
                <c:pt idx="482">
                  <c:v>177.41107964731989</c:v>
                </c:pt>
                <c:pt idx="483">
                  <c:v>176.98951285004918</c:v>
                </c:pt>
                <c:pt idx="484">
                  <c:v>176.5691888248663</c:v>
                </c:pt>
                <c:pt idx="485">
                  <c:v>176.15010270643251</c:v>
                </c:pt>
                <c:pt idx="486">
                  <c:v>175.73224965350784</c:v>
                </c:pt>
                <c:pt idx="487">
                  <c:v>175.31562484880814</c:v>
                </c:pt>
                <c:pt idx="488">
                  <c:v>174.90022349886166</c:v>
                </c:pt>
                <c:pt idx="489">
                  <c:v>174.48604083386704</c:v>
                </c:pt>
                <c:pt idx="490">
                  <c:v>174.07307210755295</c:v>
                </c:pt>
                <c:pt idx="491">
                  <c:v>173.66131259703792</c:v>
                </c:pt>
                <c:pt idx="492">
                  <c:v>173.25075760269127</c:v>
                </c:pt>
                <c:pt idx="493">
                  <c:v>172.84140244799522</c:v>
                </c:pt>
                <c:pt idx="494">
                  <c:v>172.43324247940831</c:v>
                </c:pt>
                <c:pt idx="495">
                  <c:v>172.02627306622867</c:v>
                </c:pt>
                <c:pt idx="496">
                  <c:v>171.62048960045925</c:v>
                </c:pt>
                <c:pt idx="497">
                  <c:v>171.21588749667399</c:v>
                </c:pt>
                <c:pt idx="498">
                  <c:v>170.8124621918837</c:v>
                </c:pt>
                <c:pt idx="499">
                  <c:v>170.41020914540488</c:v>
                </c:pt>
                <c:pt idx="500">
                  <c:v>170.00912383872702</c:v>
                </c:pt>
                <c:pt idx="501">
                  <c:v>166.03744281421521</c:v>
                </c:pt>
                <c:pt idx="502">
                  <c:v>162.17937059139666</c:v>
                </c:pt>
                <c:pt idx="503">
                  <c:v>158.43062976822242</c:v>
                </c:pt>
                <c:pt idx="504">
                  <c:v>154.78714529889649</c:v>
                </c:pt>
                <c:pt idx="505">
                  <c:v>151.24503304478961</c:v>
                </c:pt>
                <c:pt idx="506">
                  <c:v>147.80058907793486</c:v>
                </c:pt>
                <c:pt idx="507">
                  <c:v>144.45027968088857</c:v>
                </c:pt>
                <c:pt idx="508">
                  <c:v>141.19073199142895</c:v>
                </c:pt>
                <c:pt idx="509">
                  <c:v>138.01872524483301</c:v>
                </c:pt>
                <c:pt idx="510">
                  <c:v>134.93118257034135</c:v>
                </c:pt>
                <c:pt idx="511">
                  <c:v>131.92516330194442</c:v>
                </c:pt>
                <c:pt idx="512">
                  <c:v>128.99785576683161</c:v>
                </c:pt>
                <c:pt idx="513">
                  <c:v>126.14657051776553</c:v>
                </c:pt>
                <c:pt idx="514">
                  <c:v>123.36873397830989</c:v>
                </c:pt>
                <c:pt idx="515">
                  <c:v>120.66188247227167</c:v>
                </c:pt>
                <c:pt idx="516">
                  <c:v>118.02365661094063</c:v>
                </c:pt>
                <c:pt idx="517">
                  <c:v>115.45179601374132</c:v>
                </c:pt>
                <c:pt idx="518">
                  <c:v>112.94413433977155</c:v>
                </c:pt>
                <c:pt idx="519">
                  <c:v>110.49859460940525</c:v>
                </c:pt>
                <c:pt idx="520">
                  <c:v>108.11318479669644</c:v>
                </c:pt>
                <c:pt idx="521">
                  <c:v>105.78599367475483</c:v>
                </c:pt>
                <c:pt idx="522">
                  <c:v>103.51518689757442</c:v>
                </c:pt>
                <c:pt idx="523">
                  <c:v>101.29900330300686</c:v>
                </c:pt>
                <c:pt idx="524">
                  <c:v>99.135751422677984</c:v>
                </c:pt>
                <c:pt idx="525">
                  <c:v>97.023806185668533</c:v>
                </c:pt>
                <c:pt idx="526">
                  <c:v>94.961605803717987</c:v>
                </c:pt>
                <c:pt idx="527">
                  <c:v>92.947648826578643</c:v>
                </c:pt>
                <c:pt idx="528">
                  <c:v>90.98049135694157</c:v>
                </c:pt>
                <c:pt idx="529">
                  <c:v>89.058744415095219</c:v>
                </c:pt>
                <c:pt idx="530">
                  <c:v>87.181071444155492</c:v>
                </c:pt>
                <c:pt idx="531">
                  <c:v>85.346185947333694</c:v>
                </c:pt>
                <c:pt idx="532">
                  <c:v>83.552849249289665</c:v>
                </c:pt>
                <c:pt idx="533">
                  <c:v>81.799868374152481</c:v>
                </c:pt>
                <c:pt idx="534">
                  <c:v>80.086094033289939</c:v>
                </c:pt>
                <c:pt idx="535">
                  <c:v>78.410418716364646</c:v>
                </c:pt>
                <c:pt idx="536">
                  <c:v>76.771774879644269</c:v>
                </c:pt>
                <c:pt idx="537">
                  <c:v>75.169133225924469</c:v>
                </c:pt>
                <c:pt idx="538">
                  <c:v>73.60150107079275</c:v>
                </c:pt>
                <c:pt idx="539">
                  <c:v>72.067920790299809</c:v>
                </c:pt>
                <c:pt idx="540">
                  <c:v>70.567468345420608</c:v>
                </c:pt>
                <c:pt idx="541">
                  <c:v>69.099251878981946</c:v>
                </c:pt>
                <c:pt idx="542">
                  <c:v>67.662410381005316</c:v>
                </c:pt>
                <c:pt idx="543">
                  <c:v>66.256112418667442</c:v>
                </c:pt>
                <c:pt idx="544">
                  <c:v>64.879554927317955</c:v>
                </c:pt>
                <c:pt idx="545">
                  <c:v>63.531962059212887</c:v>
                </c:pt>
                <c:pt idx="546">
                  <c:v>62.212584086827917</c:v>
                </c:pt>
                <c:pt idx="547">
                  <c:v>60.92069635780593</c:v>
                </c:pt>
                <c:pt idx="548">
                  <c:v>59.655598298772446</c:v>
                </c:pt>
                <c:pt idx="549">
                  <c:v>58.416612465417423</c:v>
                </c:pt>
                <c:pt idx="550">
                  <c:v>57.203083636398617</c:v>
                </c:pt>
                <c:pt idx="551">
                  <c:v>56.014377948765578</c:v>
                </c:pt>
                <c:pt idx="552">
                  <c:v>54.849882072738751</c:v>
                </c:pt>
                <c:pt idx="553">
                  <c:v>53.709002423805536</c:v>
                </c:pt>
                <c:pt idx="554">
                  <c:v>52.591164410213281</c:v>
                </c:pt>
                <c:pt idx="555">
                  <c:v>51.495811714049061</c:v>
                </c:pt>
                <c:pt idx="556">
                  <c:v>50.422405604201955</c:v>
                </c:pt>
                <c:pt idx="557">
                  <c:v>49.370424279597792</c:v>
                </c:pt>
                <c:pt idx="558">
                  <c:v>48.339362241190635</c:v>
                </c:pt>
                <c:pt idx="559">
                  <c:v>47.328729691277331</c:v>
                </c:pt>
                <c:pt idx="560">
                  <c:v>46.338051958784483</c:v>
                </c:pt>
                <c:pt idx="561">
                  <c:v>45.366868949249707</c:v>
                </c:pt>
                <c:pt idx="562">
                  <c:v>44.414734618291455</c:v>
                </c:pt>
                <c:pt idx="563">
                  <c:v>43.481216467426492</c:v>
                </c:pt>
                <c:pt idx="564">
                  <c:v>42.565895061157306</c:v>
                </c:pt>
                <c:pt idx="565">
                  <c:v>41.668363564309168</c:v>
                </c:pt>
                <c:pt idx="566">
                  <c:v>40.788227298652146</c:v>
                </c:pt>
                <c:pt idx="567">
                  <c:v>39.925103317894738</c:v>
                </c:pt>
                <c:pt idx="568">
                  <c:v>39.07862000018423</c:v>
                </c:pt>
                <c:pt idx="569">
                  <c:v>38.24841665729496</c:v>
                </c:pt>
                <c:pt idx="570">
                  <c:v>37.434143159728393</c:v>
                </c:pt>
                <c:pt idx="571">
                  <c:v>36.635459576989412</c:v>
                </c:pt>
                <c:pt idx="572">
                  <c:v>35.852035832341635</c:v>
                </c:pt>
                <c:pt idx="573">
                  <c:v>35.083551371380423</c:v>
                </c:pt>
                <c:pt idx="574">
                  <c:v>34.329694843796339</c:v>
                </c:pt>
                <c:pt idx="575">
                  <c:v>33.590163797733453</c:v>
                </c:pt>
                <c:pt idx="576">
                  <c:v>32.864664386177431</c:v>
                </c:pt>
                <c:pt idx="577">
                  <c:v>32.15291108483688</c:v>
                </c:pt>
                <c:pt idx="578">
                  <c:v>31.454626421007934</c:v>
                </c:pt>
                <c:pt idx="579">
                  <c:v>30.769540712937868</c:v>
                </c:pt>
                <c:pt idx="580">
                  <c:v>30.097391819227461</c:v>
                </c:pt>
                <c:pt idx="581">
                  <c:v>29.437924897834279</c:v>
                </c:pt>
                <c:pt idx="582">
                  <c:v>28.790892174260804</c:v>
                </c:pt>
                <c:pt idx="583">
                  <c:v>28.15605271853153</c:v>
                </c:pt>
                <c:pt idx="584">
                  <c:v>27.533172230582096</c:v>
                </c:pt>
                <c:pt idx="585">
                  <c:v>26.922022833702108</c:v>
                </c:pt>
                <c:pt idx="586">
                  <c:v>26.322382875690124</c:v>
                </c:pt>
                <c:pt idx="587">
                  <c:v>25.734036737395719</c:v>
                </c:pt>
                <c:pt idx="588">
                  <c:v>25.156774648338864</c:v>
                </c:pt>
                <c:pt idx="589">
                  <c:v>24.590392509111659</c:v>
                </c:pt>
                <c:pt idx="590">
                  <c:v>24.034691720280883</c:v>
                </c:pt>
                <c:pt idx="591">
                  <c:v>23.489479017523429</c:v>
                </c:pt>
                <c:pt idx="592">
                  <c:v>22.954566312738731</c:v>
                </c:pt>
                <c:pt idx="593">
                  <c:v>22.429770540894204</c:v>
                </c:pt>
                <c:pt idx="594">
                  <c:v>21.914913512371083</c:v>
                </c:pt>
                <c:pt idx="595">
                  <c:v>21.409821770588259</c:v>
                </c:pt>
                <c:pt idx="596">
                  <c:v>20.91432645469213</c:v>
                </c:pt>
                <c:pt idx="597">
                  <c:v>20.428263167109975</c:v>
                </c:pt>
                <c:pt idx="598">
                  <c:v>19.951471845773092</c:v>
                </c:pt>
                <c:pt idx="599">
                  <c:v>19.483796640825233</c:v>
                </c:pt>
                <c:pt idx="600">
                  <c:v>19.025085795639232</c:v>
                </c:pt>
                <c:pt idx="601">
                  <c:v>18.575191531973196</c:v>
                </c:pt>
                <c:pt idx="602">
                  <c:v>18.133969939104599</c:v>
                </c:pt>
                <c:pt idx="603">
                  <c:v>17.701280866787695</c:v>
                </c:pt>
                <c:pt idx="604">
                  <c:v>17.276987821886532</c:v>
                </c:pt>
                <c:pt idx="605">
                  <c:v>16.860957868541906</c:v>
                </c:pt>
                <c:pt idx="606">
                  <c:v>16.453061531736857</c:v>
                </c:pt>
                <c:pt idx="607">
                  <c:v>16.053172704130787</c:v>
                </c:pt>
                <c:pt idx="608">
                  <c:v>15.661168556037998</c:v>
                </c:pt>
                <c:pt idx="609">
                  <c:v>15.276929448431382</c:v>
                </c:pt>
                <c:pt idx="610">
                  <c:v>14.900338848857002</c:v>
                </c:pt>
                <c:pt idx="611">
                  <c:v>14.531283250150034</c:v>
                </c:pt>
                <c:pt idx="612">
                  <c:v>14.169652091846828</c:v>
                </c:pt>
                <c:pt idx="613">
                  <c:v>13.815337684192112</c:v>
                </c:pt>
                <c:pt idx="614">
                  <c:v>13.468235134644653</c:v>
                </c:pt>
                <c:pt idx="615">
                  <c:v>13.128242276787782</c:v>
                </c:pt>
                <c:pt idx="616">
                  <c:v>12.795259601555736</c:v>
                </c:pt>
                <c:pt idx="617">
                  <c:v>12.469190190689259</c:v>
                </c:pt>
                <c:pt idx="618">
                  <c:v>12.149939652337917</c:v>
                </c:pt>
                <c:pt idx="619">
                  <c:v>11.837416058729131</c:v>
                </c:pt>
                <c:pt idx="620">
                  <c:v>11.531529885827089</c:v>
                </c:pt>
                <c:pt idx="621">
                  <c:v>11.232193954907391</c:v>
                </c:pt>
                <c:pt idx="622">
                  <c:v>10.939323375975814</c:v>
                </c:pt>
                <c:pt idx="623">
                  <c:v>10.652835492962197</c:v>
                </c:pt>
                <c:pt idx="624">
                  <c:v>10.372649830622484</c:v>
                </c:pt>
                <c:pt idx="625">
                  <c:v>10.098688043084433</c:v>
                </c:pt>
                <c:pt idx="626">
                  <c:v>9.8308738639742561</c:v>
                </c:pt>
                <c:pt idx="627">
                  <c:v>9.5691330580635796</c:v>
                </c:pt>
                <c:pt idx="628">
                  <c:v>9.3133933743776982</c:v>
                </c:pt>
                <c:pt idx="629">
                  <c:v>9.0635845007078899</c:v>
                </c:pt>
                <c:pt idx="630">
                  <c:v>8.819638019471963</c:v>
                </c:pt>
                <c:pt idx="631">
                  <c:v>8.5814873648687247</c:v>
                </c:pt>
                <c:pt idx="632">
                  <c:v>8.3490677812732663</c:v>
                </c:pt>
                <c:pt idx="633">
                  <c:v>8.1223162828211031</c:v>
                </c:pt>
                <c:pt idx="634">
                  <c:v>7.9011716141304325</c:v>
                </c:pt>
                <c:pt idx="635">
                  <c:v>7.6855742121124857</c:v>
                </c:pt>
                <c:pt idx="636">
                  <c:v>7.475466168820966</c:v>
                </c:pt>
                <c:pt idx="637">
                  <c:v>7.2707911952922268</c:v>
                </c:pt>
                <c:pt idx="638">
                  <c:v>7.0714945863284626</c:v>
                </c:pt>
                <c:pt idx="639">
                  <c:v>6.8775231861767399</c:v>
                </c:pt>
                <c:pt idx="640">
                  <c:v>6.6888253550570411</c:v>
                </c:pt>
                <c:pt idx="641">
                  <c:v>6.5053509364929791</c:v>
                </c:pt>
                <c:pt idx="642">
                  <c:v>6.3270512253988809</c:v>
                </c:pt>
                <c:pt idx="643">
                  <c:v>6.1538789368772253</c:v>
                </c:pt>
                <c:pt idx="644">
                  <c:v>5.9857881756804474</c:v>
                </c:pt>
                <c:pt idx="645">
                  <c:v>5.8227344062911364</c:v>
                </c:pt>
                <c:pt idx="646">
                  <c:v>5.6646744235745103</c:v>
                </c:pt>
                <c:pt idx="647">
                  <c:v>5.5115663239570818</c:v>
                </c:pt>
                <c:pt idx="648">
                  <c:v>5.3633694770851212</c:v>
                </c:pt>
                <c:pt idx="649">
                  <c:v>5.2200444979164011</c:v>
                </c:pt>
                <c:pt idx="650">
                  <c:v>5.0815532191985708</c:v>
                </c:pt>
                <c:pt idx="651">
                  <c:v>4.9478586642872342</c:v>
                </c:pt>
                <c:pt idx="652">
                  <c:v>4.8189250202566978</c:v>
                </c:pt>
                <c:pt idx="653">
                  <c:v>4.6947176112563511</c:v>
                </c:pt>
                <c:pt idx="654">
                  <c:v>4.5752028720655114</c:v>
                </c:pt>
                <c:pt idx="655">
                  <c:v>4.4603483217998594</c:v>
                </c:pt>
                <c:pt idx="656">
                  <c:v>4.3501225377227808</c:v>
                </c:pt>
                <c:pt idx="657">
                  <c:v>4.2444951291154789</c:v>
                </c:pt>
                <c:pt idx="658">
                  <c:v>4.1434367111604935</c:v>
                </c:pt>
                <c:pt idx="659">
                  <c:v>4.0469188787942487</c:v>
                </c:pt>
                <c:pt idx="660">
                  <c:v>3.954914180485654</c:v>
                </c:pt>
                <c:pt idx="661">
                  <c:v>3.8673960918995443</c:v>
                </c:pt>
                <c:pt idx="662">
                  <c:v>3.7843389894058732</c:v>
                </c:pt>
                <c:pt idx="663">
                  <c:v>3.7057181233982983</c:v>
                </c:pt>
                <c:pt idx="664">
                  <c:v>3.6315095913888502</c:v>
                </c:pt>
                <c:pt idx="665">
                  <c:v>3.5616903108491589</c:v>
                </c:pt>
                <c:pt idx="666">
                  <c:v>3.4962379917728588</c:v>
                </c:pt>
                <c:pt idx="667">
                  <c:v>3.4351311089387115</c:v>
                </c:pt>
                <c:pt idx="668">
                  <c:v>3.3783488738592258</c:v>
                </c:pt>
                <c:pt idx="669">
                  <c:v>3.3258712064056168</c:v>
                </c:pt>
                <c:pt idx="670">
                  <c:v>3.2776787061062502</c:v>
                </c:pt>
                <c:pt idx="671">
                  <c:v>3.2337526231226192</c:v>
                </c:pt>
                <c:pt idx="672">
                  <c:v>3.1940748289141649</c:v>
                </c:pt>
                <c:pt idx="673">
                  <c:v>3.1586277866106705</c:v>
                </c:pt>
                <c:pt idx="674">
                  <c:v>3.1273945211186356</c:v>
                </c:pt>
                <c:pt idx="675">
                  <c:v>3.1003585889956553</c:v>
                </c:pt>
                <c:pt idx="676">
                  <c:v>3.0775040481343106</c:v>
                </c:pt>
                <c:pt idx="677">
                  <c:v>3.0588154273042263</c:v>
                </c:pt>
                <c:pt idx="678">
                  <c:v>3.0442776956076507</c:v>
                </c:pt>
                <c:pt idx="679">
                  <c:v>3.0338762319099684</c:v>
                </c:pt>
                <c:pt idx="680">
                  <c:v>3.0275967943117226</c:v>
                </c:pt>
                <c:pt idx="681">
                  <c:v>3.0254254897331183</c:v>
                </c:pt>
                <c:pt idx="682">
                  <c:v>3.0273487436851236</c:v>
                </c:pt>
                <c:pt idx="683">
                  <c:v>3.0333532703034263</c:v>
                </c:pt>
                <c:pt idx="684">
                  <c:v>3.0434260427223423</c:v>
                </c:pt>
                <c:pt idx="685">
                  <c:v>3.0575542638655064</c:v>
                </c:pt>
                <c:pt idx="686">
                  <c:v>3.0757253377285028</c:v>
                </c:pt>
                <c:pt idx="687">
                  <c:v>3.0979268412260081</c:v>
                </c:pt>
                <c:pt idx="688">
                  <c:v>3.1241464966721355</c:v>
                </c:pt>
                <c:pt idx="689">
                  <c:v>3.1543721449580135</c:v>
                </c:pt>
                <c:pt idx="690">
                  <c:v>3.1885917194849855</c:v>
                </c:pt>
                <c:pt idx="691">
                  <c:v>3.2267932209056753</c:v>
                </c:pt>
                <c:pt idx="692">
                  <c:v>3.2689646927183911</c:v>
                </c:pt>
                <c:pt idx="693">
                  <c:v>3.3150941977532962</c:v>
                </c:pt>
                <c:pt idx="694">
                  <c:v>3.3651697955815818</c:v>
                </c:pt>
                <c:pt idx="695">
                  <c:v>3.4191795208716624</c:v>
                </c:pt>
                <c:pt idx="696">
                  <c:v>3.4771113627092909</c:v>
                </c:pt>
                <c:pt idx="697">
                  <c:v>3.5389532448917471</c:v>
                </c:pt>
                <c:pt idx="698">
                  <c:v>3.6046930071997463</c:v>
                </c:pt>
                <c:pt idx="699">
                  <c:v>3.6743183876447829</c:v>
                </c:pt>
                <c:pt idx="700">
                  <c:v>3.7478170056841136</c:v>
                </c:pt>
                <c:pt idx="701">
                  <c:v>3.82517634639072</c:v>
                </c:pt>
                <c:pt idx="702">
                  <c:v>3.9063837455612158</c:v>
                </c:pt>
                <c:pt idx="703">
                  <c:v>3.9914263757410491</c:v>
                </c:pt>
                <c:pt idx="704">
                  <c:v>4.0802912331430505</c:v>
                </c:pt>
                <c:pt idx="705">
                  <c:v>4.1729651254329623</c:v>
                </c:pt>
                <c:pt idx="706">
                  <c:v>4.2694346603534479</c:v>
                </c:pt>
                <c:pt idx="707">
                  <c:v>4.3696862351565322</c:v>
                </c:pt>
                <c:pt idx="708">
                  <c:v>4.4737060268134234</c:v>
                </c:pt>
                <c:pt idx="709">
                  <c:v>4.5814799829698574</c:v>
                </c:pt>
                <c:pt idx="710">
                  <c:v>4.6929938136148941</c:v>
                </c:pt>
                <c:pt idx="711">
                  <c:v>4.8082329834310542</c:v>
                </c:pt>
                <c:pt idx="712">
                  <c:v>4.9271827047939363</c:v>
                </c:pt>
                <c:pt idx="713">
                  <c:v>5.0498279313899754</c:v>
                </c:pt>
                <c:pt idx="714">
                  <c:v>5.176153352421732</c:v>
                </c:pt>
                <c:pt idx="715">
                  <c:v>5.3061433873708364</c:v>
                </c:pt>
                <c:pt idx="716">
                  <c:v>5.4397821812898099</c:v>
                </c:pt>
                <c:pt idx="717">
                  <c:v>5.5770536005949394</c:v>
                </c:pt>
                <c:pt idx="718">
                  <c:v>5.7179412293335439</c:v>
                </c:pt>
                <c:pt idx="719">
                  <c:v>5.8624283659001382</c:v>
                </c:pt>
                <c:pt idx="720">
                  <c:v>6.0104980201771774</c:v>
                </c:pt>
                <c:pt idx="721">
                  <c:v>6.1621329110772365</c:v>
                </c:pt>
                <c:pt idx="722">
                  <c:v>6.3173154644647189</c:v>
                </c:pt>
                <c:pt idx="723">
                  <c:v>6.4760278114363379</c:v>
                </c:pt>
                <c:pt idx="724">
                  <c:v>6.6382517869407121</c:v>
                </c:pt>
                <c:pt idx="725">
                  <c:v>6.8039689287186311</c:v>
                </c:pt>
                <c:pt idx="726">
                  <c:v>6.9731604765464752</c:v>
                </c:pt>
                <c:pt idx="727">
                  <c:v>7.1458073717665078</c:v>
                </c:pt>
                <c:pt idx="728">
                  <c:v>7.3218902570885094</c:v>
                </c:pt>
                <c:pt idx="729">
                  <c:v>7.5013894766483409</c:v>
                </c:pt>
                <c:pt idx="730">
                  <c:v>7.6842850763098598</c:v>
                </c:pt>
                <c:pt idx="731">
                  <c:v>7.8705568041974043</c:v>
                </c:pt>
                <c:pt idx="732">
                  <c:v>8.060184111446949</c:v>
                </c:pt>
                <c:pt idx="733">
                  <c:v>8.253146153164705</c:v>
                </c:pt>
                <c:pt idx="734">
                  <c:v>8.449421789582674</c:v>
                </c:pt>
                <c:pt idx="735">
                  <c:v>8.6489895874013634</c:v>
                </c:pt>
                <c:pt idx="736">
                  <c:v>8.8518278213103887</c:v>
                </c:pt>
                <c:pt idx="737">
                  <c:v>9.0579144756783965</c:v>
                </c:pt>
                <c:pt idx="738">
                  <c:v>9.2672272464041008</c:v>
                </c:pt>
                <c:pt idx="739">
                  <c:v>9.4797435429210033</c:v>
                </c:pt>
                <c:pt idx="740">
                  <c:v>9.6954404903485027</c:v>
                </c:pt>
                <c:pt idx="741">
                  <c:v>9.9142949317827576</c:v>
                </c:pt>
                <c:pt idx="742">
                  <c:v>10.136283430721095</c:v>
                </c:pt>
                <c:pt idx="743">
                  <c:v>10.361382273613875</c:v>
                </c:pt>
                <c:pt idx="744">
                  <c:v>10.589567472538434</c:v>
                </c:pt>
                <c:pt idx="745">
                  <c:v>10.820814767989681</c:v>
                </c:pt>
                <c:pt idx="746">
                  <c:v>11.055099631782552</c:v>
                </c:pt>
                <c:pt idx="747">
                  <c:v>11.292397270061519</c:v>
                </c:pt>
                <c:pt idx="748">
                  <c:v>11.53268262641285</c:v>
                </c:pt>
                <c:pt idx="749">
                  <c:v>11.775930385075343</c:v>
                </c:pt>
                <c:pt idx="750">
                  <c:v>12.022114974245632</c:v>
                </c:pt>
                <c:pt idx="751">
                  <c:v>12.271210569474265</c:v>
                </c:pt>
                <c:pt idx="752">
                  <c:v>12.523191097149068</c:v>
                </c:pt>
                <c:pt idx="753">
                  <c:v>12.778030238062181</c:v>
                </c:pt>
                <c:pt idx="754">
                  <c:v>13.035701431057829</c:v>
                </c:pt>
                <c:pt idx="755">
                  <c:v>13.296177876757445</c:v>
                </c:pt>
                <c:pt idx="756">
                  <c:v>13.559432541359357</c:v>
                </c:pt>
                <c:pt idx="757">
                  <c:v>13.825438160510114</c:v>
                </c:pt>
                <c:pt idx="758">
                  <c:v>14.094167243244776</c:v>
                </c:pt>
                <c:pt idx="759">
                  <c:v>14.365592075993543</c:v>
                </c:pt>
                <c:pt idx="760">
                  <c:v>14.639684726652163</c:v>
                </c:pt>
                <c:pt idx="761">
                  <c:v>14.916417048713699</c:v>
                </c:pt>
                <c:pt idx="762">
                  <c:v>15.195760685459382</c:v>
                </c:pt>
                <c:pt idx="763">
                  <c:v>15.477687074206161</c:v>
                </c:pt>
                <c:pt idx="764">
                  <c:v>15.762167450608782</c:v>
                </c:pt>
                <c:pt idx="765">
                  <c:v>16.049172853014344</c:v>
                </c:pt>
                <c:pt idx="766">
                  <c:v>16.338674126867119</c:v>
                </c:pt>
                <c:pt idx="767">
                  <c:v>16.630641929161641</c:v>
                </c:pt>
                <c:pt idx="768">
                  <c:v>16.925046732942224</c:v>
                </c:pt>
                <c:pt idx="769">
                  <c:v>17.221858831846721</c:v>
                </c:pt>
                <c:pt idx="770">
                  <c:v>17.521048344692836</c:v>
                </c:pt>
                <c:pt idx="771">
                  <c:v>17.822585220105196</c:v>
                </c:pt>
                <c:pt idx="772">
                  <c:v>18.12643924118095</c:v>
                </c:pt>
                <c:pt idx="773">
                  <c:v>18.432580030192721</c:v>
                </c:pt>
                <c:pt idx="774">
                  <c:v>18.740977053326613</c:v>
                </c:pt>
                <c:pt idx="775">
                  <c:v>19.051599625453925</c:v>
                </c:pt>
                <c:pt idx="776">
                  <c:v>19.364416914934534</c:v>
                </c:pt>
                <c:pt idx="777">
                  <c:v>19.679397948450646</c:v>
                </c:pt>
                <c:pt idx="778">
                  <c:v>19.996511615868879</c:v>
                </c:pt>
                <c:pt idx="779">
                  <c:v>20.315726675129316</c:v>
                </c:pt>
                <c:pt idx="780">
                  <c:v>20.637011757159765</c:v>
                </c:pt>
                <c:pt idx="781">
                  <c:v>20.960335370813585</c:v>
                </c:pt>
                <c:pt idx="782">
                  <c:v>21.285665907829745</c:v>
                </c:pt>
                <c:pt idx="783">
                  <c:v>21.61297164781308</c:v>
                </c:pt>
                <c:pt idx="784">
                  <c:v>21.942220763233703</c:v>
                </c:pt>
                <c:pt idx="785">
                  <c:v>22.273381324443569</c:v>
                </c:pt>
                <c:pt idx="786">
                  <c:v>22.606421304708981</c:v>
                </c:pt>
                <c:pt idx="787">
                  <c:v>22.941308585257268</c:v>
                </c:pt>
                <c:pt idx="788">
                  <c:v>23.27801096033636</c:v>
                </c:pt>
                <c:pt idx="789">
                  <c:v>23.616496142285392</c:v>
                </c:pt>
                <c:pt idx="790">
                  <c:v>23.956731766615249</c:v>
                </c:pt>
                <c:pt idx="791">
                  <c:v>24.298685397097305</c:v>
                </c:pt>
                <c:pt idx="792">
                  <c:v>24.642324530858783</c:v>
                </c:pt>
                <c:pt idx="793">
                  <c:v>24.987616603483705</c:v>
                </c:pt>
                <c:pt idx="794">
                  <c:v>25.334528994117299</c:v>
                </c:pt>
                <c:pt idx="795">
                  <c:v>25.683029030573042</c:v>
                </c:pt>
                <c:pt idx="796">
                  <c:v>26.033083994440442</c:v>
                </c:pt>
                <c:pt idx="797">
                  <c:v>26.384661126192356</c:v>
                </c:pt>
                <c:pt idx="798">
                  <c:v>26.737727630290266</c:v>
                </c:pt>
                <c:pt idx="799">
                  <c:v>27.092250680286167</c:v>
                </c:pt>
                <c:pt idx="800">
                  <c:v>27.448197423919595</c:v>
                </c:pt>
                <c:pt idx="801">
                  <c:v>27.805534988208414</c:v>
                </c:pt>
                <c:pt idx="802">
                  <c:v>28.164230484531902</c:v>
                </c:pt>
                <c:pt idx="803">
                  <c:v>28.524251013704831</c:v>
                </c:pt>
                <c:pt idx="804">
                  <c:v>28.885563671040938</c:v>
                </c:pt>
                <c:pt idx="805">
                  <c:v>29.248135551404769</c:v>
                </c:pt>
                <c:pt idx="806">
                  <c:v>29.611933754250067</c:v>
                </c:pt>
                <c:pt idx="807">
                  <c:v>29.976925388643753</c:v>
                </c:pt>
                <c:pt idx="808">
                  <c:v>30.343077578273842</c:v>
                </c:pt>
                <c:pt idx="809">
                  <c:v>30.710357466440094</c:v>
                </c:pt>
                <c:pt idx="810">
                  <c:v>31.078732221026094</c:v>
                </c:pt>
                <c:pt idx="811">
                  <c:v>31.448169039451209</c:v>
                </c:pt>
                <c:pt idx="812">
                  <c:v>31.81863515360148</c:v>
                </c:pt>
                <c:pt idx="813">
                  <c:v>32.190097834737671</c:v>
                </c:pt>
                <c:pt idx="814">
                  <c:v>32.56252439837975</c:v>
                </c:pt>
                <c:pt idx="815">
                  <c:v>32.935882209165811</c:v>
                </c:pt>
                <c:pt idx="816">
                  <c:v>33.310138685684919</c:v>
                </c:pt>
                <c:pt idx="817">
                  <c:v>33.685261305282069</c:v>
                </c:pt>
                <c:pt idx="818">
                  <c:v>34.061217608834092</c:v>
                </c:pt>
                <c:pt idx="819">
                  <c:v>34.437975205495768</c:v>
                </c:pt>
                <c:pt idx="820">
                  <c:v>34.815501777413999</c:v>
                </c:pt>
                <c:pt idx="821">
                  <c:v>35.193765084409861</c:v>
                </c:pt>
                <c:pt idx="822">
                  <c:v>35.572732968626561</c:v>
                </c:pt>
                <c:pt idx="823">
                  <c:v>35.952373359142463</c:v>
                </c:pt>
                <c:pt idx="824">
                  <c:v>36.332654276548155</c:v>
                </c:pt>
                <c:pt idx="825">
                  <c:v>36.71354383748595</c:v>
                </c:pt>
                <c:pt idx="826">
                  <c:v>37.095010259151209</c:v>
                </c:pt>
                <c:pt idx="827">
                  <c:v>37.47702186375399</c:v>
                </c:pt>
                <c:pt idx="828">
                  <c:v>37.859547082940189</c:v>
                </c:pt>
                <c:pt idx="829">
                  <c:v>38.24255446217088</c:v>
                </c:pt>
                <c:pt idx="830">
                  <c:v>38.626012665058923</c:v>
                </c:pt>
                <c:pt idx="831">
                  <c:v>39.009890477661777</c:v>
                </c:pt>
                <c:pt idx="832">
                  <c:v>39.394156812729619</c:v>
                </c:pt>
                <c:pt idx="833">
                  <c:v>39.778780713907281</c:v>
                </c:pt>
                <c:pt idx="834">
                  <c:v>40.163731359889702</c:v>
                </c:pt>
                <c:pt idx="835">
                  <c:v>40.548978068529436</c:v>
                </c:pt>
                <c:pt idx="836">
                  <c:v>40.934490300895554</c:v>
                </c:pt>
                <c:pt idx="837">
                  <c:v>41.320237665282633</c:v>
                </c:pt>
                <c:pt idx="838">
                  <c:v>41.706189921169589</c:v>
                </c:pt>
                <c:pt idx="839">
                  <c:v>42.092316983126537</c:v>
                </c:pt>
                <c:pt idx="840">
                  <c:v>42.478588924669879</c:v>
                </c:pt>
                <c:pt idx="841">
                  <c:v>42.864975982063854</c:v>
                </c:pt>
                <c:pt idx="842">
                  <c:v>43.251448558068326</c:v>
                </c:pt>
                <c:pt idx="843">
                  <c:v>43.637977225631744</c:v>
                </c:pt>
                <c:pt idx="844">
                  <c:v>44.024532731528524</c:v>
                </c:pt>
                <c:pt idx="845">
                  <c:v>44.411085999940255</c:v>
                </c:pt>
                <c:pt idx="846">
                  <c:v>44.7976081359798</c:v>
                </c:pt>
                <c:pt idx="847">
                  <c:v>45.184070429157693</c:v>
                </c:pt>
                <c:pt idx="848">
                  <c:v>45.570444356790247</c:v>
                </c:pt>
                <c:pt idx="849">
                  <c:v>45.956701587348348</c:v>
                </c:pt>
                <c:pt idx="850">
                  <c:v>46.34281398374695</c:v>
                </c:pt>
                <c:pt idx="851">
                  <c:v>46.728753606573925</c:v>
                </c:pt>
                <c:pt idx="852">
                  <c:v>47.114492717258116</c:v>
                </c:pt>
                <c:pt idx="853">
                  <c:v>47.500003781176247</c:v>
                </c:pt>
                <c:pt idx="854">
                  <c:v>47.885259470697456</c:v>
                </c:pt>
                <c:pt idx="855">
                  <c:v>48.27023266816559</c:v>
                </c:pt>
                <c:pt idx="856">
                  <c:v>48.654896468818471</c:v>
                </c:pt>
                <c:pt idx="857">
                  <c:v>49.039224183643839</c:v>
                </c:pt>
                <c:pt idx="858">
                  <c:v>49.42318934217122</c:v>
                </c:pt>
                <c:pt idx="859">
                  <c:v>49.806765695199815</c:v>
                </c:pt>
                <c:pt idx="860">
                  <c:v>50.189927217461516</c:v>
                </c:pt>
                <c:pt idx="861">
                  <c:v>50.572648110219184</c:v>
                </c:pt>
                <c:pt idx="862">
                  <c:v>50.954902803799172</c:v>
                </c:pt>
                <c:pt idx="863">
                  <c:v>51.336665960058781</c:v>
                </c:pt>
                <c:pt idx="864">
                  <c:v>51.717912474787212</c:v>
                </c:pt>
                <c:pt idx="865">
                  <c:v>52.098617480040907</c:v>
                </c:pt>
                <c:pt idx="866">
                  <c:v>52.478756346412034</c:v>
                </c:pt>
                <c:pt idx="867">
                  <c:v>52.858304685230543</c:v>
                </c:pt>
                <c:pt idx="868">
                  <c:v>53.237238350699648</c:v>
                </c:pt>
                <c:pt idx="869">
                  <c:v>53.615533441964004</c:v>
                </c:pt>
                <c:pt idx="870">
                  <c:v>53.993166305111039</c:v>
                </c:pt>
                <c:pt idx="871">
                  <c:v>54.370113535105197</c:v>
                </c:pt>
                <c:pt idx="872">
                  <c:v>54.74635197765457</c:v>
                </c:pt>
                <c:pt idx="873">
                  <c:v>55.121858731010825</c:v>
                </c:pt>
                <c:pt idx="874">
                  <c:v>55.496611147701259</c:v>
                </c:pt>
                <c:pt idx="875">
                  <c:v>55.870586836193802</c:v>
                </c:pt>
                <c:pt idx="876">
                  <c:v>56.24376366249475</c:v>
                </c:pt>
                <c:pt idx="877">
                  <c:v>56.616119751679008</c:v>
                </c:pt>
                <c:pt idx="878">
                  <c:v>56.987633489353442</c:v>
                </c:pt>
                <c:pt idx="879">
                  <c:v>57.358283523052982</c:v>
                </c:pt>
                <c:pt idx="880">
                  <c:v>57.728048763569738</c:v>
                </c:pt>
                <c:pt idx="881">
                  <c:v>58.09690838621524</c:v>
                </c:pt>
                <c:pt idx="882">
                  <c:v>58.464841832016248</c:v>
                </c:pt>
                <c:pt idx="883">
                  <c:v>58.831828808843852</c:v>
                </c:pt>
                <c:pt idx="884">
                  <c:v>59.197849292476334</c:v>
                </c:pt>
                <c:pt idx="885">
                  <c:v>59.562883527596085</c:v>
                </c:pt>
                <c:pt idx="886">
                  <c:v>59.926912028720693</c:v>
                </c:pt>
                <c:pt idx="887">
                  <c:v>60.28991558106847</c:v>
                </c:pt>
                <c:pt idx="888">
                  <c:v>60.651875241358901</c:v>
                </c:pt>
                <c:pt idx="889">
                  <c:v>61.012772338548118</c:v>
                </c:pt>
                <c:pt idx="890">
                  <c:v>61.372588474499821</c:v>
                </c:pt>
                <c:pt idx="891">
                  <c:v>61.731305524592024</c:v>
                </c:pt>
                <c:pt idx="892">
                  <c:v>62.088905638260059</c:v>
                </c:pt>
                <c:pt idx="893">
                  <c:v>62.445371239476259</c:v>
                </c:pt>
                <c:pt idx="894">
                  <c:v>62.800685027166203</c:v>
                </c:pt>
                <c:pt idx="895">
                  <c:v>63.154829975563196</c:v>
                </c:pt>
                <c:pt idx="896">
                  <c:v>63.507789334499975</c:v>
                </c:pt>
                <c:pt idx="897">
                  <c:v>63.859546629639034</c:v>
                </c:pt>
                <c:pt idx="898">
                  <c:v>64.210085662642186</c:v>
                </c:pt>
                <c:pt idx="899">
                  <c:v>64.559390511278906</c:v>
                </c:pt>
                <c:pt idx="900">
                  <c:v>64.907445529475197</c:v>
                </c:pt>
                <c:pt idx="901">
                  <c:v>65.254235347302512</c:v>
                </c:pt>
                <c:pt idx="902">
                  <c:v>65.599744870908054</c:v>
                </c:pt>
                <c:pt idx="903">
                  <c:v>65.943959282386487</c:v>
                </c:pt>
                <c:pt idx="904">
                  <c:v>66.286864039593993</c:v>
                </c:pt>
                <c:pt idx="905">
                  <c:v>66.628444875905004</c:v>
                </c:pt>
                <c:pt idx="906">
                  <c:v>66.968687799912715</c:v>
                </c:pt>
                <c:pt idx="907">
                  <c:v>67.30757909507328</c:v>
                </c:pt>
                <c:pt idx="908">
                  <c:v>67.64510531929524</c:v>
                </c:pt>
                <c:pt idx="909">
                  <c:v>67.98125330447381</c:v>
                </c:pt>
                <c:pt idx="910">
                  <c:v>68.316010155971796</c:v>
                </c:pt>
                <c:pt idx="911">
                  <c:v>68.649363252046996</c:v>
                </c:pt>
                <c:pt idx="912">
                  <c:v>68.981300243227167</c:v>
                </c:pt>
                <c:pt idx="913">
                  <c:v>69.311809051633318</c:v>
                </c:pt>
                <c:pt idx="914">
                  <c:v>69.640877870251771</c:v>
                </c:pt>
                <c:pt idx="915">
                  <c:v>69.968495162155918</c:v>
                </c:pt>
                <c:pt idx="916">
                  <c:v>70.294649659678598</c:v>
                </c:pt>
                <c:pt idx="917">
                  <c:v>70.619330363535411</c:v>
                </c:pt>
                <c:pt idx="918">
                  <c:v>70.942526541900094</c:v>
                </c:pt>
                <c:pt idx="919">
                  <c:v>71.264227729432704</c:v>
                </c:pt>
                <c:pt idx="920">
                  <c:v>71.584423726261164</c:v>
                </c:pt>
                <c:pt idx="921">
                  <c:v>71.903104596917146</c:v>
                </c:pt>
                <c:pt idx="922">
                  <c:v>72.220260669227059</c:v>
                </c:pt>
                <c:pt idx="923">
                  <c:v>72.535882533159054</c:v>
                </c:pt>
                <c:pt idx="924">
                  <c:v>72.849961039626436</c:v>
                </c:pt>
                <c:pt idx="925">
                  <c:v>73.162487299249108</c:v>
                </c:pt>
                <c:pt idx="926">
                  <c:v>73.473452681072885</c:v>
                </c:pt>
                <c:pt idx="927">
                  <c:v>73.782848811248186</c:v>
                </c:pt>
                <c:pt idx="928">
                  <c:v>74.090667571668931</c:v>
                </c:pt>
                <c:pt idx="929">
                  <c:v>74.396901098571917</c:v>
                </c:pt>
                <c:pt idx="930">
                  <c:v>74.701541781098356</c:v>
                </c:pt>
                <c:pt idx="931">
                  <c:v>75.004582259817496</c:v>
                </c:pt>
                <c:pt idx="932">
                  <c:v>75.306015425213943</c:v>
                </c:pt>
                <c:pt idx="933">
                  <c:v>75.605834416139274</c:v>
                </c:pt>
                <c:pt idx="934">
                  <c:v>75.904032618228442</c:v>
                </c:pt>
                <c:pt idx="935">
                  <c:v>76.200603662282361</c:v>
                </c:pt>
                <c:pt idx="936">
                  <c:v>76.495541422617478</c:v>
                </c:pt>
                <c:pt idx="937">
                  <c:v>76.788840015382533</c:v>
                </c:pt>
                <c:pt idx="938">
                  <c:v>77.080493796844394</c:v>
                </c:pt>
                <c:pt idx="939">
                  <c:v>77.370497361642833</c:v>
                </c:pt>
                <c:pt idx="940">
                  <c:v>77.658845541015779</c:v>
                </c:pt>
                <c:pt idx="941">
                  <c:v>77.945533400995714</c:v>
                </c:pt>
                <c:pt idx="942">
                  <c:v>78.230556240577826</c:v>
                </c:pt>
                <c:pt idx="943">
                  <c:v>78.5139095898612</c:v>
                </c:pt>
                <c:pt idx="944">
                  <c:v>78.514190738549317</c:v>
                </c:pt>
                <c:pt idx="945">
                  <c:v>78.514471885576469</c:v>
                </c:pt>
                <c:pt idx="946">
                  <c:v>78.514753030942714</c:v>
                </c:pt>
                <c:pt idx="947">
                  <c:v>78.515034174648008</c:v>
                </c:pt>
                <c:pt idx="948">
                  <c:v>78.51531531669238</c:v>
                </c:pt>
                <c:pt idx="949">
                  <c:v>78.515596457075773</c:v>
                </c:pt>
                <c:pt idx="950">
                  <c:v>78.515877595798187</c:v>
                </c:pt>
                <c:pt idx="951">
                  <c:v>78.51615873285968</c:v>
                </c:pt>
                <c:pt idx="952">
                  <c:v>78.516439868260164</c:v>
                </c:pt>
                <c:pt idx="953">
                  <c:v>78.516721001999727</c:v>
                </c:pt>
                <c:pt idx="954">
                  <c:v>78.517002134078311</c:v>
                </c:pt>
                <c:pt idx="955">
                  <c:v>78.517283264495958</c:v>
                </c:pt>
                <c:pt idx="956">
                  <c:v>78.517564393252542</c:v>
                </c:pt>
                <c:pt idx="957">
                  <c:v>78.517845520348203</c:v>
                </c:pt>
                <c:pt idx="958">
                  <c:v>78.518126645782871</c:v>
                </c:pt>
                <c:pt idx="959">
                  <c:v>78.518407769556518</c:v>
                </c:pt>
                <c:pt idx="960">
                  <c:v>78.518688891669157</c:v>
                </c:pt>
                <c:pt idx="961">
                  <c:v>78.518970012120846</c:v>
                </c:pt>
                <c:pt idx="962">
                  <c:v>78.519251130911499</c:v>
                </c:pt>
                <c:pt idx="963">
                  <c:v>78.519532248041145</c:v>
                </c:pt>
                <c:pt idx="964">
                  <c:v>78.519813363509812</c:v>
                </c:pt>
                <c:pt idx="965">
                  <c:v>78.520094477317429</c:v>
                </c:pt>
                <c:pt idx="966">
                  <c:v>78.520375589464038</c:v>
                </c:pt>
                <c:pt idx="967">
                  <c:v>78.52065669994964</c:v>
                </c:pt>
                <c:pt idx="968">
                  <c:v>78.520937808774207</c:v>
                </c:pt>
                <c:pt idx="969">
                  <c:v>78.521218915937709</c:v>
                </c:pt>
                <c:pt idx="970">
                  <c:v>78.52150002144019</c:v>
                </c:pt>
                <c:pt idx="971">
                  <c:v>78.521781125281677</c:v>
                </c:pt>
                <c:pt idx="972">
                  <c:v>78.522062227462072</c:v>
                </c:pt>
                <c:pt idx="973">
                  <c:v>78.52234332798146</c:v>
                </c:pt>
                <c:pt idx="974">
                  <c:v>78.522624426839741</c:v>
                </c:pt>
                <c:pt idx="975">
                  <c:v>78.522905524037</c:v>
                </c:pt>
                <c:pt idx="976">
                  <c:v>78.523186619573195</c:v>
                </c:pt>
                <c:pt idx="977">
                  <c:v>78.523467713448326</c:v>
                </c:pt>
                <c:pt idx="978">
                  <c:v>78.523748805662379</c:v>
                </c:pt>
                <c:pt idx="979">
                  <c:v>78.524029896215367</c:v>
                </c:pt>
                <c:pt idx="980">
                  <c:v>78.524310985107292</c:v>
                </c:pt>
                <c:pt idx="981">
                  <c:v>78.524592072338123</c:v>
                </c:pt>
                <c:pt idx="982">
                  <c:v>78.524873157907891</c:v>
                </c:pt>
                <c:pt idx="983">
                  <c:v>78.525154241816566</c:v>
                </c:pt>
                <c:pt idx="984">
                  <c:v>78.525435324064134</c:v>
                </c:pt>
                <c:pt idx="985">
                  <c:v>78.525716404650581</c:v>
                </c:pt>
                <c:pt idx="986">
                  <c:v>78.525997483575992</c:v>
                </c:pt>
                <c:pt idx="987">
                  <c:v>78.526278560840268</c:v>
                </c:pt>
                <c:pt idx="988">
                  <c:v>78.526559636443437</c:v>
                </c:pt>
                <c:pt idx="989">
                  <c:v>78.526840710385471</c:v>
                </c:pt>
                <c:pt idx="990">
                  <c:v>78.527121782666441</c:v>
                </c:pt>
                <c:pt idx="991">
                  <c:v>78.527402853286247</c:v>
                </c:pt>
                <c:pt idx="992">
                  <c:v>78.527683922244933</c:v>
                </c:pt>
                <c:pt idx="993">
                  <c:v>78.527964989542511</c:v>
                </c:pt>
                <c:pt idx="994">
                  <c:v>78.528246055178968</c:v>
                </c:pt>
                <c:pt idx="995">
                  <c:v>78.528527119154234</c:v>
                </c:pt>
                <c:pt idx="996">
                  <c:v>78.52880818146842</c:v>
                </c:pt>
                <c:pt idx="997">
                  <c:v>78.529089242121444</c:v>
                </c:pt>
                <c:pt idx="998">
                  <c:v>78.529370301113332</c:v>
                </c:pt>
                <c:pt idx="999">
                  <c:v>78.529651358444056</c:v>
                </c:pt>
                <c:pt idx="1000">
                  <c:v>78.529932414113603</c:v>
                </c:pt>
              </c:numCache>
            </c:numRef>
          </c:yVal>
          <c:smooth val="0"/>
          <c:extLst>
            <c:ext xmlns:c16="http://schemas.microsoft.com/office/drawing/2014/chart" uri="{C3380CC4-5D6E-409C-BE32-E72D297353CC}">
              <c16:uniqueId val="{00000002-5334-48F2-9051-C40E5F5CB63F}"/>
            </c:ext>
          </c:extLst>
        </c:ser>
        <c:dLbls>
          <c:showLegendKey val="0"/>
          <c:showVal val="0"/>
          <c:showCatName val="0"/>
          <c:showSerName val="0"/>
          <c:showPercent val="0"/>
          <c:showBubbleSize val="0"/>
        </c:dLbls>
        <c:axId val="149500672"/>
        <c:axId val="149502592"/>
      </c:scatterChart>
      <c:valAx>
        <c:axId val="149500672"/>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1"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fr-FR"/>
          </a:p>
        </c:txPr>
        <c:crossAx val="149502592"/>
        <c:crosses val="autoZero"/>
        <c:crossBetween val="midCat"/>
      </c:valAx>
      <c:valAx>
        <c:axId val="149502592"/>
        <c:scaling>
          <c:orientation val="minMax"/>
        </c:scaling>
        <c:delete val="0"/>
        <c:axPos val="l"/>
        <c:majorGridlines>
          <c:spPr>
            <a:ln w="3175">
              <a:solidFill>
                <a:srgbClr val="000000"/>
              </a:solidFill>
              <a:prstDash val="sysDash"/>
            </a:ln>
          </c:spPr>
        </c:majorGridlines>
        <c:title>
          <c:tx>
            <c:rich>
              <a:bodyPr/>
              <a:lstStyle/>
              <a:p>
                <a:pPr>
                  <a:defRPr sz="1200" b="1" i="0" u="none" strike="noStrike" baseline="0">
                    <a:solidFill>
                      <a:srgbClr val="000000"/>
                    </a:solidFill>
                    <a:latin typeface="Arial"/>
                    <a:ea typeface="Arial"/>
                    <a:cs typeface="Arial"/>
                  </a:defRPr>
                </a:pPr>
                <a:r>
                  <a:rPr lang="fr-FR"/>
                  <a:t>Forces [N]</a:t>
                </a:r>
              </a:p>
            </c:rich>
          </c:tx>
          <c:layout>
            <c:manualLayout>
              <c:xMode val="edge"/>
              <c:yMode val="edge"/>
              <c:x val="2.0047169811320761E-2"/>
              <c:y val="0.333334383202099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fr-FR"/>
          </a:p>
        </c:txPr>
        <c:crossAx val="149500672"/>
        <c:crosses val="autoZero"/>
        <c:crossBetween val="midCat"/>
      </c:valAx>
      <c:spPr>
        <a:noFill/>
        <a:ln w="12700">
          <a:solidFill>
            <a:srgbClr val="808080"/>
          </a:solidFill>
          <a:prstDash val="solid"/>
        </a:ln>
      </c:spPr>
    </c:plotArea>
    <c:legend>
      <c:legendPos val="r"/>
      <c:layout>
        <c:manualLayout>
          <c:xMode val="edge"/>
          <c:yMode val="edge"/>
          <c:x val="0.83018929827167842"/>
          <c:y val="0.34444479440069992"/>
          <c:w val="0.13050326845936713"/>
          <c:h val="0.22888888888888886"/>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Courbes!$B$140</c:f>
          <c:strCache>
            <c:ptCount val="1"/>
            <c:pt idx="0">
              <c:v>Vitesse</c:v>
            </c:pt>
          </c:strCache>
        </c:strRef>
      </c:tx>
      <c:overlay val="1"/>
      <c:txPr>
        <a:bodyPr/>
        <a:lstStyle/>
        <a:p>
          <a:pPr>
            <a:defRPr sz="1200" b="1" i="0" u="none" strike="noStrike" baseline="0">
              <a:solidFill>
                <a:srgbClr val="000000"/>
              </a:solidFill>
              <a:latin typeface="Arial"/>
              <a:ea typeface="Arial"/>
              <a:cs typeface="Arial"/>
            </a:defRPr>
          </a:pPr>
          <a:endParaRPr lang="fr-FR"/>
        </a:p>
      </c:txPr>
    </c:title>
    <c:autoTitleDeleted val="0"/>
    <c:plotArea>
      <c:layout>
        <c:manualLayout>
          <c:layoutTarget val="inner"/>
          <c:xMode val="edge"/>
          <c:yMode val="edge"/>
          <c:x val="0.10495283018867926"/>
          <c:y val="9.4771544282144501E-2"/>
          <c:w val="0.87617924528302116"/>
          <c:h val="0.74183243282920064"/>
        </c:manualLayout>
      </c:layout>
      <c:scatterChart>
        <c:scatterStyle val="lineMarker"/>
        <c:varyColors val="0"/>
        <c:ser>
          <c:idx val="0"/>
          <c:order val="0"/>
          <c:tx>
            <c:strRef>
              <c:f>Courbes!$B$140</c:f>
              <c:strCache>
                <c:ptCount val="1"/>
                <c:pt idx="0">
                  <c:v>Vitesse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2.0100000000000011</c:v>
                </c:pt>
                <c:pt idx="202">
                  <c:v>2.0200000000000009</c:v>
                </c:pt>
                <c:pt idx="203">
                  <c:v>2.0300000000000007</c:v>
                </c:pt>
                <c:pt idx="204">
                  <c:v>2.0400000000000005</c:v>
                </c:pt>
                <c:pt idx="205">
                  <c:v>2.0500000000000003</c:v>
                </c:pt>
                <c:pt idx="206">
                  <c:v>2.06</c:v>
                </c:pt>
                <c:pt idx="207">
                  <c:v>2.0699999999999998</c:v>
                </c:pt>
                <c:pt idx="208">
                  <c:v>2.0799999999999996</c:v>
                </c:pt>
                <c:pt idx="209">
                  <c:v>2.0899999999999994</c:v>
                </c:pt>
                <c:pt idx="210">
                  <c:v>2.0999999999999992</c:v>
                </c:pt>
                <c:pt idx="211">
                  <c:v>2.109999999999999</c:v>
                </c:pt>
                <c:pt idx="212">
                  <c:v>2.1199999999999988</c:v>
                </c:pt>
                <c:pt idx="213">
                  <c:v>2.1299999999999986</c:v>
                </c:pt>
                <c:pt idx="214">
                  <c:v>2.1399999999999983</c:v>
                </c:pt>
                <c:pt idx="215">
                  <c:v>2.1499999999999981</c:v>
                </c:pt>
                <c:pt idx="216">
                  <c:v>2.1599999999999979</c:v>
                </c:pt>
                <c:pt idx="217">
                  <c:v>2.1699999999999977</c:v>
                </c:pt>
                <c:pt idx="218">
                  <c:v>2.1799999999999975</c:v>
                </c:pt>
                <c:pt idx="219">
                  <c:v>2.1899999999999973</c:v>
                </c:pt>
                <c:pt idx="220">
                  <c:v>2.1999999999999971</c:v>
                </c:pt>
                <c:pt idx="221">
                  <c:v>2.2099999999999969</c:v>
                </c:pt>
                <c:pt idx="222">
                  <c:v>2.2199999999999966</c:v>
                </c:pt>
                <c:pt idx="223">
                  <c:v>2.2299999999999964</c:v>
                </c:pt>
                <c:pt idx="224">
                  <c:v>2.2399999999999962</c:v>
                </c:pt>
                <c:pt idx="225">
                  <c:v>2.249999999999996</c:v>
                </c:pt>
                <c:pt idx="226">
                  <c:v>2.2599999999999958</c:v>
                </c:pt>
                <c:pt idx="227">
                  <c:v>2.2699999999999956</c:v>
                </c:pt>
                <c:pt idx="228">
                  <c:v>2.2799999999999954</c:v>
                </c:pt>
                <c:pt idx="229">
                  <c:v>2.2899999999999952</c:v>
                </c:pt>
                <c:pt idx="230">
                  <c:v>2.2999999999999949</c:v>
                </c:pt>
                <c:pt idx="231">
                  <c:v>2.3099999999999947</c:v>
                </c:pt>
                <c:pt idx="232">
                  <c:v>2.3199999999999945</c:v>
                </c:pt>
                <c:pt idx="233">
                  <c:v>2.3299999999999943</c:v>
                </c:pt>
                <c:pt idx="234">
                  <c:v>2.3399999999999941</c:v>
                </c:pt>
                <c:pt idx="235">
                  <c:v>2.3499999999999939</c:v>
                </c:pt>
                <c:pt idx="236">
                  <c:v>2.3599999999999937</c:v>
                </c:pt>
                <c:pt idx="237">
                  <c:v>2.3699999999999934</c:v>
                </c:pt>
                <c:pt idx="238">
                  <c:v>2.3799999999999932</c:v>
                </c:pt>
                <c:pt idx="239">
                  <c:v>2.389999999999993</c:v>
                </c:pt>
                <c:pt idx="240">
                  <c:v>2.3999999999999928</c:v>
                </c:pt>
                <c:pt idx="241">
                  <c:v>2.4099999999999926</c:v>
                </c:pt>
                <c:pt idx="242">
                  <c:v>2.4199999999999924</c:v>
                </c:pt>
                <c:pt idx="243">
                  <c:v>2.4299999999999922</c:v>
                </c:pt>
                <c:pt idx="244">
                  <c:v>2.439999999999992</c:v>
                </c:pt>
                <c:pt idx="245">
                  <c:v>2.4499999999999917</c:v>
                </c:pt>
                <c:pt idx="246">
                  <c:v>2.4599999999999915</c:v>
                </c:pt>
                <c:pt idx="247">
                  <c:v>2.4699999999999913</c:v>
                </c:pt>
                <c:pt idx="248">
                  <c:v>2.4799999999999911</c:v>
                </c:pt>
                <c:pt idx="249">
                  <c:v>2.4899999999999909</c:v>
                </c:pt>
                <c:pt idx="250">
                  <c:v>2.4999999999999907</c:v>
                </c:pt>
                <c:pt idx="251">
                  <c:v>2.5099999999999905</c:v>
                </c:pt>
                <c:pt idx="252">
                  <c:v>2.5199999999999902</c:v>
                </c:pt>
                <c:pt idx="253">
                  <c:v>2.52999999999999</c:v>
                </c:pt>
                <c:pt idx="254">
                  <c:v>2.5399999999999898</c:v>
                </c:pt>
                <c:pt idx="255">
                  <c:v>2.5499999999999896</c:v>
                </c:pt>
                <c:pt idx="256">
                  <c:v>2.5599999999999894</c:v>
                </c:pt>
                <c:pt idx="257">
                  <c:v>2.5699999999999892</c:v>
                </c:pt>
                <c:pt idx="258">
                  <c:v>2.579999999999989</c:v>
                </c:pt>
                <c:pt idx="259">
                  <c:v>2.5899999999999888</c:v>
                </c:pt>
                <c:pt idx="260">
                  <c:v>2.5999999999999885</c:v>
                </c:pt>
                <c:pt idx="261">
                  <c:v>2.6099999999999883</c:v>
                </c:pt>
                <c:pt idx="262">
                  <c:v>2.6199999999999881</c:v>
                </c:pt>
                <c:pt idx="263">
                  <c:v>2.6299999999999879</c:v>
                </c:pt>
                <c:pt idx="264">
                  <c:v>2.6399999999999877</c:v>
                </c:pt>
                <c:pt idx="265">
                  <c:v>2.6499999999999875</c:v>
                </c:pt>
                <c:pt idx="266">
                  <c:v>2.6599999999999873</c:v>
                </c:pt>
                <c:pt idx="267">
                  <c:v>2.6699999999999871</c:v>
                </c:pt>
                <c:pt idx="268">
                  <c:v>2.6799999999999868</c:v>
                </c:pt>
                <c:pt idx="269">
                  <c:v>2.6899999999999866</c:v>
                </c:pt>
                <c:pt idx="270">
                  <c:v>2.6999999999999864</c:v>
                </c:pt>
                <c:pt idx="271">
                  <c:v>2.7099999999999862</c:v>
                </c:pt>
                <c:pt idx="272">
                  <c:v>2.719999999999986</c:v>
                </c:pt>
                <c:pt idx="273">
                  <c:v>2.7299999999999858</c:v>
                </c:pt>
                <c:pt idx="274">
                  <c:v>2.7399999999999856</c:v>
                </c:pt>
                <c:pt idx="275">
                  <c:v>2.7499999999999853</c:v>
                </c:pt>
                <c:pt idx="276">
                  <c:v>2.7599999999999851</c:v>
                </c:pt>
                <c:pt idx="277">
                  <c:v>2.7699999999999849</c:v>
                </c:pt>
                <c:pt idx="278">
                  <c:v>2.7799999999999847</c:v>
                </c:pt>
                <c:pt idx="279">
                  <c:v>2.7899999999999845</c:v>
                </c:pt>
                <c:pt idx="280">
                  <c:v>2.7999999999999843</c:v>
                </c:pt>
                <c:pt idx="281">
                  <c:v>2.8099999999999841</c:v>
                </c:pt>
                <c:pt idx="282">
                  <c:v>2.8199999999999839</c:v>
                </c:pt>
                <c:pt idx="283">
                  <c:v>2.8299999999999836</c:v>
                </c:pt>
                <c:pt idx="284">
                  <c:v>2.8399999999999834</c:v>
                </c:pt>
                <c:pt idx="285">
                  <c:v>2.8499999999999832</c:v>
                </c:pt>
                <c:pt idx="286">
                  <c:v>2.859999999999983</c:v>
                </c:pt>
                <c:pt idx="287">
                  <c:v>2.8699999999999828</c:v>
                </c:pt>
                <c:pt idx="288">
                  <c:v>2.8799999999999826</c:v>
                </c:pt>
                <c:pt idx="289">
                  <c:v>2.8899999999999824</c:v>
                </c:pt>
                <c:pt idx="290">
                  <c:v>2.8999999999999821</c:v>
                </c:pt>
                <c:pt idx="291">
                  <c:v>2.9099999999999819</c:v>
                </c:pt>
                <c:pt idx="292">
                  <c:v>2.9199999999999817</c:v>
                </c:pt>
                <c:pt idx="293">
                  <c:v>2.9299999999999815</c:v>
                </c:pt>
                <c:pt idx="294">
                  <c:v>2.9399999999999813</c:v>
                </c:pt>
                <c:pt idx="295">
                  <c:v>2.9499999999999811</c:v>
                </c:pt>
                <c:pt idx="296">
                  <c:v>2.9599999999999809</c:v>
                </c:pt>
                <c:pt idx="297">
                  <c:v>2.9699999999999807</c:v>
                </c:pt>
                <c:pt idx="298">
                  <c:v>2.9799999999999804</c:v>
                </c:pt>
                <c:pt idx="299">
                  <c:v>2.9899999999999802</c:v>
                </c:pt>
                <c:pt idx="300">
                  <c:v>2.99999999999998</c:v>
                </c:pt>
                <c:pt idx="301">
                  <c:v>3.0099999999999798</c:v>
                </c:pt>
                <c:pt idx="302">
                  <c:v>3.0199999999999796</c:v>
                </c:pt>
                <c:pt idx="303">
                  <c:v>3.0299999999999794</c:v>
                </c:pt>
                <c:pt idx="304">
                  <c:v>3.0399999999999792</c:v>
                </c:pt>
                <c:pt idx="305">
                  <c:v>3.049999999999979</c:v>
                </c:pt>
                <c:pt idx="306">
                  <c:v>3.0599999999999787</c:v>
                </c:pt>
                <c:pt idx="307">
                  <c:v>3.0699999999999785</c:v>
                </c:pt>
                <c:pt idx="308">
                  <c:v>3.0799999999999783</c:v>
                </c:pt>
                <c:pt idx="309">
                  <c:v>3.0899999999999781</c:v>
                </c:pt>
                <c:pt idx="310">
                  <c:v>3.0999999999999779</c:v>
                </c:pt>
                <c:pt idx="311">
                  <c:v>3.1099999999999777</c:v>
                </c:pt>
                <c:pt idx="312">
                  <c:v>3.1199999999999775</c:v>
                </c:pt>
                <c:pt idx="313">
                  <c:v>3.1299999999999772</c:v>
                </c:pt>
                <c:pt idx="314">
                  <c:v>3.139999999999977</c:v>
                </c:pt>
                <c:pt idx="315">
                  <c:v>3.1499999999999768</c:v>
                </c:pt>
                <c:pt idx="316">
                  <c:v>3.1599999999999766</c:v>
                </c:pt>
                <c:pt idx="317">
                  <c:v>3.1699999999999764</c:v>
                </c:pt>
                <c:pt idx="318">
                  <c:v>3.1799999999999762</c:v>
                </c:pt>
                <c:pt idx="319">
                  <c:v>3.189999999999976</c:v>
                </c:pt>
                <c:pt idx="320">
                  <c:v>3.1999999999999758</c:v>
                </c:pt>
                <c:pt idx="321">
                  <c:v>3.2099999999999755</c:v>
                </c:pt>
                <c:pt idx="322">
                  <c:v>3.2199999999999753</c:v>
                </c:pt>
                <c:pt idx="323">
                  <c:v>3.2299999999999751</c:v>
                </c:pt>
                <c:pt idx="324">
                  <c:v>3.2399999999999749</c:v>
                </c:pt>
                <c:pt idx="325">
                  <c:v>3.2499999999999747</c:v>
                </c:pt>
                <c:pt idx="326">
                  <c:v>3.2599999999999745</c:v>
                </c:pt>
                <c:pt idx="327">
                  <c:v>3.2699999999999743</c:v>
                </c:pt>
                <c:pt idx="328">
                  <c:v>3.279999999999974</c:v>
                </c:pt>
                <c:pt idx="329">
                  <c:v>3.2899999999999738</c:v>
                </c:pt>
                <c:pt idx="330">
                  <c:v>3.2999999999999736</c:v>
                </c:pt>
                <c:pt idx="331">
                  <c:v>3.3099999999999734</c:v>
                </c:pt>
                <c:pt idx="332">
                  <c:v>3.3199999999999732</c:v>
                </c:pt>
                <c:pt idx="333">
                  <c:v>3.329999999999973</c:v>
                </c:pt>
                <c:pt idx="334">
                  <c:v>3.3399999999999728</c:v>
                </c:pt>
                <c:pt idx="335">
                  <c:v>3.3499999999999726</c:v>
                </c:pt>
                <c:pt idx="336">
                  <c:v>3.3599999999999723</c:v>
                </c:pt>
                <c:pt idx="337">
                  <c:v>3.3699999999999721</c:v>
                </c:pt>
                <c:pt idx="338">
                  <c:v>3.3799999999999719</c:v>
                </c:pt>
                <c:pt idx="339">
                  <c:v>3.3899999999999717</c:v>
                </c:pt>
                <c:pt idx="340">
                  <c:v>3.3999999999999715</c:v>
                </c:pt>
                <c:pt idx="341">
                  <c:v>3.4099999999999713</c:v>
                </c:pt>
                <c:pt idx="342">
                  <c:v>3.4199999999999711</c:v>
                </c:pt>
                <c:pt idx="343">
                  <c:v>3.4299999999999708</c:v>
                </c:pt>
                <c:pt idx="344">
                  <c:v>3.4399999999999706</c:v>
                </c:pt>
                <c:pt idx="345">
                  <c:v>3.4499999999999704</c:v>
                </c:pt>
                <c:pt idx="346">
                  <c:v>3.4599999999999702</c:v>
                </c:pt>
                <c:pt idx="347">
                  <c:v>3.46999999999997</c:v>
                </c:pt>
                <c:pt idx="348">
                  <c:v>3.4799999999999698</c:v>
                </c:pt>
                <c:pt idx="349">
                  <c:v>3.4899999999999696</c:v>
                </c:pt>
                <c:pt idx="350">
                  <c:v>3.4999999999999694</c:v>
                </c:pt>
                <c:pt idx="351">
                  <c:v>3.5099999999999691</c:v>
                </c:pt>
                <c:pt idx="352">
                  <c:v>3.5199999999999689</c:v>
                </c:pt>
                <c:pt idx="353">
                  <c:v>3.5299999999999687</c:v>
                </c:pt>
                <c:pt idx="354">
                  <c:v>3.5399999999999685</c:v>
                </c:pt>
                <c:pt idx="355">
                  <c:v>3.5499999999999683</c:v>
                </c:pt>
                <c:pt idx="356">
                  <c:v>3.5599999999999681</c:v>
                </c:pt>
                <c:pt idx="357">
                  <c:v>3.5699999999999679</c:v>
                </c:pt>
                <c:pt idx="358">
                  <c:v>3.5799999999999677</c:v>
                </c:pt>
                <c:pt idx="359">
                  <c:v>3.5899999999999674</c:v>
                </c:pt>
                <c:pt idx="360">
                  <c:v>3.5999999999999672</c:v>
                </c:pt>
                <c:pt idx="361">
                  <c:v>3.609999999999967</c:v>
                </c:pt>
                <c:pt idx="362">
                  <c:v>3.6199999999999668</c:v>
                </c:pt>
                <c:pt idx="363">
                  <c:v>3.6299999999999666</c:v>
                </c:pt>
                <c:pt idx="364">
                  <c:v>3.6399999999999664</c:v>
                </c:pt>
                <c:pt idx="365">
                  <c:v>3.6499999999999662</c:v>
                </c:pt>
                <c:pt idx="366">
                  <c:v>3.6599999999999659</c:v>
                </c:pt>
                <c:pt idx="367">
                  <c:v>3.6699999999999657</c:v>
                </c:pt>
                <c:pt idx="368">
                  <c:v>3.6799999999999655</c:v>
                </c:pt>
                <c:pt idx="369">
                  <c:v>3.6899999999999653</c:v>
                </c:pt>
                <c:pt idx="370">
                  <c:v>3.6999999999999651</c:v>
                </c:pt>
                <c:pt idx="371">
                  <c:v>3.7099999999999649</c:v>
                </c:pt>
                <c:pt idx="372">
                  <c:v>3.7199999999999647</c:v>
                </c:pt>
                <c:pt idx="373">
                  <c:v>3.7299999999999645</c:v>
                </c:pt>
                <c:pt idx="374">
                  <c:v>3.7399999999999642</c:v>
                </c:pt>
                <c:pt idx="375">
                  <c:v>3.749999999999964</c:v>
                </c:pt>
                <c:pt idx="376">
                  <c:v>3.7599999999999638</c:v>
                </c:pt>
                <c:pt idx="377">
                  <c:v>3.7699999999999636</c:v>
                </c:pt>
                <c:pt idx="378">
                  <c:v>3.7799999999999634</c:v>
                </c:pt>
                <c:pt idx="379">
                  <c:v>3.7899999999999632</c:v>
                </c:pt>
                <c:pt idx="380">
                  <c:v>3.799999999999963</c:v>
                </c:pt>
                <c:pt idx="381">
                  <c:v>3.8099999999999627</c:v>
                </c:pt>
                <c:pt idx="382">
                  <c:v>3.8199999999999625</c:v>
                </c:pt>
                <c:pt idx="383">
                  <c:v>3.8299999999999623</c:v>
                </c:pt>
                <c:pt idx="384">
                  <c:v>3.8399999999999621</c:v>
                </c:pt>
                <c:pt idx="385">
                  <c:v>3.8499999999999619</c:v>
                </c:pt>
                <c:pt idx="386">
                  <c:v>3.8599999999999617</c:v>
                </c:pt>
                <c:pt idx="387">
                  <c:v>3.8699999999999615</c:v>
                </c:pt>
                <c:pt idx="388">
                  <c:v>3.8799999999999613</c:v>
                </c:pt>
                <c:pt idx="389">
                  <c:v>3.889999999999961</c:v>
                </c:pt>
                <c:pt idx="390">
                  <c:v>3.8999999999999608</c:v>
                </c:pt>
                <c:pt idx="391">
                  <c:v>3.9099999999999606</c:v>
                </c:pt>
                <c:pt idx="392">
                  <c:v>3.9199999999999604</c:v>
                </c:pt>
                <c:pt idx="393">
                  <c:v>3.9299999999999602</c:v>
                </c:pt>
                <c:pt idx="394">
                  <c:v>3.93999999999996</c:v>
                </c:pt>
                <c:pt idx="395">
                  <c:v>3.9499999999999598</c:v>
                </c:pt>
                <c:pt idx="396">
                  <c:v>3.9599999999999596</c:v>
                </c:pt>
                <c:pt idx="397">
                  <c:v>3.9699999999999593</c:v>
                </c:pt>
                <c:pt idx="398">
                  <c:v>3.9799999999999591</c:v>
                </c:pt>
                <c:pt idx="399">
                  <c:v>3.9899999999999589</c:v>
                </c:pt>
                <c:pt idx="400">
                  <c:v>3.9999999999999587</c:v>
                </c:pt>
                <c:pt idx="401">
                  <c:v>4.0099999999999589</c:v>
                </c:pt>
                <c:pt idx="402">
                  <c:v>4.0199999999999587</c:v>
                </c:pt>
                <c:pt idx="403">
                  <c:v>4.0299999999999585</c:v>
                </c:pt>
                <c:pt idx="404">
                  <c:v>4.0399999999999583</c:v>
                </c:pt>
                <c:pt idx="405">
                  <c:v>4.0499999999999581</c:v>
                </c:pt>
                <c:pt idx="406">
                  <c:v>4.0599999999999579</c:v>
                </c:pt>
                <c:pt idx="407">
                  <c:v>4.0699999999999577</c:v>
                </c:pt>
                <c:pt idx="408">
                  <c:v>4.0799999999999574</c:v>
                </c:pt>
                <c:pt idx="409">
                  <c:v>4.0899999999999572</c:v>
                </c:pt>
                <c:pt idx="410">
                  <c:v>4.099999999999957</c:v>
                </c:pt>
                <c:pt idx="411">
                  <c:v>4.1099999999999568</c:v>
                </c:pt>
                <c:pt idx="412">
                  <c:v>4.1199999999999566</c:v>
                </c:pt>
                <c:pt idx="413">
                  <c:v>4.1299999999999564</c:v>
                </c:pt>
                <c:pt idx="414">
                  <c:v>4.1399999999999562</c:v>
                </c:pt>
                <c:pt idx="415">
                  <c:v>4.1499999999999559</c:v>
                </c:pt>
                <c:pt idx="416">
                  <c:v>4.1599999999999557</c:v>
                </c:pt>
                <c:pt idx="417">
                  <c:v>4.1699999999999555</c:v>
                </c:pt>
                <c:pt idx="418">
                  <c:v>4.1799999999999553</c:v>
                </c:pt>
                <c:pt idx="419">
                  <c:v>4.1899999999999551</c:v>
                </c:pt>
                <c:pt idx="420">
                  <c:v>4.1999999999999549</c:v>
                </c:pt>
                <c:pt idx="421">
                  <c:v>4.2099999999999547</c:v>
                </c:pt>
                <c:pt idx="422">
                  <c:v>4.2199999999999545</c:v>
                </c:pt>
                <c:pt idx="423">
                  <c:v>4.2299999999999542</c:v>
                </c:pt>
                <c:pt idx="424">
                  <c:v>4.239999999999954</c:v>
                </c:pt>
                <c:pt idx="425">
                  <c:v>4.2499999999999538</c:v>
                </c:pt>
                <c:pt idx="426">
                  <c:v>4.2599999999999536</c:v>
                </c:pt>
                <c:pt idx="427">
                  <c:v>4.2699999999999534</c:v>
                </c:pt>
                <c:pt idx="428">
                  <c:v>4.2799999999999532</c:v>
                </c:pt>
                <c:pt idx="429">
                  <c:v>4.289999999999953</c:v>
                </c:pt>
                <c:pt idx="430">
                  <c:v>4.2999999999999527</c:v>
                </c:pt>
                <c:pt idx="431">
                  <c:v>4.3099999999999525</c:v>
                </c:pt>
                <c:pt idx="432">
                  <c:v>4.3199999999999523</c:v>
                </c:pt>
                <c:pt idx="433">
                  <c:v>4.3299999999999521</c:v>
                </c:pt>
                <c:pt idx="434">
                  <c:v>4.3399999999999519</c:v>
                </c:pt>
                <c:pt idx="435">
                  <c:v>4.3499999999999517</c:v>
                </c:pt>
                <c:pt idx="436">
                  <c:v>4.3599999999999515</c:v>
                </c:pt>
                <c:pt idx="437">
                  <c:v>4.3699999999999513</c:v>
                </c:pt>
                <c:pt idx="438">
                  <c:v>4.379999999999951</c:v>
                </c:pt>
                <c:pt idx="439">
                  <c:v>4.3899999999999508</c:v>
                </c:pt>
                <c:pt idx="440">
                  <c:v>4.3999999999999506</c:v>
                </c:pt>
                <c:pt idx="441">
                  <c:v>4.4099999999999504</c:v>
                </c:pt>
                <c:pt idx="442">
                  <c:v>4.4199999999999502</c:v>
                </c:pt>
                <c:pt idx="443">
                  <c:v>4.42999999999995</c:v>
                </c:pt>
                <c:pt idx="444">
                  <c:v>4.4399999999999498</c:v>
                </c:pt>
                <c:pt idx="445">
                  <c:v>4.4499999999999496</c:v>
                </c:pt>
                <c:pt idx="446">
                  <c:v>4.4599999999999493</c:v>
                </c:pt>
                <c:pt idx="447">
                  <c:v>4.4699999999999491</c:v>
                </c:pt>
                <c:pt idx="448">
                  <c:v>4.4799999999999489</c:v>
                </c:pt>
                <c:pt idx="449">
                  <c:v>4.4899999999999487</c:v>
                </c:pt>
                <c:pt idx="450">
                  <c:v>4.4999999999999485</c:v>
                </c:pt>
                <c:pt idx="451">
                  <c:v>4.5099999999999483</c:v>
                </c:pt>
                <c:pt idx="452">
                  <c:v>4.5199999999999481</c:v>
                </c:pt>
                <c:pt idx="453">
                  <c:v>4.5299999999999478</c:v>
                </c:pt>
                <c:pt idx="454">
                  <c:v>4.5399999999999476</c:v>
                </c:pt>
                <c:pt idx="455">
                  <c:v>4.5499999999999474</c:v>
                </c:pt>
                <c:pt idx="456">
                  <c:v>4.5599999999999472</c:v>
                </c:pt>
                <c:pt idx="457">
                  <c:v>4.569999999999947</c:v>
                </c:pt>
                <c:pt idx="458">
                  <c:v>4.5799999999999468</c:v>
                </c:pt>
                <c:pt idx="459">
                  <c:v>4.5899999999999466</c:v>
                </c:pt>
                <c:pt idx="460">
                  <c:v>4.5999999999999464</c:v>
                </c:pt>
                <c:pt idx="461">
                  <c:v>4.6099999999999461</c:v>
                </c:pt>
                <c:pt idx="462">
                  <c:v>4.6199999999999459</c:v>
                </c:pt>
                <c:pt idx="463">
                  <c:v>4.6299999999999457</c:v>
                </c:pt>
                <c:pt idx="464">
                  <c:v>4.6399999999999455</c:v>
                </c:pt>
                <c:pt idx="465">
                  <c:v>4.6499999999999453</c:v>
                </c:pt>
                <c:pt idx="466">
                  <c:v>4.6599999999999451</c:v>
                </c:pt>
                <c:pt idx="467">
                  <c:v>4.6699999999999449</c:v>
                </c:pt>
                <c:pt idx="468">
                  <c:v>4.6799999999999446</c:v>
                </c:pt>
                <c:pt idx="469">
                  <c:v>4.6899999999999444</c:v>
                </c:pt>
                <c:pt idx="470">
                  <c:v>4.6999999999999442</c:v>
                </c:pt>
                <c:pt idx="471">
                  <c:v>4.709999999999944</c:v>
                </c:pt>
                <c:pt idx="472">
                  <c:v>4.7199999999999438</c:v>
                </c:pt>
                <c:pt idx="473">
                  <c:v>4.7299999999999436</c:v>
                </c:pt>
                <c:pt idx="474">
                  <c:v>4.7399999999999434</c:v>
                </c:pt>
                <c:pt idx="475">
                  <c:v>4.7499999999999432</c:v>
                </c:pt>
                <c:pt idx="476">
                  <c:v>4.7599999999999429</c:v>
                </c:pt>
                <c:pt idx="477">
                  <c:v>4.7699999999999427</c:v>
                </c:pt>
                <c:pt idx="478">
                  <c:v>4.7799999999999425</c:v>
                </c:pt>
                <c:pt idx="479">
                  <c:v>4.7899999999999423</c:v>
                </c:pt>
                <c:pt idx="480">
                  <c:v>4.7999999999999421</c:v>
                </c:pt>
                <c:pt idx="481">
                  <c:v>4.8099999999999419</c:v>
                </c:pt>
                <c:pt idx="482">
                  <c:v>4.8199999999999417</c:v>
                </c:pt>
                <c:pt idx="483">
                  <c:v>4.8299999999999415</c:v>
                </c:pt>
                <c:pt idx="484">
                  <c:v>4.8399999999999412</c:v>
                </c:pt>
                <c:pt idx="485">
                  <c:v>4.849999999999941</c:v>
                </c:pt>
                <c:pt idx="486">
                  <c:v>4.8599999999999408</c:v>
                </c:pt>
                <c:pt idx="487">
                  <c:v>4.8699999999999406</c:v>
                </c:pt>
                <c:pt idx="488">
                  <c:v>4.8799999999999404</c:v>
                </c:pt>
                <c:pt idx="489">
                  <c:v>4.8899999999999402</c:v>
                </c:pt>
                <c:pt idx="490">
                  <c:v>4.89999999999994</c:v>
                </c:pt>
                <c:pt idx="491">
                  <c:v>4.9099999999999397</c:v>
                </c:pt>
                <c:pt idx="492">
                  <c:v>4.9199999999999395</c:v>
                </c:pt>
                <c:pt idx="493">
                  <c:v>4.9299999999999393</c:v>
                </c:pt>
                <c:pt idx="494">
                  <c:v>4.9399999999999391</c:v>
                </c:pt>
                <c:pt idx="495">
                  <c:v>4.9499999999999389</c:v>
                </c:pt>
                <c:pt idx="496">
                  <c:v>4.9599999999999387</c:v>
                </c:pt>
                <c:pt idx="497">
                  <c:v>4.9699999999999385</c:v>
                </c:pt>
                <c:pt idx="498">
                  <c:v>4.9799999999999383</c:v>
                </c:pt>
                <c:pt idx="499">
                  <c:v>4.989999999999938</c:v>
                </c:pt>
                <c:pt idx="500">
                  <c:v>4.9999999999999378</c:v>
                </c:pt>
                <c:pt idx="501">
                  <c:v>5.0999999999999375</c:v>
                </c:pt>
                <c:pt idx="502">
                  <c:v>5.1999999999999371</c:v>
                </c:pt>
                <c:pt idx="503">
                  <c:v>5.2999999999999368</c:v>
                </c:pt>
                <c:pt idx="504">
                  <c:v>5.3999999999999364</c:v>
                </c:pt>
                <c:pt idx="505">
                  <c:v>5.4999999999999361</c:v>
                </c:pt>
                <c:pt idx="506">
                  <c:v>5.5999999999999357</c:v>
                </c:pt>
                <c:pt idx="507">
                  <c:v>5.6999999999999353</c:v>
                </c:pt>
                <c:pt idx="508">
                  <c:v>5.799999999999935</c:v>
                </c:pt>
                <c:pt idx="509">
                  <c:v>5.8999999999999346</c:v>
                </c:pt>
                <c:pt idx="510">
                  <c:v>5.9999999999999343</c:v>
                </c:pt>
                <c:pt idx="511">
                  <c:v>6.0999999999999339</c:v>
                </c:pt>
                <c:pt idx="512">
                  <c:v>6.1999999999999336</c:v>
                </c:pt>
                <c:pt idx="513">
                  <c:v>6.2999999999999332</c:v>
                </c:pt>
                <c:pt idx="514">
                  <c:v>6.3999999999999329</c:v>
                </c:pt>
                <c:pt idx="515">
                  <c:v>6.4999999999999325</c:v>
                </c:pt>
                <c:pt idx="516">
                  <c:v>6.5999999999999321</c:v>
                </c:pt>
                <c:pt idx="517">
                  <c:v>6.6999999999999318</c:v>
                </c:pt>
                <c:pt idx="518">
                  <c:v>6.7999999999999314</c:v>
                </c:pt>
                <c:pt idx="519">
                  <c:v>6.8999999999999311</c:v>
                </c:pt>
                <c:pt idx="520">
                  <c:v>6.9999999999999307</c:v>
                </c:pt>
                <c:pt idx="521">
                  <c:v>7.0999999999999304</c:v>
                </c:pt>
                <c:pt idx="522">
                  <c:v>7.19999999999993</c:v>
                </c:pt>
                <c:pt idx="523">
                  <c:v>7.2999999999999297</c:v>
                </c:pt>
                <c:pt idx="524">
                  <c:v>7.3999999999999293</c:v>
                </c:pt>
                <c:pt idx="525">
                  <c:v>7.4999999999999289</c:v>
                </c:pt>
                <c:pt idx="526">
                  <c:v>7.5999999999999286</c:v>
                </c:pt>
                <c:pt idx="527">
                  <c:v>7.6999999999999282</c:v>
                </c:pt>
                <c:pt idx="528">
                  <c:v>7.7999999999999279</c:v>
                </c:pt>
                <c:pt idx="529">
                  <c:v>7.8999999999999275</c:v>
                </c:pt>
                <c:pt idx="530">
                  <c:v>7.9999999999999272</c:v>
                </c:pt>
                <c:pt idx="531">
                  <c:v>8.0999999999999268</c:v>
                </c:pt>
                <c:pt idx="532">
                  <c:v>8.1999999999999265</c:v>
                </c:pt>
                <c:pt idx="533">
                  <c:v>8.2999999999999261</c:v>
                </c:pt>
                <c:pt idx="534">
                  <c:v>8.3999999999999257</c:v>
                </c:pt>
                <c:pt idx="535">
                  <c:v>8.4999999999999254</c:v>
                </c:pt>
                <c:pt idx="536">
                  <c:v>8.599999999999925</c:v>
                </c:pt>
                <c:pt idx="537">
                  <c:v>8.6999999999999247</c:v>
                </c:pt>
                <c:pt idx="538">
                  <c:v>8.7999999999999243</c:v>
                </c:pt>
                <c:pt idx="539">
                  <c:v>8.899999999999924</c:v>
                </c:pt>
                <c:pt idx="540">
                  <c:v>8.9999999999999236</c:v>
                </c:pt>
                <c:pt idx="541">
                  <c:v>9.0999999999999233</c:v>
                </c:pt>
                <c:pt idx="542">
                  <c:v>9.1999999999999229</c:v>
                </c:pt>
                <c:pt idx="543">
                  <c:v>9.2999999999999226</c:v>
                </c:pt>
                <c:pt idx="544">
                  <c:v>9.3999999999999222</c:v>
                </c:pt>
                <c:pt idx="545">
                  <c:v>9.4999999999999218</c:v>
                </c:pt>
                <c:pt idx="546">
                  <c:v>9.5999999999999215</c:v>
                </c:pt>
                <c:pt idx="547">
                  <c:v>9.6999999999999211</c:v>
                </c:pt>
                <c:pt idx="548">
                  <c:v>9.7999999999999208</c:v>
                </c:pt>
                <c:pt idx="549">
                  <c:v>9.8999999999999204</c:v>
                </c:pt>
                <c:pt idx="550">
                  <c:v>9.9999999999999201</c:v>
                </c:pt>
                <c:pt idx="551">
                  <c:v>10.09999999999992</c:v>
                </c:pt>
                <c:pt idx="552">
                  <c:v>10.199999999999919</c:v>
                </c:pt>
                <c:pt idx="553">
                  <c:v>10.299999999999919</c:v>
                </c:pt>
                <c:pt idx="554">
                  <c:v>10.399999999999919</c:v>
                </c:pt>
                <c:pt idx="555">
                  <c:v>10.499999999999918</c:v>
                </c:pt>
                <c:pt idx="556">
                  <c:v>10.599999999999918</c:v>
                </c:pt>
                <c:pt idx="557">
                  <c:v>10.699999999999918</c:v>
                </c:pt>
                <c:pt idx="558">
                  <c:v>10.799999999999917</c:v>
                </c:pt>
                <c:pt idx="559">
                  <c:v>10.899999999999917</c:v>
                </c:pt>
                <c:pt idx="560">
                  <c:v>10.999999999999917</c:v>
                </c:pt>
                <c:pt idx="561">
                  <c:v>11.099999999999916</c:v>
                </c:pt>
                <c:pt idx="562">
                  <c:v>11.199999999999916</c:v>
                </c:pt>
                <c:pt idx="563">
                  <c:v>11.299999999999915</c:v>
                </c:pt>
                <c:pt idx="564">
                  <c:v>11.399999999999915</c:v>
                </c:pt>
                <c:pt idx="565">
                  <c:v>11.499999999999915</c:v>
                </c:pt>
                <c:pt idx="566">
                  <c:v>11.599999999999914</c:v>
                </c:pt>
                <c:pt idx="567">
                  <c:v>11.699999999999914</c:v>
                </c:pt>
                <c:pt idx="568">
                  <c:v>11.799999999999914</c:v>
                </c:pt>
                <c:pt idx="569">
                  <c:v>11.899999999999913</c:v>
                </c:pt>
                <c:pt idx="570">
                  <c:v>11.999999999999913</c:v>
                </c:pt>
                <c:pt idx="571">
                  <c:v>12.099999999999913</c:v>
                </c:pt>
                <c:pt idx="572">
                  <c:v>12.199999999999912</c:v>
                </c:pt>
                <c:pt idx="573">
                  <c:v>12.299999999999912</c:v>
                </c:pt>
                <c:pt idx="574">
                  <c:v>12.399999999999912</c:v>
                </c:pt>
                <c:pt idx="575">
                  <c:v>12.499999999999911</c:v>
                </c:pt>
                <c:pt idx="576">
                  <c:v>12.599999999999911</c:v>
                </c:pt>
                <c:pt idx="577">
                  <c:v>12.69999999999991</c:v>
                </c:pt>
                <c:pt idx="578">
                  <c:v>12.79999999999991</c:v>
                </c:pt>
                <c:pt idx="579">
                  <c:v>12.89999999999991</c:v>
                </c:pt>
                <c:pt idx="580">
                  <c:v>12.999999999999909</c:v>
                </c:pt>
                <c:pt idx="581">
                  <c:v>13.099999999999909</c:v>
                </c:pt>
                <c:pt idx="582">
                  <c:v>13.199999999999909</c:v>
                </c:pt>
                <c:pt idx="583">
                  <c:v>13.299999999999908</c:v>
                </c:pt>
                <c:pt idx="584">
                  <c:v>13.399999999999908</c:v>
                </c:pt>
                <c:pt idx="585">
                  <c:v>13.499999999999908</c:v>
                </c:pt>
                <c:pt idx="586">
                  <c:v>13.599999999999907</c:v>
                </c:pt>
                <c:pt idx="587">
                  <c:v>13.699999999999907</c:v>
                </c:pt>
                <c:pt idx="588">
                  <c:v>13.799999999999907</c:v>
                </c:pt>
                <c:pt idx="589">
                  <c:v>13.899999999999906</c:v>
                </c:pt>
                <c:pt idx="590">
                  <c:v>13.999999999999906</c:v>
                </c:pt>
                <c:pt idx="591">
                  <c:v>14.099999999999905</c:v>
                </c:pt>
                <c:pt idx="592">
                  <c:v>14.199999999999905</c:v>
                </c:pt>
                <c:pt idx="593">
                  <c:v>14.299999999999905</c:v>
                </c:pt>
                <c:pt idx="594">
                  <c:v>14.399999999999904</c:v>
                </c:pt>
                <c:pt idx="595">
                  <c:v>14.499999999999904</c:v>
                </c:pt>
                <c:pt idx="596">
                  <c:v>14.599999999999904</c:v>
                </c:pt>
                <c:pt idx="597">
                  <c:v>14.699999999999903</c:v>
                </c:pt>
                <c:pt idx="598">
                  <c:v>14.799999999999903</c:v>
                </c:pt>
                <c:pt idx="599">
                  <c:v>14.899999999999903</c:v>
                </c:pt>
                <c:pt idx="600">
                  <c:v>14.999999999999902</c:v>
                </c:pt>
                <c:pt idx="601">
                  <c:v>15.099999999999902</c:v>
                </c:pt>
                <c:pt idx="602">
                  <c:v>15.199999999999902</c:v>
                </c:pt>
                <c:pt idx="603">
                  <c:v>15.299999999999901</c:v>
                </c:pt>
                <c:pt idx="604">
                  <c:v>15.399999999999901</c:v>
                </c:pt>
                <c:pt idx="605">
                  <c:v>15.499999999999901</c:v>
                </c:pt>
                <c:pt idx="606">
                  <c:v>15.5999999999999</c:v>
                </c:pt>
                <c:pt idx="607">
                  <c:v>15.6999999999999</c:v>
                </c:pt>
                <c:pt idx="608">
                  <c:v>15.799999999999899</c:v>
                </c:pt>
                <c:pt idx="609">
                  <c:v>15.899999999999899</c:v>
                </c:pt>
                <c:pt idx="610">
                  <c:v>15.999999999999899</c:v>
                </c:pt>
                <c:pt idx="611">
                  <c:v>16.099999999999898</c:v>
                </c:pt>
                <c:pt idx="612">
                  <c:v>16.1999999999999</c:v>
                </c:pt>
                <c:pt idx="613">
                  <c:v>16.299999999999901</c:v>
                </c:pt>
                <c:pt idx="614">
                  <c:v>16.399999999999903</c:v>
                </c:pt>
                <c:pt idx="615">
                  <c:v>16.499999999999904</c:v>
                </c:pt>
                <c:pt idx="616">
                  <c:v>16.599999999999905</c:v>
                </c:pt>
                <c:pt idx="617">
                  <c:v>16.699999999999907</c:v>
                </c:pt>
                <c:pt idx="618">
                  <c:v>16.799999999999908</c:v>
                </c:pt>
                <c:pt idx="619">
                  <c:v>16.89999999999991</c:v>
                </c:pt>
                <c:pt idx="620">
                  <c:v>16.999999999999911</c:v>
                </c:pt>
                <c:pt idx="621">
                  <c:v>17.099999999999913</c:v>
                </c:pt>
                <c:pt idx="622">
                  <c:v>17.199999999999914</c:v>
                </c:pt>
                <c:pt idx="623">
                  <c:v>17.299999999999915</c:v>
                </c:pt>
                <c:pt idx="624">
                  <c:v>17.399999999999917</c:v>
                </c:pt>
                <c:pt idx="625">
                  <c:v>17.499999999999918</c:v>
                </c:pt>
                <c:pt idx="626">
                  <c:v>17.59999999999992</c:v>
                </c:pt>
                <c:pt idx="627">
                  <c:v>17.699999999999921</c:v>
                </c:pt>
                <c:pt idx="628">
                  <c:v>17.799999999999923</c:v>
                </c:pt>
                <c:pt idx="629">
                  <c:v>17.899999999999924</c:v>
                </c:pt>
                <c:pt idx="630">
                  <c:v>17.999999999999925</c:v>
                </c:pt>
                <c:pt idx="631">
                  <c:v>18.099999999999927</c:v>
                </c:pt>
                <c:pt idx="632">
                  <c:v>18.199999999999928</c:v>
                </c:pt>
                <c:pt idx="633">
                  <c:v>18.29999999999993</c:v>
                </c:pt>
                <c:pt idx="634">
                  <c:v>18.399999999999931</c:v>
                </c:pt>
                <c:pt idx="635">
                  <c:v>18.499999999999932</c:v>
                </c:pt>
                <c:pt idx="636">
                  <c:v>18.599999999999934</c:v>
                </c:pt>
                <c:pt idx="637">
                  <c:v>18.699999999999935</c:v>
                </c:pt>
                <c:pt idx="638">
                  <c:v>18.799999999999937</c:v>
                </c:pt>
                <c:pt idx="639">
                  <c:v>18.899999999999938</c:v>
                </c:pt>
                <c:pt idx="640">
                  <c:v>18.99999999999994</c:v>
                </c:pt>
                <c:pt idx="641">
                  <c:v>19.099999999999941</c:v>
                </c:pt>
                <c:pt idx="642">
                  <c:v>19.199999999999942</c:v>
                </c:pt>
                <c:pt idx="643">
                  <c:v>19.299999999999944</c:v>
                </c:pt>
                <c:pt idx="644">
                  <c:v>19.399999999999945</c:v>
                </c:pt>
                <c:pt idx="645">
                  <c:v>19.499999999999947</c:v>
                </c:pt>
                <c:pt idx="646">
                  <c:v>19.599999999999948</c:v>
                </c:pt>
                <c:pt idx="647">
                  <c:v>19.69999999999995</c:v>
                </c:pt>
                <c:pt idx="648">
                  <c:v>19.799999999999951</c:v>
                </c:pt>
                <c:pt idx="649">
                  <c:v>19.899999999999952</c:v>
                </c:pt>
                <c:pt idx="650">
                  <c:v>19.999999999999954</c:v>
                </c:pt>
                <c:pt idx="651">
                  <c:v>20.099999999999955</c:v>
                </c:pt>
                <c:pt idx="652">
                  <c:v>20.199999999999957</c:v>
                </c:pt>
                <c:pt idx="653">
                  <c:v>20.299999999999958</c:v>
                </c:pt>
                <c:pt idx="654">
                  <c:v>20.399999999999959</c:v>
                </c:pt>
                <c:pt idx="655">
                  <c:v>20.499999999999961</c:v>
                </c:pt>
                <c:pt idx="656">
                  <c:v>20.599999999999962</c:v>
                </c:pt>
                <c:pt idx="657">
                  <c:v>20.699999999999964</c:v>
                </c:pt>
                <c:pt idx="658">
                  <c:v>20.799999999999965</c:v>
                </c:pt>
                <c:pt idx="659">
                  <c:v>20.899999999999967</c:v>
                </c:pt>
                <c:pt idx="660">
                  <c:v>20.999999999999968</c:v>
                </c:pt>
                <c:pt idx="661">
                  <c:v>21.099999999999969</c:v>
                </c:pt>
                <c:pt idx="662">
                  <c:v>21.199999999999971</c:v>
                </c:pt>
                <c:pt idx="663">
                  <c:v>21.299999999999972</c:v>
                </c:pt>
                <c:pt idx="664">
                  <c:v>21.399999999999974</c:v>
                </c:pt>
                <c:pt idx="665">
                  <c:v>21.499999999999975</c:v>
                </c:pt>
                <c:pt idx="666">
                  <c:v>21.599999999999977</c:v>
                </c:pt>
                <c:pt idx="667">
                  <c:v>21.699999999999978</c:v>
                </c:pt>
                <c:pt idx="668">
                  <c:v>21.799999999999979</c:v>
                </c:pt>
                <c:pt idx="669">
                  <c:v>21.899999999999981</c:v>
                </c:pt>
                <c:pt idx="670">
                  <c:v>21.999999999999982</c:v>
                </c:pt>
                <c:pt idx="671">
                  <c:v>22.099999999999984</c:v>
                </c:pt>
                <c:pt idx="672">
                  <c:v>22.199999999999985</c:v>
                </c:pt>
                <c:pt idx="673">
                  <c:v>22.299999999999986</c:v>
                </c:pt>
                <c:pt idx="674">
                  <c:v>22.399999999999988</c:v>
                </c:pt>
                <c:pt idx="675">
                  <c:v>22.499999999999989</c:v>
                </c:pt>
                <c:pt idx="676">
                  <c:v>22.599999999999991</c:v>
                </c:pt>
                <c:pt idx="677">
                  <c:v>22.699999999999992</c:v>
                </c:pt>
                <c:pt idx="678">
                  <c:v>22.799999999999994</c:v>
                </c:pt>
                <c:pt idx="679">
                  <c:v>22.899999999999995</c:v>
                </c:pt>
                <c:pt idx="680">
                  <c:v>22.999999999999996</c:v>
                </c:pt>
                <c:pt idx="681">
                  <c:v>23.099999999999998</c:v>
                </c:pt>
                <c:pt idx="682">
                  <c:v>23.2</c:v>
                </c:pt>
                <c:pt idx="683">
                  <c:v>23.3</c:v>
                </c:pt>
                <c:pt idx="684">
                  <c:v>23.400000000000002</c:v>
                </c:pt>
                <c:pt idx="685">
                  <c:v>23.500000000000004</c:v>
                </c:pt>
                <c:pt idx="686">
                  <c:v>23.600000000000005</c:v>
                </c:pt>
                <c:pt idx="687">
                  <c:v>23.700000000000006</c:v>
                </c:pt>
                <c:pt idx="688">
                  <c:v>23.800000000000008</c:v>
                </c:pt>
                <c:pt idx="689">
                  <c:v>23.900000000000009</c:v>
                </c:pt>
                <c:pt idx="690">
                  <c:v>24.000000000000011</c:v>
                </c:pt>
                <c:pt idx="691">
                  <c:v>24.100000000000012</c:v>
                </c:pt>
                <c:pt idx="692">
                  <c:v>24.200000000000014</c:v>
                </c:pt>
                <c:pt idx="693">
                  <c:v>24.300000000000015</c:v>
                </c:pt>
                <c:pt idx="694">
                  <c:v>24.400000000000016</c:v>
                </c:pt>
                <c:pt idx="695">
                  <c:v>24.500000000000018</c:v>
                </c:pt>
                <c:pt idx="696">
                  <c:v>24.600000000000019</c:v>
                </c:pt>
                <c:pt idx="697">
                  <c:v>24.700000000000021</c:v>
                </c:pt>
                <c:pt idx="698">
                  <c:v>24.800000000000022</c:v>
                </c:pt>
                <c:pt idx="699">
                  <c:v>24.900000000000023</c:v>
                </c:pt>
                <c:pt idx="700">
                  <c:v>25.000000000000025</c:v>
                </c:pt>
                <c:pt idx="701">
                  <c:v>25.100000000000026</c:v>
                </c:pt>
                <c:pt idx="702">
                  <c:v>25.200000000000028</c:v>
                </c:pt>
                <c:pt idx="703">
                  <c:v>25.300000000000029</c:v>
                </c:pt>
                <c:pt idx="704">
                  <c:v>25.400000000000031</c:v>
                </c:pt>
                <c:pt idx="705">
                  <c:v>25.500000000000032</c:v>
                </c:pt>
                <c:pt idx="706">
                  <c:v>25.600000000000033</c:v>
                </c:pt>
                <c:pt idx="707">
                  <c:v>25.700000000000035</c:v>
                </c:pt>
                <c:pt idx="708">
                  <c:v>25.800000000000036</c:v>
                </c:pt>
                <c:pt idx="709">
                  <c:v>25.900000000000038</c:v>
                </c:pt>
                <c:pt idx="710">
                  <c:v>26.000000000000039</c:v>
                </c:pt>
                <c:pt idx="711">
                  <c:v>26.100000000000041</c:v>
                </c:pt>
                <c:pt idx="712">
                  <c:v>26.200000000000042</c:v>
                </c:pt>
                <c:pt idx="713">
                  <c:v>26.300000000000043</c:v>
                </c:pt>
                <c:pt idx="714">
                  <c:v>26.400000000000045</c:v>
                </c:pt>
                <c:pt idx="715">
                  <c:v>26.500000000000046</c:v>
                </c:pt>
                <c:pt idx="716">
                  <c:v>26.600000000000048</c:v>
                </c:pt>
                <c:pt idx="717">
                  <c:v>26.700000000000049</c:v>
                </c:pt>
                <c:pt idx="718">
                  <c:v>26.80000000000005</c:v>
                </c:pt>
                <c:pt idx="719">
                  <c:v>26.900000000000052</c:v>
                </c:pt>
                <c:pt idx="720">
                  <c:v>27.000000000000053</c:v>
                </c:pt>
                <c:pt idx="721">
                  <c:v>27.100000000000055</c:v>
                </c:pt>
                <c:pt idx="722">
                  <c:v>27.200000000000056</c:v>
                </c:pt>
                <c:pt idx="723">
                  <c:v>27.300000000000058</c:v>
                </c:pt>
                <c:pt idx="724">
                  <c:v>27.400000000000059</c:v>
                </c:pt>
                <c:pt idx="725">
                  <c:v>27.50000000000006</c:v>
                </c:pt>
                <c:pt idx="726">
                  <c:v>27.600000000000062</c:v>
                </c:pt>
                <c:pt idx="727">
                  <c:v>27.700000000000063</c:v>
                </c:pt>
                <c:pt idx="728">
                  <c:v>27.800000000000065</c:v>
                </c:pt>
                <c:pt idx="729">
                  <c:v>27.900000000000066</c:v>
                </c:pt>
                <c:pt idx="730">
                  <c:v>28.000000000000068</c:v>
                </c:pt>
                <c:pt idx="731">
                  <c:v>28.100000000000069</c:v>
                </c:pt>
                <c:pt idx="732">
                  <c:v>28.20000000000007</c:v>
                </c:pt>
                <c:pt idx="733">
                  <c:v>28.300000000000072</c:v>
                </c:pt>
                <c:pt idx="734">
                  <c:v>28.400000000000073</c:v>
                </c:pt>
                <c:pt idx="735">
                  <c:v>28.500000000000075</c:v>
                </c:pt>
                <c:pt idx="736">
                  <c:v>28.600000000000076</c:v>
                </c:pt>
                <c:pt idx="737">
                  <c:v>28.700000000000077</c:v>
                </c:pt>
                <c:pt idx="738">
                  <c:v>28.800000000000079</c:v>
                </c:pt>
                <c:pt idx="739">
                  <c:v>28.90000000000008</c:v>
                </c:pt>
                <c:pt idx="740">
                  <c:v>29.000000000000082</c:v>
                </c:pt>
                <c:pt idx="741">
                  <c:v>29.100000000000083</c:v>
                </c:pt>
                <c:pt idx="742">
                  <c:v>29.200000000000085</c:v>
                </c:pt>
                <c:pt idx="743">
                  <c:v>29.300000000000086</c:v>
                </c:pt>
                <c:pt idx="744">
                  <c:v>29.400000000000087</c:v>
                </c:pt>
                <c:pt idx="745">
                  <c:v>29.500000000000089</c:v>
                </c:pt>
                <c:pt idx="746">
                  <c:v>29.60000000000009</c:v>
                </c:pt>
                <c:pt idx="747">
                  <c:v>29.700000000000092</c:v>
                </c:pt>
                <c:pt idx="748">
                  <c:v>29.800000000000093</c:v>
                </c:pt>
                <c:pt idx="749">
                  <c:v>29.900000000000095</c:v>
                </c:pt>
                <c:pt idx="750">
                  <c:v>30.000000000000096</c:v>
                </c:pt>
                <c:pt idx="751">
                  <c:v>30.100000000000097</c:v>
                </c:pt>
                <c:pt idx="752">
                  <c:v>30.200000000000099</c:v>
                </c:pt>
                <c:pt idx="753">
                  <c:v>30.3000000000001</c:v>
                </c:pt>
                <c:pt idx="754">
                  <c:v>30.400000000000102</c:v>
                </c:pt>
                <c:pt idx="755">
                  <c:v>30.500000000000103</c:v>
                </c:pt>
                <c:pt idx="756">
                  <c:v>30.600000000000104</c:v>
                </c:pt>
                <c:pt idx="757">
                  <c:v>30.700000000000106</c:v>
                </c:pt>
                <c:pt idx="758">
                  <c:v>30.800000000000107</c:v>
                </c:pt>
                <c:pt idx="759">
                  <c:v>30.900000000000109</c:v>
                </c:pt>
                <c:pt idx="760">
                  <c:v>31.00000000000011</c:v>
                </c:pt>
                <c:pt idx="761">
                  <c:v>31.100000000000112</c:v>
                </c:pt>
                <c:pt idx="762">
                  <c:v>31.200000000000113</c:v>
                </c:pt>
                <c:pt idx="763">
                  <c:v>31.300000000000114</c:v>
                </c:pt>
                <c:pt idx="764">
                  <c:v>31.400000000000116</c:v>
                </c:pt>
                <c:pt idx="765">
                  <c:v>31.500000000000117</c:v>
                </c:pt>
                <c:pt idx="766">
                  <c:v>31.600000000000119</c:v>
                </c:pt>
                <c:pt idx="767">
                  <c:v>31.70000000000012</c:v>
                </c:pt>
                <c:pt idx="768">
                  <c:v>31.800000000000122</c:v>
                </c:pt>
                <c:pt idx="769">
                  <c:v>31.900000000000123</c:v>
                </c:pt>
                <c:pt idx="770">
                  <c:v>32.000000000000121</c:v>
                </c:pt>
                <c:pt idx="771">
                  <c:v>32.100000000000122</c:v>
                </c:pt>
                <c:pt idx="772">
                  <c:v>32.200000000000124</c:v>
                </c:pt>
                <c:pt idx="773">
                  <c:v>32.300000000000125</c:v>
                </c:pt>
                <c:pt idx="774">
                  <c:v>32.400000000000126</c:v>
                </c:pt>
                <c:pt idx="775">
                  <c:v>32.500000000000128</c:v>
                </c:pt>
                <c:pt idx="776">
                  <c:v>32.600000000000129</c:v>
                </c:pt>
                <c:pt idx="777">
                  <c:v>32.700000000000131</c:v>
                </c:pt>
                <c:pt idx="778">
                  <c:v>32.800000000000132</c:v>
                </c:pt>
                <c:pt idx="779">
                  <c:v>32.900000000000134</c:v>
                </c:pt>
                <c:pt idx="780">
                  <c:v>33.000000000000135</c:v>
                </c:pt>
                <c:pt idx="781">
                  <c:v>33.100000000000136</c:v>
                </c:pt>
                <c:pt idx="782">
                  <c:v>33.200000000000138</c:v>
                </c:pt>
                <c:pt idx="783">
                  <c:v>33.300000000000139</c:v>
                </c:pt>
                <c:pt idx="784">
                  <c:v>33.400000000000141</c:v>
                </c:pt>
                <c:pt idx="785">
                  <c:v>33.500000000000142</c:v>
                </c:pt>
                <c:pt idx="786">
                  <c:v>33.600000000000144</c:v>
                </c:pt>
                <c:pt idx="787">
                  <c:v>33.700000000000145</c:v>
                </c:pt>
                <c:pt idx="788">
                  <c:v>33.800000000000146</c:v>
                </c:pt>
                <c:pt idx="789">
                  <c:v>33.900000000000148</c:v>
                </c:pt>
                <c:pt idx="790">
                  <c:v>34.000000000000149</c:v>
                </c:pt>
                <c:pt idx="791">
                  <c:v>34.100000000000151</c:v>
                </c:pt>
                <c:pt idx="792">
                  <c:v>34.200000000000152</c:v>
                </c:pt>
                <c:pt idx="793">
                  <c:v>34.300000000000153</c:v>
                </c:pt>
                <c:pt idx="794">
                  <c:v>34.400000000000155</c:v>
                </c:pt>
                <c:pt idx="795">
                  <c:v>34.500000000000156</c:v>
                </c:pt>
                <c:pt idx="796">
                  <c:v>34.600000000000158</c:v>
                </c:pt>
                <c:pt idx="797">
                  <c:v>34.700000000000159</c:v>
                </c:pt>
                <c:pt idx="798">
                  <c:v>34.800000000000161</c:v>
                </c:pt>
                <c:pt idx="799">
                  <c:v>34.900000000000162</c:v>
                </c:pt>
                <c:pt idx="800">
                  <c:v>35.000000000000163</c:v>
                </c:pt>
                <c:pt idx="801">
                  <c:v>35.100000000000165</c:v>
                </c:pt>
                <c:pt idx="802">
                  <c:v>35.200000000000166</c:v>
                </c:pt>
                <c:pt idx="803">
                  <c:v>35.300000000000168</c:v>
                </c:pt>
                <c:pt idx="804">
                  <c:v>35.400000000000169</c:v>
                </c:pt>
                <c:pt idx="805">
                  <c:v>35.500000000000171</c:v>
                </c:pt>
                <c:pt idx="806">
                  <c:v>35.600000000000172</c:v>
                </c:pt>
                <c:pt idx="807">
                  <c:v>35.700000000000173</c:v>
                </c:pt>
                <c:pt idx="808">
                  <c:v>35.800000000000175</c:v>
                </c:pt>
                <c:pt idx="809">
                  <c:v>35.900000000000176</c:v>
                </c:pt>
                <c:pt idx="810">
                  <c:v>36.000000000000178</c:v>
                </c:pt>
                <c:pt idx="811">
                  <c:v>36.100000000000179</c:v>
                </c:pt>
                <c:pt idx="812">
                  <c:v>36.20000000000018</c:v>
                </c:pt>
                <c:pt idx="813">
                  <c:v>36.300000000000182</c:v>
                </c:pt>
                <c:pt idx="814">
                  <c:v>36.400000000000183</c:v>
                </c:pt>
                <c:pt idx="815">
                  <c:v>36.500000000000185</c:v>
                </c:pt>
                <c:pt idx="816">
                  <c:v>36.600000000000186</c:v>
                </c:pt>
                <c:pt idx="817">
                  <c:v>36.700000000000188</c:v>
                </c:pt>
                <c:pt idx="818">
                  <c:v>36.800000000000189</c:v>
                </c:pt>
                <c:pt idx="819">
                  <c:v>36.90000000000019</c:v>
                </c:pt>
                <c:pt idx="820">
                  <c:v>37.000000000000192</c:v>
                </c:pt>
                <c:pt idx="821">
                  <c:v>37.100000000000193</c:v>
                </c:pt>
                <c:pt idx="822">
                  <c:v>37.200000000000195</c:v>
                </c:pt>
                <c:pt idx="823">
                  <c:v>37.300000000000196</c:v>
                </c:pt>
                <c:pt idx="824">
                  <c:v>37.400000000000198</c:v>
                </c:pt>
                <c:pt idx="825">
                  <c:v>37.500000000000199</c:v>
                </c:pt>
                <c:pt idx="826">
                  <c:v>37.6000000000002</c:v>
                </c:pt>
                <c:pt idx="827">
                  <c:v>37.700000000000202</c:v>
                </c:pt>
                <c:pt idx="828">
                  <c:v>37.800000000000203</c:v>
                </c:pt>
                <c:pt idx="829">
                  <c:v>37.900000000000205</c:v>
                </c:pt>
                <c:pt idx="830">
                  <c:v>38.000000000000206</c:v>
                </c:pt>
                <c:pt idx="831">
                  <c:v>38.100000000000207</c:v>
                </c:pt>
                <c:pt idx="832">
                  <c:v>38.200000000000209</c:v>
                </c:pt>
                <c:pt idx="833">
                  <c:v>38.30000000000021</c:v>
                </c:pt>
                <c:pt idx="834">
                  <c:v>38.400000000000212</c:v>
                </c:pt>
                <c:pt idx="835">
                  <c:v>38.500000000000213</c:v>
                </c:pt>
                <c:pt idx="836">
                  <c:v>38.600000000000215</c:v>
                </c:pt>
                <c:pt idx="837">
                  <c:v>38.700000000000216</c:v>
                </c:pt>
                <c:pt idx="838">
                  <c:v>38.800000000000217</c:v>
                </c:pt>
                <c:pt idx="839">
                  <c:v>38.900000000000219</c:v>
                </c:pt>
                <c:pt idx="840">
                  <c:v>39.00000000000022</c:v>
                </c:pt>
                <c:pt idx="841">
                  <c:v>39.100000000000222</c:v>
                </c:pt>
                <c:pt idx="842">
                  <c:v>39.200000000000223</c:v>
                </c:pt>
                <c:pt idx="843">
                  <c:v>39.300000000000225</c:v>
                </c:pt>
                <c:pt idx="844">
                  <c:v>39.400000000000226</c:v>
                </c:pt>
                <c:pt idx="845">
                  <c:v>39.500000000000227</c:v>
                </c:pt>
                <c:pt idx="846">
                  <c:v>39.600000000000229</c:v>
                </c:pt>
                <c:pt idx="847">
                  <c:v>39.70000000000023</c:v>
                </c:pt>
                <c:pt idx="848">
                  <c:v>39.800000000000232</c:v>
                </c:pt>
                <c:pt idx="849">
                  <c:v>39.900000000000233</c:v>
                </c:pt>
                <c:pt idx="850">
                  <c:v>40.000000000000234</c:v>
                </c:pt>
                <c:pt idx="851">
                  <c:v>40.100000000000236</c:v>
                </c:pt>
                <c:pt idx="852">
                  <c:v>40.200000000000237</c:v>
                </c:pt>
                <c:pt idx="853">
                  <c:v>40.300000000000239</c:v>
                </c:pt>
                <c:pt idx="854">
                  <c:v>40.40000000000024</c:v>
                </c:pt>
                <c:pt idx="855">
                  <c:v>40.500000000000242</c:v>
                </c:pt>
                <c:pt idx="856">
                  <c:v>40.600000000000243</c:v>
                </c:pt>
                <c:pt idx="857">
                  <c:v>40.700000000000244</c:v>
                </c:pt>
                <c:pt idx="858">
                  <c:v>40.800000000000246</c:v>
                </c:pt>
                <c:pt idx="859">
                  <c:v>40.900000000000247</c:v>
                </c:pt>
                <c:pt idx="860">
                  <c:v>41.000000000000249</c:v>
                </c:pt>
                <c:pt idx="861">
                  <c:v>41.10000000000025</c:v>
                </c:pt>
                <c:pt idx="862">
                  <c:v>41.200000000000252</c:v>
                </c:pt>
                <c:pt idx="863">
                  <c:v>41.300000000000253</c:v>
                </c:pt>
                <c:pt idx="864">
                  <c:v>41.400000000000254</c:v>
                </c:pt>
                <c:pt idx="865">
                  <c:v>41.500000000000256</c:v>
                </c:pt>
                <c:pt idx="866">
                  <c:v>41.600000000000257</c:v>
                </c:pt>
                <c:pt idx="867">
                  <c:v>41.700000000000259</c:v>
                </c:pt>
                <c:pt idx="868">
                  <c:v>41.80000000000026</c:v>
                </c:pt>
                <c:pt idx="869">
                  <c:v>41.900000000000261</c:v>
                </c:pt>
                <c:pt idx="870">
                  <c:v>42.000000000000263</c:v>
                </c:pt>
                <c:pt idx="871">
                  <c:v>42.100000000000264</c:v>
                </c:pt>
                <c:pt idx="872">
                  <c:v>42.200000000000266</c:v>
                </c:pt>
                <c:pt idx="873">
                  <c:v>42.300000000000267</c:v>
                </c:pt>
                <c:pt idx="874">
                  <c:v>42.400000000000269</c:v>
                </c:pt>
                <c:pt idx="875">
                  <c:v>42.50000000000027</c:v>
                </c:pt>
                <c:pt idx="876">
                  <c:v>42.600000000000271</c:v>
                </c:pt>
                <c:pt idx="877">
                  <c:v>42.700000000000273</c:v>
                </c:pt>
                <c:pt idx="878">
                  <c:v>42.800000000000274</c:v>
                </c:pt>
                <c:pt idx="879">
                  <c:v>42.900000000000276</c:v>
                </c:pt>
                <c:pt idx="880">
                  <c:v>43.000000000000277</c:v>
                </c:pt>
                <c:pt idx="881">
                  <c:v>43.100000000000279</c:v>
                </c:pt>
                <c:pt idx="882">
                  <c:v>43.20000000000028</c:v>
                </c:pt>
                <c:pt idx="883">
                  <c:v>43.300000000000281</c:v>
                </c:pt>
                <c:pt idx="884">
                  <c:v>43.400000000000283</c:v>
                </c:pt>
                <c:pt idx="885">
                  <c:v>43.500000000000284</c:v>
                </c:pt>
                <c:pt idx="886">
                  <c:v>43.600000000000286</c:v>
                </c:pt>
                <c:pt idx="887">
                  <c:v>43.700000000000287</c:v>
                </c:pt>
                <c:pt idx="888">
                  <c:v>43.800000000000288</c:v>
                </c:pt>
                <c:pt idx="889">
                  <c:v>43.90000000000029</c:v>
                </c:pt>
                <c:pt idx="890">
                  <c:v>44.000000000000291</c:v>
                </c:pt>
                <c:pt idx="891">
                  <c:v>44.100000000000293</c:v>
                </c:pt>
                <c:pt idx="892">
                  <c:v>44.200000000000294</c:v>
                </c:pt>
                <c:pt idx="893">
                  <c:v>44.300000000000296</c:v>
                </c:pt>
                <c:pt idx="894">
                  <c:v>44.400000000000297</c:v>
                </c:pt>
                <c:pt idx="895">
                  <c:v>44.500000000000298</c:v>
                </c:pt>
                <c:pt idx="896">
                  <c:v>44.6000000000003</c:v>
                </c:pt>
                <c:pt idx="897">
                  <c:v>44.700000000000301</c:v>
                </c:pt>
                <c:pt idx="898">
                  <c:v>44.800000000000303</c:v>
                </c:pt>
                <c:pt idx="899">
                  <c:v>44.900000000000304</c:v>
                </c:pt>
                <c:pt idx="900">
                  <c:v>45.000000000000306</c:v>
                </c:pt>
                <c:pt idx="901">
                  <c:v>45.100000000000307</c:v>
                </c:pt>
                <c:pt idx="902">
                  <c:v>45.200000000000308</c:v>
                </c:pt>
                <c:pt idx="903">
                  <c:v>45.30000000000031</c:v>
                </c:pt>
                <c:pt idx="904">
                  <c:v>45.400000000000311</c:v>
                </c:pt>
                <c:pt idx="905">
                  <c:v>45.500000000000313</c:v>
                </c:pt>
                <c:pt idx="906">
                  <c:v>45.600000000000314</c:v>
                </c:pt>
                <c:pt idx="907">
                  <c:v>45.700000000000315</c:v>
                </c:pt>
                <c:pt idx="908">
                  <c:v>45.800000000000317</c:v>
                </c:pt>
                <c:pt idx="909">
                  <c:v>45.900000000000318</c:v>
                </c:pt>
                <c:pt idx="910">
                  <c:v>46.00000000000032</c:v>
                </c:pt>
                <c:pt idx="911">
                  <c:v>46.100000000000321</c:v>
                </c:pt>
                <c:pt idx="912">
                  <c:v>46.200000000000323</c:v>
                </c:pt>
                <c:pt idx="913">
                  <c:v>46.300000000000324</c:v>
                </c:pt>
                <c:pt idx="914">
                  <c:v>46.400000000000325</c:v>
                </c:pt>
                <c:pt idx="915">
                  <c:v>46.500000000000327</c:v>
                </c:pt>
                <c:pt idx="916">
                  <c:v>46.600000000000328</c:v>
                </c:pt>
                <c:pt idx="917">
                  <c:v>46.70000000000033</c:v>
                </c:pt>
                <c:pt idx="918">
                  <c:v>46.800000000000331</c:v>
                </c:pt>
                <c:pt idx="919">
                  <c:v>46.900000000000333</c:v>
                </c:pt>
                <c:pt idx="920">
                  <c:v>47.000000000000334</c:v>
                </c:pt>
                <c:pt idx="921">
                  <c:v>47.100000000000335</c:v>
                </c:pt>
                <c:pt idx="922">
                  <c:v>47.200000000000337</c:v>
                </c:pt>
                <c:pt idx="923">
                  <c:v>47.300000000000338</c:v>
                </c:pt>
                <c:pt idx="924">
                  <c:v>47.40000000000034</c:v>
                </c:pt>
                <c:pt idx="925">
                  <c:v>47.500000000000341</c:v>
                </c:pt>
                <c:pt idx="926">
                  <c:v>47.600000000000342</c:v>
                </c:pt>
                <c:pt idx="927">
                  <c:v>47.700000000000344</c:v>
                </c:pt>
                <c:pt idx="928">
                  <c:v>47.800000000000345</c:v>
                </c:pt>
                <c:pt idx="929">
                  <c:v>47.900000000000347</c:v>
                </c:pt>
                <c:pt idx="930">
                  <c:v>48.000000000000348</c:v>
                </c:pt>
                <c:pt idx="931">
                  <c:v>48.10000000000035</c:v>
                </c:pt>
                <c:pt idx="932">
                  <c:v>48.200000000000351</c:v>
                </c:pt>
                <c:pt idx="933">
                  <c:v>48.300000000000352</c:v>
                </c:pt>
                <c:pt idx="934">
                  <c:v>48.400000000000354</c:v>
                </c:pt>
                <c:pt idx="935">
                  <c:v>48.500000000000355</c:v>
                </c:pt>
                <c:pt idx="936">
                  <c:v>48.600000000000357</c:v>
                </c:pt>
                <c:pt idx="937">
                  <c:v>48.700000000000358</c:v>
                </c:pt>
                <c:pt idx="938">
                  <c:v>48.80000000000036</c:v>
                </c:pt>
                <c:pt idx="939">
                  <c:v>48.900000000000361</c:v>
                </c:pt>
                <c:pt idx="940">
                  <c:v>49.000000000000362</c:v>
                </c:pt>
                <c:pt idx="941">
                  <c:v>49.100000000000364</c:v>
                </c:pt>
                <c:pt idx="942">
                  <c:v>49.200000000000365</c:v>
                </c:pt>
                <c:pt idx="943">
                  <c:v>49.300000000000367</c:v>
                </c:pt>
                <c:pt idx="944">
                  <c:v>49.30010000000037</c:v>
                </c:pt>
                <c:pt idx="945">
                  <c:v>49.300200000000373</c:v>
                </c:pt>
                <c:pt idx="946">
                  <c:v>49.300300000000377</c:v>
                </c:pt>
                <c:pt idx="947">
                  <c:v>49.30040000000038</c:v>
                </c:pt>
                <c:pt idx="948">
                  <c:v>49.300500000000383</c:v>
                </c:pt>
                <c:pt idx="949">
                  <c:v>49.300600000000387</c:v>
                </c:pt>
                <c:pt idx="950">
                  <c:v>49.30070000000039</c:v>
                </c:pt>
                <c:pt idx="951">
                  <c:v>49.300800000000393</c:v>
                </c:pt>
                <c:pt idx="952">
                  <c:v>49.300900000000397</c:v>
                </c:pt>
                <c:pt idx="953">
                  <c:v>49.3010000000004</c:v>
                </c:pt>
                <c:pt idx="954">
                  <c:v>49.301100000000403</c:v>
                </c:pt>
                <c:pt idx="955">
                  <c:v>49.301200000000406</c:v>
                </c:pt>
                <c:pt idx="956">
                  <c:v>49.30130000000041</c:v>
                </c:pt>
                <c:pt idx="957">
                  <c:v>49.301400000000413</c:v>
                </c:pt>
                <c:pt idx="958">
                  <c:v>49.301500000000416</c:v>
                </c:pt>
                <c:pt idx="959">
                  <c:v>49.30160000000042</c:v>
                </c:pt>
                <c:pt idx="960">
                  <c:v>49.301700000000423</c:v>
                </c:pt>
                <c:pt idx="961">
                  <c:v>49.301800000000426</c:v>
                </c:pt>
                <c:pt idx="962">
                  <c:v>49.30190000000043</c:v>
                </c:pt>
                <c:pt idx="963">
                  <c:v>49.302000000000433</c:v>
                </c:pt>
                <c:pt idx="964">
                  <c:v>49.302100000000436</c:v>
                </c:pt>
                <c:pt idx="965">
                  <c:v>49.30220000000044</c:v>
                </c:pt>
                <c:pt idx="966">
                  <c:v>49.302300000000443</c:v>
                </c:pt>
                <c:pt idx="967">
                  <c:v>49.302400000000446</c:v>
                </c:pt>
                <c:pt idx="968">
                  <c:v>49.30250000000045</c:v>
                </c:pt>
                <c:pt idx="969">
                  <c:v>49.302600000000453</c:v>
                </c:pt>
                <c:pt idx="970">
                  <c:v>49.302700000000456</c:v>
                </c:pt>
                <c:pt idx="971">
                  <c:v>49.30280000000046</c:v>
                </c:pt>
                <c:pt idx="972">
                  <c:v>49.302900000000463</c:v>
                </c:pt>
                <c:pt idx="973">
                  <c:v>49.303000000000466</c:v>
                </c:pt>
                <c:pt idx="974">
                  <c:v>49.30310000000047</c:v>
                </c:pt>
                <c:pt idx="975">
                  <c:v>49.303200000000473</c:v>
                </c:pt>
                <c:pt idx="976">
                  <c:v>49.303300000000476</c:v>
                </c:pt>
                <c:pt idx="977">
                  <c:v>49.30340000000048</c:v>
                </c:pt>
                <c:pt idx="978">
                  <c:v>49.303500000000483</c:v>
                </c:pt>
                <c:pt idx="979">
                  <c:v>49.303600000000486</c:v>
                </c:pt>
                <c:pt idx="980">
                  <c:v>49.303700000000489</c:v>
                </c:pt>
                <c:pt idx="981">
                  <c:v>49.303800000000493</c:v>
                </c:pt>
                <c:pt idx="982">
                  <c:v>49.303900000000496</c:v>
                </c:pt>
                <c:pt idx="983">
                  <c:v>49.304000000000499</c:v>
                </c:pt>
                <c:pt idx="984">
                  <c:v>49.304100000000503</c:v>
                </c:pt>
                <c:pt idx="985">
                  <c:v>49.304200000000506</c:v>
                </c:pt>
                <c:pt idx="986">
                  <c:v>49.304300000000509</c:v>
                </c:pt>
                <c:pt idx="987">
                  <c:v>49.304400000000513</c:v>
                </c:pt>
                <c:pt idx="988">
                  <c:v>49.304500000000516</c:v>
                </c:pt>
                <c:pt idx="989">
                  <c:v>49.304600000000519</c:v>
                </c:pt>
                <c:pt idx="990">
                  <c:v>49.304700000000523</c:v>
                </c:pt>
                <c:pt idx="991">
                  <c:v>49.304800000000526</c:v>
                </c:pt>
                <c:pt idx="992">
                  <c:v>49.304900000000529</c:v>
                </c:pt>
                <c:pt idx="993">
                  <c:v>49.305000000000533</c:v>
                </c:pt>
                <c:pt idx="994">
                  <c:v>49.305100000000536</c:v>
                </c:pt>
                <c:pt idx="995">
                  <c:v>49.305200000000539</c:v>
                </c:pt>
                <c:pt idx="996">
                  <c:v>49.305300000000543</c:v>
                </c:pt>
                <c:pt idx="997">
                  <c:v>49.305400000000546</c:v>
                </c:pt>
                <c:pt idx="998">
                  <c:v>49.305500000000549</c:v>
                </c:pt>
                <c:pt idx="999">
                  <c:v>49.305600000000553</c:v>
                </c:pt>
                <c:pt idx="1000">
                  <c:v>49.305700000000556</c:v>
                </c:pt>
              </c:numCache>
            </c:numRef>
          </c:xVal>
          <c:yVal>
            <c:numRef>
              <c:f>Calculs!$I$4:$I$1004</c:f>
              <c:numCache>
                <c:formatCode>0.00</c:formatCode>
                <c:ptCount val="1001"/>
                <c:pt idx="0">
                  <c:v>0</c:v>
                </c:pt>
                <c:pt idx="1">
                  <c:v>8.9925032220267556E-2</c:v>
                </c:pt>
                <c:pt idx="2">
                  <c:v>0.38565297797867881</c:v>
                </c:pt>
                <c:pt idx="3">
                  <c:v>0.76681003317055629</c:v>
                </c:pt>
                <c:pt idx="4">
                  <c:v>1.2334604626372765</c:v>
                </c:pt>
                <c:pt idx="5">
                  <c:v>1.7856790846084822</c:v>
                </c:pt>
                <c:pt idx="6">
                  <c:v>2.4235511963240191</c:v>
                </c:pt>
                <c:pt idx="7">
                  <c:v>3.1471725035988696</c:v>
                </c:pt>
                <c:pt idx="8">
                  <c:v>3.9566490542310659</c:v>
                </c:pt>
                <c:pt idx="9">
                  <c:v>4.8520971751570663</c:v>
                </c:pt>
                <c:pt idx="10">
                  <c:v>5.8336434132628856</c:v>
                </c:pt>
                <c:pt idx="11">
                  <c:v>6.8522578913973486</c:v>
                </c:pt>
                <c:pt idx="12">
                  <c:v>7.8588037763251251</c:v>
                </c:pt>
                <c:pt idx="13">
                  <c:v>8.8528818285262787</c:v>
                </c:pt>
                <c:pt idx="14">
                  <c:v>9.8340923897368668</c:v>
                </c:pt>
                <c:pt idx="15">
                  <c:v>10.802410219274162</c:v>
                </c:pt>
                <c:pt idx="16">
                  <c:v>11.757810481498273</c:v>
                </c:pt>
                <c:pt idx="17">
                  <c:v>12.700268745723486</c:v>
                </c:pt>
                <c:pt idx="18">
                  <c:v>13.629760986074833</c:v>
                </c:pt>
                <c:pt idx="19">
                  <c:v>14.546263581290242</c:v>
                </c:pt>
                <c:pt idx="20">
                  <c:v>15.449753314468502</c:v>
                </c:pt>
                <c:pt idx="21">
                  <c:v>16.340207372763356</c:v>
                </c:pt>
                <c:pt idx="22">
                  <c:v>17.217603347024049</c:v>
                </c:pt>
                <c:pt idx="23">
                  <c:v>18.081919231382606</c:v>
                </c:pt>
                <c:pt idx="24">
                  <c:v>18.933133422788231</c:v>
                </c:pt>
                <c:pt idx="25">
                  <c:v>19.771224720489133</c:v>
                </c:pt>
                <c:pt idx="26">
                  <c:v>20.596172325462124</c:v>
                </c:pt>
                <c:pt idx="27">
                  <c:v>21.414563709324533</c:v>
                </c:pt>
                <c:pt idx="28">
                  <c:v>22.232997984193222</c:v>
                </c:pt>
                <c:pt idx="29">
                  <c:v>23.0514717869323</c:v>
                </c:pt>
                <c:pt idx="30">
                  <c:v>23.869981750041465</c:v>
                </c:pt>
                <c:pt idx="31">
                  <c:v>24.688524501721016</c:v>
                </c:pt>
                <c:pt idx="32">
                  <c:v>25.50709666593713</c:v>
                </c:pt>
                <c:pt idx="33">
                  <c:v>26.325694862487371</c:v>
                </c:pt>
                <c:pt idx="34">
                  <c:v>27.144320894119101</c:v>
                </c:pt>
                <c:pt idx="35">
                  <c:v>27.962976773744352</c:v>
                </c:pt>
                <c:pt idx="36">
                  <c:v>28.78165887356533</c:v>
                </c:pt>
                <c:pt idx="37">
                  <c:v>29.600363573408654</c:v>
                </c:pt>
                <c:pt idx="38">
                  <c:v>30.419087259879635</c:v>
                </c:pt>
                <c:pt idx="39">
                  <c:v>31.237826325644619</c:v>
                </c:pt>
                <c:pt idx="40">
                  <c:v>32.05657716879</c:v>
                </c:pt>
                <c:pt idx="41">
                  <c:v>32.875336192248817</c:v>
                </c:pt>
                <c:pt idx="42">
                  <c:v>33.694099803286889</c:v>
                </c:pt>
                <c:pt idx="43">
                  <c:v>34.512864413041868</c:v>
                </c:pt>
                <c:pt idx="44">
                  <c:v>35.331626436109119</c:v>
                </c:pt>
                <c:pt idx="45">
                  <c:v>36.150382290169468</c:v>
                </c:pt>
                <c:pt idx="46">
                  <c:v>36.969128395654316</c:v>
                </c:pt>
                <c:pt idx="47">
                  <c:v>37.787861175444263</c:v>
                </c:pt>
                <c:pt idx="48">
                  <c:v>38.606577054597729</c:v>
                </c:pt>
                <c:pt idx="49">
                  <c:v>39.425272460106775</c:v>
                </c:pt>
                <c:pt idx="50">
                  <c:v>40.243943820677259</c:v>
                </c:pt>
                <c:pt idx="51">
                  <c:v>41.062587566531207</c:v>
                </c:pt>
                <c:pt idx="52">
                  <c:v>41.881200129229136</c:v>
                </c:pt>
                <c:pt idx="53">
                  <c:v>42.699777941510632</c:v>
                </c:pt>
                <c:pt idx="54">
                  <c:v>43.518317437151531</c:v>
                </c:pt>
                <c:pt idx="55">
                  <c:v>44.336815050836137</c:v>
                </c:pt>
                <c:pt idx="56">
                  <c:v>45.155267218043278</c:v>
                </c:pt>
                <c:pt idx="57">
                  <c:v>45.97367037494503</c:v>
                </c:pt>
                <c:pt idx="58">
                  <c:v>46.792020958316975</c:v>
                </c:pt>
                <c:pt idx="59">
                  <c:v>47.610315405459112</c:v>
                </c:pt>
                <c:pt idx="60">
                  <c:v>48.42855015412654</c:v>
                </c:pt>
                <c:pt idx="61">
                  <c:v>49.246721642469119</c:v>
                </c:pt>
                <c:pt idx="62">
                  <c:v>50.064826308979526</c:v>
                </c:pt>
                <c:pt idx="63">
                  <c:v>50.882860592448885</c:v>
                </c:pt>
                <c:pt idx="64">
                  <c:v>51.700820931929542</c:v>
                </c:pt>
                <c:pt idx="65">
                  <c:v>52.518703766704384</c:v>
                </c:pt>
                <c:pt idx="66">
                  <c:v>53.336505536262308</c:v>
                </c:pt>
                <c:pt idx="67">
                  <c:v>54.154222680279297</c:v>
                </c:pt>
                <c:pt idx="68">
                  <c:v>54.971851638604747</c:v>
                </c:pt>
                <c:pt idx="69">
                  <c:v>55.789388851252745</c:v>
                </c:pt>
                <c:pt idx="70">
                  <c:v>56.606830758397891</c:v>
                </c:pt>
                <c:pt idx="71">
                  <c:v>57.4241738003753</c:v>
                </c:pt>
                <c:pt idx="72">
                  <c:v>58.241338791324978</c:v>
                </c:pt>
                <c:pt idx="73">
                  <c:v>59.058246428125159</c:v>
                </c:pt>
                <c:pt idx="74">
                  <c:v>59.874892987768469</c:v>
                </c:pt>
                <c:pt idx="75">
                  <c:v>60.6912747492471</c:v>
                </c:pt>
                <c:pt idx="76">
                  <c:v>61.507387993575016</c:v>
                </c:pt>
                <c:pt idx="77">
                  <c:v>62.323229003812962</c:v>
                </c:pt>
                <c:pt idx="78">
                  <c:v>63.13879406509615</c:v>
                </c:pt>
                <c:pt idx="79">
                  <c:v>63.954079464664495</c:v>
                </c:pt>
                <c:pt idx="80">
                  <c:v>64.769081491895108</c:v>
                </c:pt>
                <c:pt idx="81">
                  <c:v>65.583796438337032</c:v>
                </c:pt>
                <c:pt idx="82">
                  <c:v>66.398220597748022</c:v>
                </c:pt>
                <c:pt idx="83">
                  <c:v>67.212350266133328</c:v>
                </c:pt>
                <c:pt idx="84">
                  <c:v>68.02618174178626</c:v>
                </c:pt>
                <c:pt idx="85">
                  <c:v>68.839711325330384</c:v>
                </c:pt>
                <c:pt idx="86">
                  <c:v>69.652935319763486</c:v>
                </c:pt>
                <c:pt idx="87">
                  <c:v>70.465850030502949</c:v>
                </c:pt>
                <c:pt idx="88">
                  <c:v>71.278451765432621</c:v>
                </c:pt>
                <c:pt idx="89">
                  <c:v>72.090736834950988</c:v>
                </c:pt>
                <c:pt idx="90">
                  <c:v>72.902701552020602</c:v>
                </c:pt>
                <c:pt idx="91">
                  <c:v>73.714342232218769</c:v>
                </c:pt>
                <c:pt idx="92">
                  <c:v>74.525655193789348</c:v>
                </c:pt>
                <c:pt idx="93">
                  <c:v>75.336636757695629</c:v>
                </c:pt>
                <c:pt idx="94">
                  <c:v>76.147283247674039</c:v>
                </c:pt>
                <c:pt idx="95">
                  <c:v>76.957590990289134</c:v>
                </c:pt>
                <c:pt idx="96">
                  <c:v>77.767556314989193</c:v>
                </c:pt>
                <c:pt idx="97">
                  <c:v>78.577175554162736</c:v>
                </c:pt>
                <c:pt idx="98">
                  <c:v>79.386445043195906</c:v>
                </c:pt>
                <c:pt idx="99">
                  <c:v>80.195361120530549</c:v>
                </c:pt>
                <c:pt idx="100">
                  <c:v>81.003920127722949</c:v>
                </c:pt>
                <c:pt idx="101">
                  <c:v>81.812118409503356</c:v>
                </c:pt>
                <c:pt idx="102">
                  <c:v>82.619952313835981</c:v>
                </c:pt>
                <c:pt idx="103">
                  <c:v>83.427418191979726</c:v>
                </c:pt>
                <c:pt idx="104">
                  <c:v>84.234512398549427</c:v>
                </c:pt>
                <c:pt idx="105">
                  <c:v>85.041231291577517</c:v>
                </c:pt>
                <c:pt idx="106">
                  <c:v>85.847571232576371</c:v>
                </c:pt>
                <c:pt idx="107">
                  <c:v>86.653528586600899</c:v>
                </c:pt>
                <c:pt idx="108">
                  <c:v>87.459099722311819</c:v>
                </c:pt>
                <c:pt idx="109">
                  <c:v>88.26428101203912</c:v>
                </c:pt>
                <c:pt idx="110">
                  <c:v>89.069068831845954</c:v>
                </c:pt>
                <c:pt idx="111">
                  <c:v>89.873459561593009</c:v>
                </c:pt>
                <c:pt idx="112">
                  <c:v>90.677449585003089</c:v>
                </c:pt>
                <c:pt idx="113">
                  <c:v>91.481035289726037</c:v>
                </c:pt>
                <c:pt idx="114">
                  <c:v>92.28421306740394</c:v>
                </c:pt>
                <c:pt idx="115">
                  <c:v>93.086979313736649</c:v>
                </c:pt>
                <c:pt idx="116">
                  <c:v>93.88933042854751</c:v>
                </c:pt>
                <c:pt idx="117">
                  <c:v>94.691262815849299</c:v>
                </c:pt>
                <c:pt idx="118">
                  <c:v>95.492772883910476</c:v>
                </c:pt>
                <c:pt idx="119">
                  <c:v>96.293857045321431</c:v>
                </c:pt>
                <c:pt idx="120">
                  <c:v>97.094511717061224</c:v>
                </c:pt>
                <c:pt idx="121">
                  <c:v>97.894733320564129</c:v>
                </c:pt>
                <c:pt idx="122">
                  <c:v>98.694518281786557</c:v>
                </c:pt>
                <c:pt idx="123">
                  <c:v>99.493863031274117</c:v>
                </c:pt>
                <c:pt idx="124">
                  <c:v>100.29276400422864</c:v>
                </c:pt>
                <c:pt idx="125">
                  <c:v>101.09121764057542</c:v>
                </c:pt>
                <c:pt idx="126">
                  <c:v>101.8892203850306</c:v>
                </c:pt>
                <c:pt idx="127">
                  <c:v>102.6867686871684</c:v>
                </c:pt>
                <c:pt idx="128">
                  <c:v>103.48385900148874</c:v>
                </c:pt>
                <c:pt idx="129">
                  <c:v>104.28013836636315</c:v>
                </c:pt>
                <c:pt idx="130">
                  <c:v>105.07525337194718</c:v>
                </c:pt>
                <c:pt idx="131">
                  <c:v>105.86919990932468</c:v>
                </c:pt>
                <c:pt idx="132">
                  <c:v>106.66197388437429</c:v>
                </c:pt>
                <c:pt idx="133">
                  <c:v>107.4535712178432</c:v>
                </c:pt>
                <c:pt idx="134">
                  <c:v>108.24398784542035</c:v>
                </c:pt>
                <c:pt idx="135">
                  <c:v>109.03321971780922</c:v>
                </c:pt>
                <c:pt idx="136">
                  <c:v>109.82126280080011</c:v>
                </c:pt>
                <c:pt idx="137">
                  <c:v>110.60811307534199</c:v>
                </c:pt>
                <c:pt idx="138">
                  <c:v>111.39376653761374</c:v>
                </c:pt>
                <c:pt idx="139">
                  <c:v>112.17821919909501</c:v>
                </c:pt>
                <c:pt idx="140">
                  <c:v>112.96146708663649</c:v>
                </c:pt>
                <c:pt idx="141">
                  <c:v>113.74350624252965</c:v>
                </c:pt>
                <c:pt idx="142">
                  <c:v>114.524332724576</c:v>
                </c:pt>
                <c:pt idx="143">
                  <c:v>115.30394260615577</c:v>
                </c:pt>
                <c:pt idx="144">
                  <c:v>116.08233197629602</c:v>
                </c:pt>
                <c:pt idx="145">
                  <c:v>116.85949693973816</c:v>
                </c:pt>
                <c:pt idx="146">
                  <c:v>117.63543361700509</c:v>
                </c:pt>
                <c:pt idx="147">
                  <c:v>118.41013814446748</c:v>
                </c:pt>
                <c:pt idx="148">
                  <c:v>119.18360667440969</c:v>
                </c:pt>
                <c:pt idx="149">
                  <c:v>119.95583537509503</c:v>
                </c:pt>
                <c:pt idx="150">
                  <c:v>120.72682043083037</c:v>
                </c:pt>
                <c:pt idx="151">
                  <c:v>121.49655804203023</c:v>
                </c:pt>
                <c:pt idx="152">
                  <c:v>122.26504442528021</c:v>
                </c:pt>
                <c:pt idx="153">
                  <c:v>123.03227581339981</c:v>
                </c:pt>
                <c:pt idx="154">
                  <c:v>123.79824845550466</c:v>
                </c:pt>
                <c:pt idx="155">
                  <c:v>124.56295861706812</c:v>
                </c:pt>
                <c:pt idx="156">
                  <c:v>125.32640257998217</c:v>
                </c:pt>
                <c:pt idx="157">
                  <c:v>126.08857664261772</c:v>
                </c:pt>
                <c:pt idx="158">
                  <c:v>126.84947711988438</c:v>
                </c:pt>
                <c:pt idx="159">
                  <c:v>127.60910034328936</c:v>
                </c:pt>
                <c:pt idx="160">
                  <c:v>128.36744266099589</c:v>
                </c:pt>
                <c:pt idx="161">
                  <c:v>129.12450043788093</c:v>
                </c:pt>
                <c:pt idx="162">
                  <c:v>129.88027005559221</c:v>
                </c:pt>
                <c:pt idx="163">
                  <c:v>130.63474791260461</c:v>
                </c:pt>
                <c:pt idx="164">
                  <c:v>131.38793042427588</c:v>
                </c:pt>
                <c:pt idx="165">
                  <c:v>132.13981402290165</c:v>
                </c:pt>
                <c:pt idx="166">
                  <c:v>132.89039515776986</c:v>
                </c:pt>
                <c:pt idx="167">
                  <c:v>133.63967029521433</c:v>
                </c:pt>
                <c:pt idx="168">
                  <c:v>134.38763591866788</c:v>
                </c:pt>
                <c:pt idx="169">
                  <c:v>135.13428852871442</c:v>
                </c:pt>
                <c:pt idx="170">
                  <c:v>135.87962464314089</c:v>
                </c:pt>
                <c:pt idx="171">
                  <c:v>136.62364079698781</c:v>
                </c:pt>
                <c:pt idx="172">
                  <c:v>137.36633354259982</c:v>
                </c:pt>
                <c:pt idx="173">
                  <c:v>138.10769944967495</c:v>
                </c:pt>
                <c:pt idx="174">
                  <c:v>138.84773510531352</c:v>
                </c:pt>
                <c:pt idx="175">
                  <c:v>139.58643711406631</c:v>
                </c:pt>
                <c:pt idx="176">
                  <c:v>140.32380209798185</c:v>
                </c:pt>
                <c:pt idx="177">
                  <c:v>141.0598266966532</c:v>
                </c:pt>
                <c:pt idx="178">
                  <c:v>141.79450756726376</c:v>
                </c:pt>
                <c:pt idx="179">
                  <c:v>142.52784138463272</c:v>
                </c:pt>
                <c:pt idx="180">
                  <c:v>143.25982484125944</c:v>
                </c:pt>
                <c:pt idx="181">
                  <c:v>143.99045464736739</c:v>
                </c:pt>
                <c:pt idx="182">
                  <c:v>144.71972753094698</c:v>
                </c:pt>
                <c:pt idx="183">
                  <c:v>145.44764023779834</c:v>
                </c:pt>
                <c:pt idx="184">
                  <c:v>146.17418953157252</c:v>
                </c:pt>
                <c:pt idx="185">
                  <c:v>146.89937219381272</c:v>
                </c:pt>
                <c:pt idx="186">
                  <c:v>147.62318502399432</c:v>
                </c:pt>
                <c:pt idx="187">
                  <c:v>148.34562483956429</c:v>
                </c:pt>
                <c:pt idx="188">
                  <c:v>149.06668847598002</c:v>
                </c:pt>
                <c:pt idx="189">
                  <c:v>149.78637278674728</c:v>
                </c:pt>
                <c:pt idx="190">
                  <c:v>150.50467464345732</c:v>
                </c:pt>
                <c:pt idx="191">
                  <c:v>151.22159093582363</c:v>
                </c:pt>
                <c:pt idx="192">
                  <c:v>151.93711857171746</c:v>
                </c:pt>
                <c:pt idx="193">
                  <c:v>152.65125447720297</c:v>
                </c:pt>
                <c:pt idx="194">
                  <c:v>153.36399559657156</c:v>
                </c:pt>
                <c:pt idx="195">
                  <c:v>154.07533889237538</c:v>
                </c:pt>
                <c:pt idx="196">
                  <c:v>154.78528134546013</c:v>
                </c:pt>
                <c:pt idx="197">
                  <c:v>155.49381995499715</c:v>
                </c:pt>
                <c:pt idx="198">
                  <c:v>156.2009517385147</c:v>
                </c:pt>
                <c:pt idx="199">
                  <c:v>156.90667373192866</c:v>
                </c:pt>
                <c:pt idx="200">
                  <c:v>157.61098298957225</c:v>
                </c:pt>
                <c:pt idx="201">
                  <c:v>158.31387658422528</c:v>
                </c:pt>
                <c:pt idx="202">
                  <c:v>159.01535160714226</c:v>
                </c:pt>
                <c:pt idx="203">
                  <c:v>159.71540516808034</c:v>
                </c:pt>
                <c:pt idx="204">
                  <c:v>160.4140343953259</c:v>
                </c:pt>
                <c:pt idx="205">
                  <c:v>161.11123643572088</c:v>
                </c:pt>
                <c:pt idx="206">
                  <c:v>161.80692299194962</c:v>
                </c:pt>
                <c:pt idx="207">
                  <c:v>162.50100571342614</c:v>
                </c:pt>
                <c:pt idx="208">
                  <c:v>163.19348173409222</c:v>
                </c:pt>
                <c:pt idx="209">
                  <c:v>163.88434820900639</c:v>
                </c:pt>
                <c:pt idx="210">
                  <c:v>164.5736023143609</c:v>
                </c:pt>
                <c:pt idx="211">
                  <c:v>165.26124124749771</c:v>
                </c:pt>
                <c:pt idx="212">
                  <c:v>165.94726222692347</c:v>
                </c:pt>
                <c:pt idx="213">
                  <c:v>166.63166249232393</c:v>
                </c:pt>
                <c:pt idx="214">
                  <c:v>167.31443930457726</c:v>
                </c:pt>
                <c:pt idx="215">
                  <c:v>167.99558994576657</c:v>
                </c:pt>
                <c:pt idx="216">
                  <c:v>168.67511171919173</c:v>
                </c:pt>
                <c:pt idx="217">
                  <c:v>169.35300194938003</c:v>
                </c:pt>
                <c:pt idx="218">
                  <c:v>170.02925798209642</c:v>
                </c:pt>
                <c:pt idx="219">
                  <c:v>170.70387718435239</c:v>
                </c:pt>
                <c:pt idx="220">
                  <c:v>171.37685694441444</c:v>
                </c:pt>
                <c:pt idx="221">
                  <c:v>172.04819467181159</c:v>
                </c:pt>
                <c:pt idx="222">
                  <c:v>172.7178877973418</c:v>
                </c:pt>
                <c:pt idx="223">
                  <c:v>173.38593377307797</c:v>
                </c:pt>
                <c:pt idx="224">
                  <c:v>174.05233007237271</c:v>
                </c:pt>
                <c:pt idx="225">
                  <c:v>174.71707418986256</c:v>
                </c:pt>
                <c:pt idx="226">
                  <c:v>175.3801636414712</c:v>
                </c:pt>
                <c:pt idx="227">
                  <c:v>176.04159596441193</c:v>
                </c:pt>
                <c:pt idx="228">
                  <c:v>176.7013687171893</c:v>
                </c:pt>
                <c:pt idx="229">
                  <c:v>177.35947947959977</c:v>
                </c:pt>
                <c:pt idx="230">
                  <c:v>178.01592585273193</c:v>
                </c:pt>
                <c:pt idx="231">
                  <c:v>178.67070545896539</c:v>
                </c:pt>
                <c:pt idx="232">
                  <c:v>179.32381594196923</c:v>
                </c:pt>
                <c:pt idx="233">
                  <c:v>179.97525496669948</c:v>
                </c:pt>
                <c:pt idx="234">
                  <c:v>180.62502021939582</c:v>
                </c:pt>
                <c:pt idx="235">
                  <c:v>181.27310940757749</c:v>
                </c:pt>
                <c:pt idx="236">
                  <c:v>181.9195202600383</c:v>
                </c:pt>
                <c:pt idx="237">
                  <c:v>182.56425052684099</c:v>
                </c:pt>
                <c:pt idx="238">
                  <c:v>183.20729797931068</c:v>
                </c:pt>
                <c:pt idx="239">
                  <c:v>183.84866041002741</c:v>
                </c:pt>
                <c:pt idx="240">
                  <c:v>184.48833563281823</c:v>
                </c:pt>
                <c:pt idx="241">
                  <c:v>185.12632148274815</c:v>
                </c:pt>
                <c:pt idx="242">
                  <c:v>185.76231984537071</c:v>
                </c:pt>
                <c:pt idx="243">
                  <c:v>186.39603244390537</c:v>
                </c:pt>
                <c:pt idx="244">
                  <c:v>187.02745705878408</c:v>
                </c:pt>
                <c:pt idx="245">
                  <c:v>187.65659150041475</c:v>
                </c:pt>
                <c:pt idx="246">
                  <c:v>188.28343360913456</c:v>
                </c:pt>
                <c:pt idx="247">
                  <c:v>188.90798125516264</c:v>
                </c:pt>
                <c:pt idx="248">
                  <c:v>189.53023233855106</c:v>
                </c:pt>
                <c:pt idx="249">
                  <c:v>190.15018478913521</c:v>
                </c:pt>
                <c:pt idx="250">
                  <c:v>190.76783656648249</c:v>
                </c:pt>
                <c:pt idx="251">
                  <c:v>191.38318565984025</c:v>
                </c:pt>
                <c:pt idx="252">
                  <c:v>191.99623008808277</c:v>
                </c:pt>
                <c:pt idx="253">
                  <c:v>192.60696789965641</c:v>
                </c:pt>
                <c:pt idx="254">
                  <c:v>193.21539717252455</c:v>
                </c:pt>
                <c:pt idx="255">
                  <c:v>193.82151601411067</c:v>
                </c:pt>
                <c:pt idx="256">
                  <c:v>194.42532256124099</c:v>
                </c:pt>
                <c:pt idx="257">
                  <c:v>195.02681498008553</c:v>
                </c:pt>
                <c:pt idx="258">
                  <c:v>195.62599146609838</c:v>
                </c:pt>
                <c:pt idx="259">
                  <c:v>196.22285024395677</c:v>
                </c:pt>
                <c:pt idx="260">
                  <c:v>196.81738956749911</c:v>
                </c:pt>
                <c:pt idx="261">
                  <c:v>197.40960771966223</c:v>
                </c:pt>
                <c:pt idx="262">
                  <c:v>197.99950301241714</c:v>
                </c:pt>
                <c:pt idx="263">
                  <c:v>198.58707378670402</c:v>
                </c:pt>
                <c:pt idx="264">
                  <c:v>199.17231841236634</c:v>
                </c:pt>
                <c:pt idx="265">
                  <c:v>199.75523528808364</c:v>
                </c:pt>
                <c:pt idx="266">
                  <c:v>200.3358228413035</c:v>
                </c:pt>
                <c:pt idx="267">
                  <c:v>200.91407952817255</c:v>
                </c:pt>
                <c:pt idx="268">
                  <c:v>201.49000383346629</c:v>
                </c:pt>
                <c:pt idx="269">
                  <c:v>202.06359427051819</c:v>
                </c:pt>
                <c:pt idx="270">
                  <c:v>202.63484938114777</c:v>
                </c:pt>
                <c:pt idx="271">
                  <c:v>203.20376773558749</c:v>
                </c:pt>
                <c:pt idx="272">
                  <c:v>203.77034793240892</c:v>
                </c:pt>
                <c:pt idx="273">
                  <c:v>204.33458859844811</c:v>
                </c:pt>
                <c:pt idx="274">
                  <c:v>204.89648838872938</c:v>
                </c:pt>
                <c:pt idx="275">
                  <c:v>205.45604598638923</c:v>
                </c:pt>
                <c:pt idx="276">
                  <c:v>206.01326010259828</c:v>
                </c:pt>
                <c:pt idx="277">
                  <c:v>206.56812947648297</c:v>
                </c:pt>
                <c:pt idx="278">
                  <c:v>207.12065287504615</c:v>
                </c:pt>
                <c:pt idx="279">
                  <c:v>207.67082909308684</c:v>
                </c:pt>
                <c:pt idx="280">
                  <c:v>208.21865695311902</c:v>
                </c:pt>
                <c:pt idx="281">
                  <c:v>208.76413530528967</c:v>
                </c:pt>
                <c:pt idx="282">
                  <c:v>209.30726302729576</c:v>
                </c:pt>
                <c:pt idx="283">
                  <c:v>209.84803902430082</c:v>
                </c:pt>
                <c:pt idx="284">
                  <c:v>210.38681039870809</c:v>
                </c:pt>
                <c:pt idx="285">
                  <c:v>210.92392439366628</c:v>
                </c:pt>
                <c:pt idx="286">
                  <c:v>211.45937995591251</c:v>
                </c:pt>
                <c:pt idx="287">
                  <c:v>211.99317605010188</c:v>
                </c:pt>
                <c:pt idx="288">
                  <c:v>212.52531165876772</c:v>
                </c:pt>
                <c:pt idx="289">
                  <c:v>213.05578578228199</c:v>
                </c:pt>
                <c:pt idx="290">
                  <c:v>213.58459743881463</c:v>
                </c:pt>
                <c:pt idx="291">
                  <c:v>214.11174566429258</c:v>
                </c:pt>
                <c:pt idx="292">
                  <c:v>214.63722951235866</c:v>
                </c:pt>
                <c:pt idx="293">
                  <c:v>215.16104805432926</c:v>
                </c:pt>
                <c:pt idx="294">
                  <c:v>215.68320037915228</c:v>
                </c:pt>
                <c:pt idx="295">
                  <c:v>216.20368559336416</c:v>
                </c:pt>
                <c:pt idx="296">
                  <c:v>216.72250282104662</c:v>
                </c:pt>
                <c:pt idx="297">
                  <c:v>217.23965120378276</c:v>
                </c:pt>
                <c:pt idx="298">
                  <c:v>217.75512990061293</c:v>
                </c:pt>
                <c:pt idx="299">
                  <c:v>218.26893808799002</c:v>
                </c:pt>
                <c:pt idx="300">
                  <c:v>218.78107495973421</c:v>
                </c:pt>
                <c:pt idx="301">
                  <c:v>219.29153972698745</c:v>
                </c:pt>
                <c:pt idx="302">
                  <c:v>219.80033161816743</c:v>
                </c:pt>
                <c:pt idx="303">
                  <c:v>220.30744987892106</c:v>
                </c:pt>
                <c:pt idx="304">
                  <c:v>220.81289377207756</c:v>
                </c:pt>
                <c:pt idx="305">
                  <c:v>221.31666257760105</c:v>
                </c:pt>
                <c:pt idx="306">
                  <c:v>221.81875559254291</c:v>
                </c:pt>
                <c:pt idx="307">
                  <c:v>222.31917213099342</c:v>
                </c:pt>
                <c:pt idx="308">
                  <c:v>222.81791152403332</c:v>
                </c:pt>
                <c:pt idx="309">
                  <c:v>223.31497311968462</c:v>
                </c:pt>
                <c:pt idx="310">
                  <c:v>223.81035628286125</c:v>
                </c:pt>
                <c:pt idx="311">
                  <c:v>224.3040603953192</c:v>
                </c:pt>
                <c:pt idx="312">
                  <c:v>224.79608485560627</c:v>
                </c:pt>
                <c:pt idx="313">
                  <c:v>225.28642907901138</c:v>
                </c:pt>
                <c:pt idx="314">
                  <c:v>225.7750924975137</c:v>
                </c:pt>
                <c:pt idx="315">
                  <c:v>226.26207455973102</c:v>
                </c:pt>
                <c:pt idx="316">
                  <c:v>226.74737473086807</c:v>
                </c:pt>
                <c:pt idx="317">
                  <c:v>227.2309924926644</c:v>
                </c:pt>
                <c:pt idx="318">
                  <c:v>227.71292734334168</c:v>
                </c:pt>
                <c:pt idx="319">
                  <c:v>228.19317879755079</c:v>
                </c:pt>
                <c:pt idx="320">
                  <c:v>228.67174638631877</c:v>
                </c:pt>
                <c:pt idx="321">
                  <c:v>229.14862965699481</c:v>
                </c:pt>
                <c:pt idx="322">
                  <c:v>229.62382817319647</c:v>
                </c:pt>
                <c:pt idx="323">
                  <c:v>230.09734151475533</c:v>
                </c:pt>
                <c:pt idx="324">
                  <c:v>230.56916927766216</c:v>
                </c:pt>
                <c:pt idx="325">
                  <c:v>231.03931107401195</c:v>
                </c:pt>
                <c:pt idx="326">
                  <c:v>231.50778795811328</c:v>
                </c:pt>
                <c:pt idx="327">
                  <c:v>231.97462100252392</c:v>
                </c:pt>
                <c:pt idx="328">
                  <c:v>232.4398098563961</c:v>
                </c:pt>
                <c:pt idx="329">
                  <c:v>232.90335418429572</c:v>
                </c:pt>
                <c:pt idx="330">
                  <c:v>233.36525366614819</c:v>
                </c:pt>
                <c:pt idx="331">
                  <c:v>233.82550799718456</c:v>
                </c:pt>
                <c:pt idx="332">
                  <c:v>234.2841168878868</c:v>
                </c:pt>
                <c:pt idx="333">
                  <c:v>234.74108006393303</c:v>
                </c:pt>
                <c:pt idx="334">
                  <c:v>235.19639726614241</c:v>
                </c:pt>
                <c:pt idx="335">
                  <c:v>235.65006825041991</c:v>
                </c:pt>
                <c:pt idx="336">
                  <c:v>236.10209278770043</c:v>
                </c:pt>
                <c:pt idx="337">
                  <c:v>236.55247066389308</c:v>
                </c:pt>
                <c:pt idx="338">
                  <c:v>237.00120167982459</c:v>
                </c:pt>
                <c:pt idx="339">
                  <c:v>237.44828565118334</c:v>
                </c:pt>
                <c:pt idx="340">
                  <c:v>237.893722408462</c:v>
                </c:pt>
                <c:pt idx="341">
                  <c:v>238.33751179690088</c:v>
                </c:pt>
                <c:pt idx="342">
                  <c:v>238.77965367643054</c:v>
                </c:pt>
                <c:pt idx="343">
                  <c:v>239.22014792161406</c:v>
                </c:pt>
                <c:pt idx="344">
                  <c:v>239.65899442158943</c:v>
                </c:pt>
                <c:pt idx="345">
                  <c:v>240.0961930800114</c:v>
                </c:pt>
                <c:pt idx="346">
                  <c:v>240.53174381499318</c:v>
                </c:pt>
                <c:pt idx="347">
                  <c:v>240.96564655904783</c:v>
                </c:pt>
                <c:pt idx="348">
                  <c:v>241.39790125902951</c:v>
                </c:pt>
                <c:pt idx="349">
                  <c:v>241.82850787607447</c:v>
                </c:pt>
                <c:pt idx="350">
                  <c:v>242.25746638554173</c:v>
                </c:pt>
                <c:pt idx="351">
                  <c:v>242.68477677695358</c:v>
                </c:pt>
                <c:pt idx="352">
                  <c:v>243.11043905393606</c:v>
                </c:pt>
                <c:pt idx="353">
                  <c:v>243.53445323415875</c:v>
                </c:pt>
                <c:pt idx="354">
                  <c:v>243.95681934927484</c:v>
                </c:pt>
                <c:pt idx="355">
                  <c:v>244.37753744486074</c:v>
                </c:pt>
                <c:pt idx="356">
                  <c:v>244.79660758035544</c:v>
                </c:pt>
                <c:pt idx="357">
                  <c:v>245.21402982899986</c:v>
                </c:pt>
                <c:pt idx="358">
                  <c:v>245.62980427777586</c:v>
                </c:pt>
                <c:pt idx="359">
                  <c:v>246.04393102734502</c:v>
                </c:pt>
                <c:pt idx="360">
                  <c:v>246.4564101919874</c:v>
                </c:pt>
                <c:pt idx="361">
                  <c:v>246.86724189953998</c:v>
                </c:pt>
                <c:pt idx="362">
                  <c:v>247.27642629133493</c:v>
                </c:pt>
                <c:pt idx="363">
                  <c:v>247.68396352213773</c:v>
                </c:pt>
                <c:pt idx="364">
                  <c:v>248.08985376008513</c:v>
                </c:pt>
                <c:pt idx="365">
                  <c:v>248.49409718662287</c:v>
                </c:pt>
                <c:pt idx="366">
                  <c:v>248.89723799229512</c:v>
                </c:pt>
                <c:pt idx="367">
                  <c:v>249.29982033284261</c:v>
                </c:pt>
                <c:pt idx="368">
                  <c:v>249.70184396631061</c:v>
                </c:pt>
                <c:pt idx="369">
                  <c:v>250.10330865512719</c:v>
                </c:pt>
                <c:pt idx="370">
                  <c:v>250.50421416609547</c:v>
                </c:pt>
                <c:pt idx="371">
                  <c:v>250.90456027038496</c:v>
                </c:pt>
                <c:pt idx="372">
                  <c:v>251.30434674352352</c:v>
                </c:pt>
                <c:pt idx="373">
                  <c:v>251.7035733653891</c:v>
                </c:pt>
                <c:pt idx="374">
                  <c:v>252.10223992020101</c:v>
                </c:pt>
                <c:pt idx="375">
                  <c:v>252.5003461965116</c:v>
                </c:pt>
                <c:pt idx="376">
                  <c:v>252.89789198719788</c:v>
                </c:pt>
                <c:pt idx="377">
                  <c:v>253.29487708945254</c:v>
                </c:pt>
                <c:pt idx="378">
                  <c:v>253.69130130477572</c:v>
                </c:pt>
                <c:pt idx="379">
                  <c:v>254.08716443896591</c:v>
                </c:pt>
                <c:pt idx="380">
                  <c:v>254.48246630211139</c:v>
                </c:pt>
                <c:pt idx="381">
                  <c:v>254.87661924706674</c:v>
                </c:pt>
                <c:pt idx="382">
                  <c:v>255.26903570535541</c:v>
                </c:pt>
                <c:pt idx="383">
                  <c:v>255.65971604479813</c:v>
                </c:pt>
                <c:pt idx="384">
                  <c:v>256.0486606467469</c:v>
                </c:pt>
                <c:pt idx="385">
                  <c:v>256.43586990601369</c:v>
                </c:pt>
                <c:pt idx="386">
                  <c:v>256.82134423079935</c:v>
                </c:pt>
                <c:pt idx="387">
                  <c:v>257.20508404262205</c:v>
                </c:pt>
                <c:pt idx="388">
                  <c:v>257.58708977624576</c:v>
                </c:pt>
                <c:pt idx="389">
                  <c:v>257.96736187960875</c:v>
                </c:pt>
                <c:pt idx="390">
                  <c:v>258.34590081375177</c:v>
                </c:pt>
                <c:pt idx="391">
                  <c:v>258.72270705274605</c:v>
                </c:pt>
                <c:pt idx="392">
                  <c:v>259.09778108362156</c:v>
                </c:pt>
                <c:pt idx="393">
                  <c:v>259.47112340629491</c:v>
                </c:pt>
                <c:pt idx="394">
                  <c:v>259.84273453349721</c:v>
                </c:pt>
                <c:pt idx="395">
                  <c:v>260.2126149907017</c:v>
                </c:pt>
                <c:pt idx="396">
                  <c:v>260.58076531605155</c:v>
                </c:pt>
                <c:pt idx="397">
                  <c:v>260.94718606028761</c:v>
                </c:pt>
                <c:pt idx="398">
                  <c:v>261.3118777866755</c:v>
                </c:pt>
                <c:pt idx="399">
                  <c:v>261.6748410709335</c:v>
                </c:pt>
                <c:pt idx="400">
                  <c:v>262.0360765011597</c:v>
                </c:pt>
                <c:pt idx="401">
                  <c:v>262.39512326543496</c:v>
                </c:pt>
                <c:pt idx="402">
                  <c:v>262.75152066887028</c:v>
                </c:pt>
                <c:pt idx="403">
                  <c:v>263.10526984645804</c:v>
                </c:pt>
                <c:pt idx="404">
                  <c:v>263.45637195477912</c:v>
                </c:pt>
                <c:pt idx="405">
                  <c:v>263.80482817184571</c:v>
                </c:pt>
                <c:pt idx="406">
                  <c:v>264.15063969694427</c:v>
                </c:pt>
                <c:pt idx="407">
                  <c:v>264.49380775047871</c:v>
                </c:pt>
                <c:pt idx="408">
                  <c:v>264.83433357381313</c:v>
                </c:pt>
                <c:pt idx="409">
                  <c:v>265.17221842911482</c:v>
                </c:pt>
                <c:pt idx="410">
                  <c:v>265.50746359919685</c:v>
                </c:pt>
                <c:pt idx="411">
                  <c:v>265.83752296290311</c:v>
                </c:pt>
                <c:pt idx="412">
                  <c:v>266.15985119748865</c:v>
                </c:pt>
                <c:pt idx="413">
                  <c:v>266.47445282117275</c:v>
                </c:pt>
                <c:pt idx="414">
                  <c:v>266.78133246720284</c:v>
                </c:pt>
                <c:pt idx="415">
                  <c:v>267.08049488266863</c:v>
                </c:pt>
                <c:pt idx="416">
                  <c:v>267.37194492731561</c:v>
                </c:pt>
                <c:pt idx="417">
                  <c:v>267.65568757235712</c:v>
                </c:pt>
                <c:pt idx="418">
                  <c:v>267.9317278992861</c:v>
                </c:pt>
                <c:pt idx="419">
                  <c:v>268.20007109868578</c:v>
                </c:pt>
                <c:pt idx="420">
                  <c:v>268.45927446918296</c:v>
                </c:pt>
                <c:pt idx="421">
                  <c:v>268.70789609825994</c:v>
                </c:pt>
                <c:pt idx="422">
                  <c:v>268.94594369459639</c:v>
                </c:pt>
                <c:pt idx="423">
                  <c:v>269.1734251554667</c:v>
                </c:pt>
                <c:pt idx="424">
                  <c:v>269.39034856451849</c:v>
                </c:pt>
                <c:pt idx="425">
                  <c:v>269.59672218954864</c:v>
                </c:pt>
                <c:pt idx="426">
                  <c:v>269.79255448027857</c:v>
                </c:pt>
                <c:pt idx="427">
                  <c:v>269.97785406612815</c:v>
                </c:pt>
                <c:pt idx="428">
                  <c:v>270.15262975398895</c:v>
                </c:pt>
                <c:pt idx="429">
                  <c:v>270.31689052599734</c:v>
                </c:pt>
                <c:pt idx="430">
                  <c:v>270.47064553730758</c:v>
                </c:pt>
                <c:pt idx="431">
                  <c:v>270.61390411386481</c:v>
                </c:pt>
                <c:pt idx="432">
                  <c:v>270.74434463664284</c:v>
                </c:pt>
                <c:pt idx="433">
                  <c:v>270.8596473968131</c:v>
                </c:pt>
                <c:pt idx="434">
                  <c:v>270.95982677164773</c:v>
                </c:pt>
                <c:pt idx="435">
                  <c:v>271.044897476176</c:v>
                </c:pt>
                <c:pt idx="436">
                  <c:v>271.11487455855627</c:v>
                </c:pt>
                <c:pt idx="437">
                  <c:v>271.16977339544462</c:v>
                </c:pt>
                <c:pt idx="438">
                  <c:v>271.20960968736188</c:v>
                </c:pt>
                <c:pt idx="439">
                  <c:v>271.2343994540596</c:v>
                </c:pt>
                <c:pt idx="440">
                  <c:v>271.24415902988551</c:v>
                </c:pt>
                <c:pt idx="441">
                  <c:v>271.23890505915</c:v>
                </c:pt>
                <c:pt idx="442">
                  <c:v>271.22006932581854</c:v>
                </c:pt>
                <c:pt idx="443">
                  <c:v>271.1890824233443</c:v>
                </c:pt>
                <c:pt idx="444">
                  <c:v>271.14595848528575</c:v>
                </c:pt>
                <c:pt idx="445">
                  <c:v>271.09071183109029</c:v>
                </c:pt>
                <c:pt idx="446">
                  <c:v>271.02335696307745</c:v>
                </c:pt>
                <c:pt idx="447">
                  <c:v>270.9439085634279</c:v>
                </c:pt>
                <c:pt idx="448">
                  <c:v>270.85238149118015</c:v>
                </c:pt>
                <c:pt idx="449">
                  <c:v>270.74879077923356</c:v>
                </c:pt>
                <c:pt idx="450">
                  <c:v>270.63315163135962</c:v>
                </c:pt>
                <c:pt idx="451">
                  <c:v>270.50547941922127</c:v>
                </c:pt>
                <c:pt idx="452">
                  <c:v>270.36578967939977</c:v>
                </c:pt>
                <c:pt idx="453">
                  <c:v>270.21612300351239</c:v>
                </c:pt>
                <c:pt idx="454">
                  <c:v>270.05851751219114</c:v>
                </c:pt>
                <c:pt idx="455">
                  <c:v>269.89298363682383</c:v>
                </c:pt>
                <c:pt idx="456">
                  <c:v>269.71953186319712</c:v>
                </c:pt>
                <c:pt idx="457">
                  <c:v>269.53817273026345</c:v>
                </c:pt>
                <c:pt idx="458">
                  <c:v>269.34891682891356</c:v>
                </c:pt>
                <c:pt idx="459">
                  <c:v>269.15177480075545</c:v>
                </c:pt>
                <c:pt idx="460">
                  <c:v>268.94675733689922</c:v>
                </c:pt>
                <c:pt idx="461">
                  <c:v>268.73569693315778</c:v>
                </c:pt>
                <c:pt idx="462">
                  <c:v>268.52042357974295</c:v>
                </c:pt>
                <c:pt idx="463">
                  <c:v>268.30094285032794</c:v>
                </c:pt>
                <c:pt idx="464">
                  <c:v>268.07726032051079</c:v>
                </c:pt>
                <c:pt idx="465">
                  <c:v>267.84938156751764</c:v>
                </c:pt>
                <c:pt idx="466">
                  <c:v>267.61578192521711</c:v>
                </c:pt>
                <c:pt idx="467">
                  <c:v>267.37493892755322</c:v>
                </c:pt>
                <c:pt idx="468">
                  <c:v>267.10982203271317</c:v>
                </c:pt>
                <c:pt idx="469">
                  <c:v>266.82427984458849</c:v>
                </c:pt>
                <c:pt idx="470">
                  <c:v>266.53919575219504</c:v>
                </c:pt>
                <c:pt idx="471">
                  <c:v>266.25456839644193</c:v>
                </c:pt>
                <c:pt idx="472">
                  <c:v>265.97039642366008</c:v>
                </c:pt>
                <c:pt idx="473">
                  <c:v>265.6866784855743</c:v>
                </c:pt>
                <c:pt idx="474">
                  <c:v>265.40341323927686</c:v>
                </c:pt>
                <c:pt idx="475">
                  <c:v>265.12059934720054</c:v>
                </c:pt>
                <c:pt idx="476">
                  <c:v>264.83823547709153</c:v>
                </c:pt>
                <c:pt idx="477">
                  <c:v>264.55632030198348</c:v>
                </c:pt>
                <c:pt idx="478">
                  <c:v>264.2748525001706</c:v>
                </c:pt>
                <c:pt idx="479">
                  <c:v>263.99383075518182</c:v>
                </c:pt>
                <c:pt idx="480">
                  <c:v>263.71325375575452</c:v>
                </c:pt>
                <c:pt idx="481">
                  <c:v>263.43312019580861</c:v>
                </c:pt>
                <c:pt idx="482">
                  <c:v>263.15342877442089</c:v>
                </c:pt>
                <c:pt idx="483">
                  <c:v>262.87417819579963</c:v>
                </c:pt>
                <c:pt idx="484">
                  <c:v>262.59536716925857</c:v>
                </c:pt>
                <c:pt idx="485">
                  <c:v>262.31699440919232</c:v>
                </c:pt>
                <c:pt idx="486">
                  <c:v>262.03905863505059</c:v>
                </c:pt>
                <c:pt idx="487">
                  <c:v>261.7615585713138</c:v>
                </c:pt>
                <c:pt idx="488">
                  <c:v>261.4844929474678</c:v>
                </c:pt>
                <c:pt idx="489">
                  <c:v>261.20786049797925</c:v>
                </c:pt>
                <c:pt idx="490">
                  <c:v>260.9316599622714</c:v>
                </c:pt>
                <c:pt idx="491">
                  <c:v>260.65589008469925</c:v>
                </c:pt>
                <c:pt idx="492">
                  <c:v>260.38054961452565</c:v>
                </c:pt>
                <c:pt idx="493">
                  <c:v>260.10563730589695</c:v>
                </c:pt>
                <c:pt idx="494">
                  <c:v>259.83115191781928</c:v>
                </c:pt>
                <c:pt idx="495">
                  <c:v>259.55709221413446</c:v>
                </c:pt>
                <c:pt idx="496">
                  <c:v>259.28345696349652</c:v>
                </c:pt>
                <c:pt idx="497">
                  <c:v>259.01024493934824</c:v>
                </c:pt>
                <c:pt idx="498">
                  <c:v>258.73745491989735</c:v>
                </c:pt>
                <c:pt idx="499">
                  <c:v>258.46508568809384</c:v>
                </c:pt>
                <c:pt idx="500">
                  <c:v>258.19313603160617</c:v>
                </c:pt>
                <c:pt idx="501">
                  <c:v>255.47792407443035</c:v>
                </c:pt>
                <c:pt idx="502">
                  <c:v>252.8041471790273</c:v>
                </c:pt>
                <c:pt idx="503">
                  <c:v>250.17063069724702</c:v>
                </c:pt>
                <c:pt idx="504">
                  <c:v>247.57624444291699</c:v>
                </c:pt>
                <c:pt idx="505">
                  <c:v>245.01990059452496</c:v>
                </c:pt>
                <c:pt idx="506">
                  <c:v>242.50055171676161</c:v>
                </c:pt>
                <c:pt idx="507">
                  <c:v>240.01718889311684</c:v>
                </c:pt>
                <c:pt idx="508">
                  <c:v>237.56883996230783</c:v>
                </c:pt>
                <c:pt idx="509">
                  <c:v>235.15456785185026</c:v>
                </c:pt>
                <c:pt idx="510">
                  <c:v>232.77346900257604</c:v>
                </c:pt>
                <c:pt idx="511">
                  <c:v>230.4246718783501</c:v>
                </c:pt>
                <c:pt idx="512">
                  <c:v>228.10733555565321</c:v>
                </c:pt>
                <c:pt idx="513">
                  <c:v>225.82064838807793</c:v>
                </c:pt>
                <c:pt idx="514">
                  <c:v>223.56382674113513</c:v>
                </c:pt>
                <c:pt idx="515">
                  <c:v>221.33611379309113</c:v>
                </c:pt>
                <c:pt idx="516">
                  <c:v>219.13677839785242</c:v>
                </c:pt>
                <c:pt idx="517">
                  <c:v>216.96511400618994</c:v>
                </c:pt>
                <c:pt idx="518">
                  <c:v>214.82043764184704</c:v>
                </c:pt>
                <c:pt idx="519">
                  <c:v>212.70208892930992</c:v>
                </c:pt>
                <c:pt idx="520">
                  <c:v>210.6094291702355</c:v>
                </c:pt>
                <c:pt idx="521">
                  <c:v>208.5418404657313</c:v>
                </c:pt>
                <c:pt idx="522">
                  <c:v>206.49872488186733</c:v>
                </c:pt>
                <c:pt idx="523">
                  <c:v>204.47950365597191</c:v>
                </c:pt>
                <c:pt idx="524">
                  <c:v>202.48361644142165</c:v>
                </c:pt>
                <c:pt idx="525">
                  <c:v>200.51052058878449</c:v>
                </c:pt>
                <c:pt idx="526">
                  <c:v>198.55969046131003</c:v>
                </c:pt>
                <c:pt idx="527">
                  <c:v>196.63061678289114</c:v>
                </c:pt>
                <c:pt idx="528">
                  <c:v>194.72280601673569</c:v>
                </c:pt>
                <c:pt idx="529">
                  <c:v>192.83577977310111</c:v>
                </c:pt>
                <c:pt idx="530">
                  <c:v>190.96907424454358</c:v>
                </c:pt>
                <c:pt idx="531">
                  <c:v>189.12223966723096</c:v>
                </c:pt>
                <c:pt idx="532">
                  <c:v>187.29483980695699</c:v>
                </c:pt>
                <c:pt idx="533">
                  <c:v>185.48645146857652</c:v>
                </c:pt>
                <c:pt idx="534">
                  <c:v>183.69666402765981</c:v>
                </c:pt>
                <c:pt idx="535">
                  <c:v>181.92507898323521</c:v>
                </c:pt>
                <c:pt idx="536">
                  <c:v>180.17130953055809</c:v>
                </c:pt>
                <c:pt idx="537">
                  <c:v>178.43498015290507</c:v>
                </c:pt>
                <c:pt idx="538">
                  <c:v>176.71572623145377</c:v>
                </c:pt>
                <c:pt idx="539">
                  <c:v>175.01319367236201</c:v>
                </c:pt>
                <c:pt idx="540">
                  <c:v>173.32703855021188</c:v>
                </c:pt>
                <c:pt idx="541">
                  <c:v>171.65692676703418</c:v>
                </c:pt>
                <c:pt idx="542">
                  <c:v>170.00253372617189</c:v>
                </c:pt>
                <c:pt idx="543">
                  <c:v>168.36354402028567</c:v>
                </c:pt>
                <c:pt idx="544">
                  <c:v>166.73965113284356</c:v>
                </c:pt>
                <c:pt idx="545">
                  <c:v>165.13055715247498</c:v>
                </c:pt>
                <c:pt idx="546">
                  <c:v>163.53597249960382</c:v>
                </c:pt>
                <c:pt idx="547">
                  <c:v>161.95561566480964</c:v>
                </c:pt>
                <c:pt idx="548">
                  <c:v>160.38921295839646</c:v>
                </c:pt>
                <c:pt idx="549">
                  <c:v>158.83649827067811</c:v>
                </c:pt>
                <c:pt idx="550">
                  <c:v>157.29721284251778</c:v>
                </c:pt>
                <c:pt idx="551">
                  <c:v>155.77110504568449</c:v>
                </c:pt>
                <c:pt idx="552">
                  <c:v>154.25793017261461</c:v>
                </c:pt>
                <c:pt idx="553">
                  <c:v>152.75745023518994</c:v>
                </c:pt>
                <c:pt idx="554">
                  <c:v>151.26943377216574</c:v>
                </c:pt>
                <c:pt idx="555">
                  <c:v>149.79365566490344</c:v>
                </c:pt>
                <c:pt idx="556">
                  <c:v>148.32989696108231</c:v>
                </c:pt>
                <c:pt idx="557">
                  <c:v>146.87794470608318</c:v>
                </c:pt>
                <c:pt idx="558">
                  <c:v>145.43759178175577</c:v>
                </c:pt>
                <c:pt idx="559">
                  <c:v>144.00863675229758</c:v>
                </c:pt>
                <c:pt idx="560">
                  <c:v>142.59088371698874</c:v>
                </c:pt>
                <c:pt idx="561">
                  <c:v>141.18414216954315</c:v>
                </c:pt>
                <c:pt idx="562">
                  <c:v>139.78822686384981</c:v>
                </c:pt>
                <c:pt idx="563">
                  <c:v>138.40295768589411</c:v>
                </c:pt>
                <c:pt idx="564">
                  <c:v>137.02815953166066</c:v>
                </c:pt>
                <c:pt idx="565">
                  <c:v>135.66366219083341</c:v>
                </c:pt>
                <c:pt idx="566">
                  <c:v>134.30930023612063</c:v>
                </c:pt>
                <c:pt idx="567">
                  <c:v>132.9649129180448</c:v>
                </c:pt>
                <c:pt idx="568">
                  <c:v>131.63034406504818</c:v>
                </c:pt>
                <c:pt idx="569">
                  <c:v>130.30544198877763</c:v>
                </c:pt>
                <c:pt idx="570">
                  <c:v>128.99005939442108</c:v>
                </c:pt>
                <c:pt idx="571">
                  <c:v>127.68405329598031</c:v>
                </c:pt>
                <c:pt idx="572">
                  <c:v>126.38728493637369</c:v>
                </c:pt>
                <c:pt idx="573">
                  <c:v>125.09961971227355</c:v>
                </c:pt>
                <c:pt idx="574">
                  <c:v>123.8209271035917</c:v>
                </c:pt>
                <c:pt idx="575">
                  <c:v>122.55108060753685</c:v>
                </c:pt>
                <c:pt idx="576">
                  <c:v>121.28995767717686</c:v>
                </c:pt>
                <c:pt idx="577">
                  <c:v>120.03743966444789</c:v>
                </c:pt>
                <c:pt idx="578">
                  <c:v>118.79341176756196</c:v>
                </c:pt>
                <c:pt idx="579">
                  <c:v>117.55776298277343</c:v>
                </c:pt>
                <c:pt idx="580">
                  <c:v>116.33038606047356</c:v>
                </c:pt>
                <c:pt idx="581">
                  <c:v>115.11117746559221</c:v>
                </c:pt>
                <c:pt idx="582">
                  <c:v>113.90003734229347</c:v>
                </c:pt>
                <c:pt idx="583">
                  <c:v>112.69686948296234</c:v>
                </c:pt>
                <c:pt idx="584">
                  <c:v>111.50158130148725</c:v>
                </c:pt>
                <c:pt idx="585">
                  <c:v>110.31408381085362</c:v>
                </c:pt>
                <c:pt idx="586">
                  <c:v>109.13429160507172</c:v>
                </c:pt>
                <c:pt idx="587">
                  <c:v>107.96212284547201</c:v>
                </c:pt>
                <c:pt idx="588">
                  <c:v>106.79749925141019</c:v>
                </c:pt>
                <c:pt idx="589">
                  <c:v>105.64034609543383</c:v>
                </c:pt>
                <c:pt idx="590">
                  <c:v>104.490592202972</c:v>
                </c:pt>
                <c:pt idx="591">
                  <c:v>103.34816995661929</c:v>
                </c:pt>
                <c:pt idx="592">
                  <c:v>102.21301530509517</c:v>
                </c:pt>
                <c:pt idx="593">
                  <c:v>101.0850677769705</c:v>
                </c:pt>
                <c:pt idx="594">
                  <c:v>99.964270499262724</c:v>
                </c:pt>
                <c:pt idx="595">
                  <c:v>98.850570221011992</c:v>
                </c:pt>
                <c:pt idx="596">
                  <c:v>97.743917341961577</c:v>
                </c:pt>
                <c:pt idx="597">
                  <c:v>96.644265946476452</c:v>
                </c:pt>
                <c:pt idx="598">
                  <c:v>95.551573842845244</c:v>
                </c:pt>
                <c:pt idx="599">
                  <c:v>94.465802608122232</c:v>
                </c:pt>
                <c:pt idx="600">
                  <c:v>93.386917638677318</c:v>
                </c:pt>
                <c:pt idx="601">
                  <c:v>92.314888206633668</c:v>
                </c:pt>
                <c:pt idx="602">
                  <c:v>91.24968752238459</c:v>
                </c:pt>
                <c:pt idx="603">
                  <c:v>90.191292803392614</c:v>
                </c:pt>
                <c:pt idx="604">
                  <c:v>89.139685349486086</c:v>
                </c:pt>
                <c:pt idx="605">
                  <c:v>88.094850624879697</c:v>
                </c:pt>
                <c:pt idx="606">
                  <c:v>87.05677834715766</c:v>
                </c:pt>
                <c:pt idx="607">
                  <c:v>86.02546258346861</c:v>
                </c:pt>
                <c:pt idx="608">
                  <c:v>85.000901854193273</c:v>
                </c:pt>
                <c:pt idx="609">
                  <c:v>83.983099244355486</c:v>
                </c:pt>
                <c:pt idx="610">
                  <c:v>82.972062523057176</c:v>
                </c:pt>
                <c:pt idx="611">
                  <c:v>81.967804271226555</c:v>
                </c:pt>
                <c:pt idx="612">
                  <c:v>80.970342017976378</c:v>
                </c:pt>
                <c:pt idx="613">
                  <c:v>79.97969838587494</c:v>
                </c:pt>
                <c:pt idx="614">
                  <c:v>78.995901245437153</c:v>
                </c:pt>
                <c:pt idx="615">
                  <c:v>78.018983879144628</c:v>
                </c:pt>
                <c:pt idx="616">
                  <c:v>77.048985155303441</c:v>
                </c:pt>
                <c:pt idx="617">
                  <c:v>76.085949712044098</c:v>
                </c:pt>
                <c:pt idx="618">
                  <c:v>75.129928151761106</c:v>
                </c:pt>
                <c:pt idx="619">
                  <c:v>74.180977246277081</c:v>
                </c:pt>
                <c:pt idx="620">
                  <c:v>73.239160152999091</c:v>
                </c:pt>
                <c:pt idx="621">
                  <c:v>72.304546642311692</c:v>
                </c:pt>
                <c:pt idx="622">
                  <c:v>71.377213336420155</c:v>
                </c:pt>
                <c:pt idx="623">
                  <c:v>70.457243959818641</c:v>
                </c:pt>
                <c:pt idx="624">
                  <c:v>69.544729601509374</c:v>
                </c:pt>
                <c:pt idx="625">
                  <c:v>68.639768989039226</c:v>
                </c:pt>
                <c:pt idx="626">
                  <c:v>67.742468774347941</c:v>
                </c:pt>
                <c:pt idx="627">
                  <c:v>66.852943831335239</c:v>
                </c:pt>
                <c:pt idx="628">
                  <c:v>65.971317564950837</c:v>
                </c:pt>
                <c:pt idx="629">
                  <c:v>65.097722231489584</c:v>
                </c:pt>
                <c:pt idx="630">
                  <c:v>64.232299269630616</c:v>
                </c:pt>
                <c:pt idx="631">
                  <c:v>63.375199641593213</c:v>
                </c:pt>
                <c:pt idx="632">
                  <c:v>62.526584183588547</c:v>
                </c:pt>
                <c:pt idx="633">
                  <c:v>61.686623964524081</c:v>
                </c:pt>
                <c:pt idx="634">
                  <c:v>60.855500651662581</c:v>
                </c:pt>
                <c:pt idx="635">
                  <c:v>60.033406881646286</c:v>
                </c:pt>
                <c:pt idx="636">
                  <c:v>59.220546634967221</c:v>
                </c:pt>
                <c:pt idx="637">
                  <c:v>58.417135611592073</c:v>
                </c:pt>
                <c:pt idx="638">
                  <c:v>57.62340160503188</c:v>
                </c:pt>
                <c:pt idx="639">
                  <c:v>56.83958487168055</c:v>
                </c:pt>
                <c:pt idx="640">
                  <c:v>56.065938491728438</c:v>
                </c:pt>
                <c:pt idx="641">
                  <c:v>55.30272871738692</c:v>
                </c:pt>
                <c:pt idx="642">
                  <c:v>54.550235303535452</c:v>
                </c:pt>
                <c:pt idx="643">
                  <c:v>53.808751815224724</c:v>
                </c:pt>
                <c:pt idx="644">
                  <c:v>53.07858590573931</c:v>
                </c:pt>
                <c:pt idx="645">
                  <c:v>52.360059558145309</c:v>
                </c:pt>
                <c:pt idx="646">
                  <c:v>51.65350928242777</c:v>
                </c:pt>
                <c:pt idx="647">
                  <c:v>50.959286259469991</c:v>
                </c:pt>
                <c:pt idx="648">
                  <c:v>50.277756422252985</c:v>
                </c:pt>
                <c:pt idx="649">
                  <c:v>49.60930046377706</c:v>
                </c:pt>
                <c:pt idx="650">
                  <c:v>48.954313760349017</c:v>
                </c:pt>
                <c:pt idx="651">
                  <c:v>48.313206198065892</c:v>
                </c:pt>
                <c:pt idx="652">
                  <c:v>47.686401889591515</c:v>
                </c:pt>
                <c:pt idx="653">
                  <c:v>47.074338767705832</c:v>
                </c:pt>
                <c:pt idx="654">
                  <c:v>46.477468041653125</c:v>
                </c:pt>
                <c:pt idx="655">
                  <c:v>45.89625350207757</c:v>
                </c:pt>
                <c:pt idx="656">
                  <c:v>45.331170660369132</c:v>
                </c:pt>
                <c:pt idx="657">
                  <c:v>44.782705708613484</c:v>
                </c:pt>
                <c:pt idx="658">
                  <c:v>44.251354287110964</c:v>
                </c:pt>
                <c:pt idx="659">
                  <c:v>43.737620047668521</c:v>
                </c:pt>
                <c:pt idx="660">
                  <c:v>43.242013002638352</c:v>
                </c:pt>
                <c:pt idx="661">
                  <c:v>42.765047652034887</c:v>
                </c:pt>
                <c:pt idx="662">
                  <c:v>42.307240884053883</c:v>
                </c:pt>
                <c:pt idx="663">
                  <c:v>41.869109647972074</c:v>
                </c:pt>
                <c:pt idx="664">
                  <c:v>41.451168402729017</c:v>
                </c:pt>
                <c:pt idx="665">
                  <c:v>41.053926349461115</c:v>
                </c:pt>
                <c:pt idx="666">
                  <c:v>40.677884461812368</c:v>
                </c:pt>
                <c:pt idx="667">
                  <c:v>40.323532333888451</c:v>
                </c:pt>
                <c:pt idx="668">
                  <c:v>39.991344872107469</c:v>
                </c:pt>
                <c:pt idx="669">
                  <c:v>39.681778863745457</c:v>
                </c:pt>
                <c:pt idx="670">
                  <c:v>39.395269461446688</c:v>
                </c:pt>
                <c:pt idx="671">
                  <c:v>39.132226629101353</c:v>
                </c:pt>
                <c:pt idx="672">
                  <c:v>38.893031599992042</c:v>
                </c:pt>
                <c:pt idx="673">
                  <c:v>38.678033402666465</c:v>
                </c:pt>
                <c:pt idx="674">
                  <c:v>38.487545513304084</c:v>
                </c:pt>
                <c:pt idx="675">
                  <c:v>38.321842695127771</c:v>
                </c:pt>
                <c:pt idx="676">
                  <c:v>38.181158085434639</c:v>
                </c:pt>
                <c:pt idx="677">
                  <c:v>38.065680588916045</c:v>
                </c:pt>
                <c:pt idx="678">
                  <c:v>37.975552632024495</c:v>
                </c:pt>
                <c:pt idx="679">
                  <c:v>37.910868327245538</c:v>
                </c:pt>
                <c:pt idx="680">
                  <c:v>37.871672088371909</c:v>
                </c:pt>
                <c:pt idx="681">
                  <c:v>37.857957728493147</c:v>
                </c:pt>
                <c:pt idx="682">
                  <c:v>37.869668061738523</c:v>
                </c:pt>
                <c:pt idx="683">
                  <c:v>37.906695018261701</c:v>
                </c:pt>
                <c:pt idx="684">
                  <c:v>37.968880270003275</c:v>
                </c:pt>
                <c:pt idx="685">
                  <c:v>38.056016352910689</c:v>
                </c:pt>
                <c:pt idx="686">
                  <c:v>38.16784826002656</c:v>
                </c:pt>
                <c:pt idx="687">
                  <c:v>38.304075469631037</c:v>
                </c:pt>
                <c:pt idx="688">
                  <c:v>38.464354363829528</c:v>
                </c:pt>
                <c:pt idx="689">
                  <c:v>38.648300985913927</c:v>
                </c:pt>
                <c:pt idx="690">
                  <c:v>38.855494079689713</c:v>
                </c:pt>
                <c:pt idx="691">
                  <c:v>39.085478350840447</c:v>
                </c:pt>
                <c:pt idx="692">
                  <c:v>39.337767889276329</c:v>
                </c:pt>
                <c:pt idx="693">
                  <c:v>39.611849692168377</c:v>
                </c:pt>
                <c:pt idx="694">
                  <c:v>39.907187229810368</c:v>
                </c:pt>
                <c:pt idx="695">
                  <c:v>40.223224000320315</c:v>
                </c:pt>
                <c:pt idx="696">
                  <c:v>40.559387024199147</c:v>
                </c:pt>
                <c:pt idx="697">
                  <c:v>40.915090235596672</c:v>
                </c:pt>
                <c:pt idx="698">
                  <c:v>41.289737733486028</c:v>
                </c:pt>
                <c:pt idx="699">
                  <c:v>41.682726862531119</c:v>
                </c:pt>
                <c:pt idx="700">
                  <c:v>42.093451099990446</c:v>
                </c:pt>
                <c:pt idx="701">
                  <c:v>42.521302731319665</c:v>
                </c:pt>
                <c:pt idx="702">
                  <c:v>42.965675303042943</c:v>
                </c:pt>
                <c:pt idx="703">
                  <c:v>43.425965846833073</c:v>
                </c:pt>
                <c:pt idx="704">
                  <c:v>43.901576873488679</c:v>
                </c:pt>
                <c:pt idx="705">
                  <c:v>44.391918139579893</c:v>
                </c:pt>
                <c:pt idx="706">
                  <c:v>44.896408192939447</c:v>
                </c:pt>
                <c:pt idx="707">
                  <c:v>45.414475705920871</c:v>
                </c:pt>
                <c:pt idx="708">
                  <c:v>45.945560607465673</c:v>
                </c:pt>
                <c:pt idx="709">
                  <c:v>46.489115026569209</c:v>
                </c:pt>
                <c:pt idx="710">
                  <c:v>47.04460406077137</c:v>
                </c:pt>
                <c:pt idx="711">
                  <c:v>47.611506383889164</c:v>
                </c:pt>
                <c:pt idx="712">
                  <c:v>48.189314707421524</c:v>
                </c:pt>
                <c:pt idx="713">
                  <c:v>48.777536109957353</c:v>
                </c:pt>
                <c:pt idx="714">
                  <c:v>49.375692248567574</c:v>
                </c:pt>
                <c:pt idx="715">
                  <c:v>49.983319465617271</c:v>
                </c:pt>
                <c:pt idx="716">
                  <c:v>50.599968803744666</c:v>
                </c:pt>
                <c:pt idx="717">
                  <c:v>51.22520594096386</c:v>
                </c:pt>
                <c:pt idx="718">
                  <c:v>51.858611056994341</c:v>
                </c:pt>
                <c:pt idx="719">
                  <c:v>52.499778641033771</c:v>
                </c:pt>
                <c:pt idx="720">
                  <c:v>53.148317250296209</c:v>
                </c:pt>
                <c:pt idx="721">
                  <c:v>53.803849227755521</c:v>
                </c:pt>
                <c:pt idx="722">
                  <c:v>54.466010386678668</c:v>
                </c:pt>
                <c:pt idx="723">
                  <c:v>55.134449668717167</c:v>
                </c:pt>
                <c:pt idx="724">
                  <c:v>55.808828781554595</c:v>
                </c:pt>
                <c:pt idx="725">
                  <c:v>56.488821821389479</c:v>
                </c:pt>
                <c:pt idx="726">
                  <c:v>57.174114884868203</c:v>
                </c:pt>
                <c:pt idx="727">
                  <c:v>57.864405674473552</c:v>
                </c:pt>
                <c:pt idx="728">
                  <c:v>58.559403100819473</c:v>
                </c:pt>
                <c:pt idx="729">
                  <c:v>59.258826884801927</c:v>
                </c:pt>
                <c:pt idx="730">
                  <c:v>59.96240716210491</c:v>
                </c:pt>
                <c:pt idx="731">
                  <c:v>60.669884092158831</c:v>
                </c:pt>
                <c:pt idx="732">
                  <c:v>61.381007473291433</c:v>
                </c:pt>
                <c:pt idx="733">
                  <c:v>62.095536365495683</c:v>
                </c:pt>
                <c:pt idx="734">
                  <c:v>62.813238721962335</c:v>
                </c:pt>
                <c:pt idx="735">
                  <c:v>63.533891030282447</c:v>
                </c:pt>
                <c:pt idx="736">
                  <c:v>64.257277964014392</c:v>
                </c:pt>
                <c:pt idx="737">
                  <c:v>64.983192045128177</c:v>
                </c:pt>
                <c:pt idx="738">
                  <c:v>65.711433317682761</c:v>
                </c:pt>
                <c:pt idx="739">
                  <c:v>66.44180903295873</c:v>
                </c:pt>
                <c:pt idx="740">
                  <c:v>67.174133346154633</c:v>
                </c:pt>
                <c:pt idx="741">
                  <c:v>67.908227024659425</c:v>
                </c:pt>
                <c:pt idx="742">
                  <c:v>68.643917167833791</c:v>
                </c:pt>
                <c:pt idx="743">
                  <c:v>69.381036938165991</c:v>
                </c:pt>
                <c:pt idx="744">
                  <c:v>70.119425303614193</c:v>
                </c:pt>
                <c:pt idx="745">
                  <c:v>70.858926790902672</c:v>
                </c:pt>
                <c:pt idx="746">
                  <c:v>71.599391249504876</c:v>
                </c:pt>
                <c:pt idx="747">
                  <c:v>72.340673626018614</c:v>
                </c:pt>
                <c:pt idx="748">
                  <c:v>73.082633748618903</c:v>
                </c:pt>
                <c:pt idx="749">
                  <c:v>73.825136121258367</c:v>
                </c:pt>
                <c:pt idx="750">
                  <c:v>74.568049727275948</c:v>
                </c:pt>
                <c:pt idx="751">
                  <c:v>75.311247842068369</c:v>
                </c:pt>
                <c:pt idx="752">
                  <c:v>76.054607854476828</c:v>
                </c:pt>
                <c:pt idx="753">
                  <c:v>76.798011096541302</c:v>
                </c:pt>
                <c:pt idx="754">
                  <c:v>77.541342681278621</c:v>
                </c:pt>
                <c:pt idx="755">
                  <c:v>78.284491348144243</c:v>
                </c:pt>
                <c:pt idx="756">
                  <c:v>79.027349315844916</c:v>
                </c:pt>
                <c:pt idx="757">
                  <c:v>79.769812142176633</c:v>
                </c:pt>
                <c:pt idx="758">
                  <c:v>80.51177859057087</c:v>
                </c:pt>
                <c:pt idx="759">
                  <c:v>81.253150503041738</c:v>
                </c:pt>
                <c:pt idx="760">
                  <c:v>81.993832679236377</c:v>
                </c:pt>
                <c:pt idx="761">
                  <c:v>82.73373276130107</c:v>
                </c:pt>
                <c:pt idx="762">
                  <c:v>83.472761124286649</c:v>
                </c:pt>
                <c:pt idx="763">
                  <c:v>84.210830771826551</c:v>
                </c:pt>
                <c:pt idx="764">
                  <c:v>84.947857236832334</c:v>
                </c:pt>
                <c:pt idx="765">
                  <c:v>85.683758486961651</c:v>
                </c:pt>
                <c:pt idx="766">
                  <c:v>86.418454834624043</c:v>
                </c:pt>
                <c:pt idx="767">
                  <c:v>87.151868851300463</c:v>
                </c:pt>
                <c:pt idx="768">
                  <c:v>87.883925285962533</c:v>
                </c:pt>
                <c:pt idx="769">
                  <c:v>88.61455098738675</c:v>
                </c:pt>
                <c:pt idx="770">
                  <c:v>89.343674830169263</c:v>
                </c:pt>
                <c:pt idx="771">
                  <c:v>90.071227644255231</c:v>
                </c:pt>
                <c:pt idx="772">
                  <c:v>90.797142147805985</c:v>
                </c:pt>
                <c:pt idx="773">
                  <c:v>91.521352883235949</c:v>
                </c:pt>
                <c:pt idx="774">
                  <c:v>92.243796156259094</c:v>
                </c:pt>
                <c:pt idx="775">
                  <c:v>92.96440997779294</c:v>
                </c:pt>
                <c:pt idx="776">
                  <c:v>93.683134008575294</c:v>
                </c:pt>
                <c:pt idx="777">
                  <c:v>94.399909506356735</c:v>
                </c:pt>
                <c:pt idx="778">
                  <c:v>95.114679275538052</c:v>
                </c:pt>
                <c:pt idx="779">
                  <c:v>95.827387619128913</c:v>
                </c:pt>
                <c:pt idx="780">
                  <c:v>96.537980292910305</c:v>
                </c:pt>
                <c:pt idx="781">
                  <c:v>97.246404461688883</c:v>
                </c:pt>
                <c:pt idx="782">
                  <c:v>97.952608657537752</c:v>
                </c:pt>
                <c:pt idx="783">
                  <c:v>98.656542739922713</c:v>
                </c:pt>
                <c:pt idx="784">
                  <c:v>99.358157857619148</c:v>
                </c:pt>
                <c:pt idx="785">
                  <c:v>100.05740641232883</c:v>
                </c:pt>
                <c:pt idx="786">
                  <c:v>100.754242023911</c:v>
                </c:pt>
                <c:pt idx="787">
                  <c:v>101.4486194971464</c:v>
                </c:pt>
                <c:pt idx="788">
                  <c:v>102.14049478995703</c:v>
                </c:pt>
                <c:pt idx="789">
                  <c:v>102.82982498300855</c:v>
                </c:pt>
                <c:pt idx="790">
                  <c:v>103.51656825062575</c:v>
                </c:pt>
                <c:pt idx="791">
                  <c:v>104.20068383295559</c:v>
                </c:pt>
                <c:pt idx="792">
                  <c:v>104.8821320093148</c:v>
                </c:pt>
                <c:pt idx="793">
                  <c:v>105.56087407266361</c:v>
                </c:pt>
                <c:pt idx="794">
                  <c:v>106.23687230514844</c:v>
                </c:pt>
                <c:pt idx="795">
                  <c:v>106.91008995466122</c:v>
                </c:pt>
                <c:pt idx="796">
                  <c:v>107.58049121236397</c:v>
                </c:pt>
                <c:pt idx="797">
                  <c:v>108.24804119113121</c:v>
                </c:pt>
                <c:pt idx="798">
                  <c:v>108.9127059048643</c:v>
                </c:pt>
                <c:pt idx="799">
                  <c:v>109.57445224863464</c:v>
                </c:pt>
                <c:pt idx="800">
                  <c:v>110.23324797961483</c:v>
                </c:pt>
                <c:pt idx="801">
                  <c:v>110.88906169875857</c:v>
                </c:pt>
                <c:pt idx="802">
                  <c:v>111.54186283319265</c:v>
                </c:pt>
                <c:pt idx="803">
                  <c:v>112.19162161928571</c:v>
                </c:pt>
                <c:pt idx="804">
                  <c:v>112.83830908636062</c:v>
                </c:pt>
                <c:pt idx="805">
                  <c:v>113.48189704101881</c:v>
                </c:pt>
                <c:pt idx="806">
                  <c:v>114.12235805204629</c:v>
                </c:pt>
                <c:pt idx="807">
                  <c:v>114.75966543587336</c:v>
                </c:pt>
                <c:pt idx="808">
                  <c:v>115.39379324256022</c:v>
                </c:pt>
                <c:pt idx="809">
                  <c:v>116.02471624228322</c:v>
                </c:pt>
                <c:pt idx="810">
                  <c:v>116.65240991229729</c:v>
                </c:pt>
                <c:pt idx="811">
                  <c:v>117.2768504243508</c:v>
                </c:pt>
                <c:pt idx="812">
                  <c:v>117.8980146325315</c:v>
                </c:pt>
                <c:pt idx="813">
                  <c:v>118.51588006152187</c:v>
                </c:pt>
                <c:pt idx="814">
                  <c:v>119.13042489524437</c:v>
                </c:pt>
                <c:pt idx="815">
                  <c:v>119.7416279658774</c:v>
                </c:pt>
                <c:pt idx="816">
                  <c:v>120.34946874322394</c:v>
                </c:pt>
                <c:pt idx="817">
                  <c:v>120.95392732441594</c:v>
                </c:pt>
                <c:pt idx="818">
                  <c:v>121.55498442393774</c:v>
                </c:pt>
                <c:pt idx="819">
                  <c:v>122.15262136395351</c:v>
                </c:pt>
                <c:pt idx="820">
                  <c:v>122.74682006492354</c:v>
                </c:pt>
                <c:pt idx="821">
                  <c:v>123.33756303649557</c:v>
                </c:pt>
                <c:pt idx="822">
                  <c:v>123.9248333686578</c:v>
                </c:pt>
                <c:pt idx="823">
                  <c:v>124.50861472314085</c:v>
                </c:pt>
                <c:pt idx="824">
                  <c:v>125.08889132505661</c:v>
                </c:pt>
                <c:pt idx="825">
                  <c:v>125.66564795476243</c:v>
                </c:pt>
                <c:pt idx="826">
                  <c:v>126.23886993993999</c:v>
                </c:pt>
                <c:pt idx="827">
                  <c:v>126.80854314787793</c:v>
                </c:pt>
                <c:pt idx="828">
                  <c:v>127.37465397794901</c:v>
                </c:pt>
                <c:pt idx="829">
                  <c:v>127.93718935427182</c:v>
                </c:pt>
                <c:pt idx="830">
                  <c:v>128.49613671854846</c:v>
                </c:pt>
                <c:pt idx="831">
                  <c:v>129.05148402306938</c:v>
                </c:pt>
                <c:pt idx="832">
                  <c:v>129.60321972387769</c:v>
                </c:pt>
                <c:pt idx="833">
                  <c:v>130.15133277408464</c:v>
                </c:pt>
                <c:pt idx="834">
                  <c:v>130.69581261732952</c:v>
                </c:pt>
                <c:pt idx="835">
                  <c:v>131.23664918137661</c:v>
                </c:pt>
                <c:pt idx="836">
                  <c:v>131.77383287184276</c:v>
                </c:pt>
                <c:pt idx="837">
                  <c:v>132.30735456604907</c:v>
                </c:pt>
                <c:pt idx="838">
                  <c:v>132.83720560699109</c:v>
                </c:pt>
                <c:pt idx="839">
                  <c:v>133.36337779742101</c:v>
                </c:pt>
                <c:pt idx="840">
                  <c:v>133.88586339403756</c:v>
                </c:pt>
                <c:pt idx="841">
                  <c:v>134.40465510177722</c:v>
                </c:pt>
                <c:pt idx="842">
                  <c:v>134.91974606820304</c:v>
                </c:pt>
                <c:pt idx="843">
                  <c:v>135.43112987798523</c:v>
                </c:pt>
                <c:pt idx="844">
                  <c:v>135.93880054746992</c:v>
                </c:pt>
                <c:pt idx="845">
                  <c:v>136.4427525193318</c:v>
                </c:pt>
                <c:pt idx="846">
                  <c:v>136.94298065730607</c:v>
                </c:pt>
                <c:pt idx="847">
                  <c:v>137.43948024099637</c:v>
                </c:pt>
                <c:pt idx="848">
                  <c:v>137.93224696075529</c:v>
                </c:pt>
                <c:pt idx="849">
                  <c:v>138.4212769126332</c:v>
                </c:pt>
                <c:pt idx="850">
                  <c:v>138.90656659339317</c:v>
                </c:pt>
                <c:pt idx="851">
                  <c:v>139.38811289558802</c:v>
                </c:pt>
                <c:pt idx="852">
                  <c:v>139.86591310269705</c:v>
                </c:pt>
                <c:pt idx="853">
                  <c:v>140.33996488431981</c:v>
                </c:pt>
                <c:pt idx="854">
                  <c:v>140.81026629142363</c:v>
                </c:pt>
                <c:pt idx="855">
                  <c:v>141.27681575164311</c:v>
                </c:pt>
                <c:pt idx="856">
                  <c:v>141.73961206462886</c:v>
                </c:pt>
                <c:pt idx="857">
                  <c:v>142.19865439744331</c:v>
                </c:pt>
                <c:pt idx="858">
                  <c:v>142.65394228000144</c:v>
                </c:pt>
                <c:pt idx="859">
                  <c:v>143.10547560055466</c:v>
                </c:pt>
                <c:pt idx="860">
                  <c:v>143.55325460121551</c:v>
                </c:pt>
                <c:pt idx="861">
                  <c:v>143.99727987352213</c:v>
                </c:pt>
                <c:pt idx="862">
                  <c:v>144.4375523540397</c:v>
                </c:pt>
                <c:pt idx="863">
                  <c:v>144.87407331999859</c:v>
                </c:pt>
                <c:pt idx="864">
                  <c:v>145.30684438496664</c:v>
                </c:pt>
                <c:pt idx="865">
                  <c:v>145.73586749455484</c:v>
                </c:pt>
                <c:pt idx="866">
                  <c:v>146.16114492215473</c:v>
                </c:pt>
                <c:pt idx="867">
                  <c:v>146.58267926470629</c:v>
                </c:pt>
                <c:pt idx="868">
                  <c:v>147.00047343849556</c:v>
                </c:pt>
                <c:pt idx="869">
                  <c:v>147.41453067498043</c:v>
                </c:pt>
                <c:pt idx="870">
                  <c:v>147.82485451664363</c:v>
                </c:pt>
                <c:pt idx="871">
                  <c:v>148.23144881287234</c:v>
                </c:pt>
                <c:pt idx="872">
                  <c:v>148.63431771586315</c:v>
                </c:pt>
                <c:pt idx="873">
                  <c:v>149.03346567655163</c:v>
                </c:pt>
                <c:pt idx="874">
                  <c:v>149.42889744056598</c:v>
                </c:pt>
                <c:pt idx="875">
                  <c:v>149.82061804420351</c:v>
                </c:pt>
                <c:pt idx="876">
                  <c:v>150.20863281043009</c:v>
                </c:pt>
                <c:pt idx="877">
                  <c:v>150.59294734490089</c:v>
                </c:pt>
                <c:pt idx="878">
                  <c:v>150.97356753200307</c:v>
                </c:pt>
                <c:pt idx="879">
                  <c:v>151.35049953091888</c:v>
                </c:pt>
                <c:pt idx="880">
                  <c:v>151.72374977170921</c:v>
                </c:pt>
                <c:pt idx="881">
                  <c:v>152.09332495141695</c:v>
                </c:pt>
                <c:pt idx="882">
                  <c:v>152.45923203019009</c:v>
                </c:pt>
                <c:pt idx="883">
                  <c:v>152.8214782274238</c:v>
                </c:pt>
                <c:pt idx="884">
                  <c:v>153.18007101792119</c:v>
                </c:pt>
                <c:pt idx="885">
                  <c:v>153.53501812807303</c:v>
                </c:pt>
                <c:pt idx="886">
                  <c:v>153.88632753205539</c:v>
                </c:pt>
                <c:pt idx="887">
                  <c:v>154.23400744804539</c:v>
                </c:pt>
                <c:pt idx="888">
                  <c:v>154.5780663344552</c:v>
                </c:pt>
                <c:pt idx="889">
                  <c:v>154.91851288618312</c:v>
                </c:pt>
                <c:pt idx="890">
                  <c:v>155.25535603088287</c:v>
                </c:pt>
                <c:pt idx="891">
                  <c:v>155.58860492524983</c:v>
                </c:pt>
                <c:pt idx="892">
                  <c:v>155.91826895132499</c:v>
                </c:pt>
                <c:pt idx="893">
                  <c:v>156.24435771281611</c:v>
                </c:pt>
                <c:pt idx="894">
                  <c:v>156.56688103143594</c:v>
                </c:pt>
                <c:pt idx="895">
                  <c:v>156.88584894325794</c:v>
                </c:pt>
                <c:pt idx="896">
                  <c:v>157.20127169508916</c:v>
                </c:pt>
                <c:pt idx="897">
                  <c:v>157.51315974086003</c:v>
                </c:pt>
                <c:pt idx="898">
                  <c:v>157.82152373803208</c:v>
                </c:pt>
                <c:pt idx="899">
                  <c:v>158.12637454402216</c:v>
                </c:pt>
                <c:pt idx="900">
                  <c:v>158.42772321264459</c:v>
                </c:pt>
                <c:pt idx="901">
                  <c:v>158.72558099057053</c:v>
                </c:pt>
                <c:pt idx="902">
                  <c:v>159.01995931380486</c:v>
                </c:pt>
                <c:pt idx="903">
                  <c:v>159.31086980418067</c:v>
                </c:pt>
                <c:pt idx="904">
                  <c:v>159.59832426587153</c:v>
                </c:pt>
                <c:pt idx="905">
                  <c:v>159.88233468192141</c:v>
                </c:pt>
                <c:pt idx="906">
                  <c:v>160.16291321079285</c:v>
                </c:pt>
                <c:pt idx="907">
                  <c:v>160.44007218293297</c:v>
                </c:pt>
                <c:pt idx="908">
                  <c:v>160.71382409735781</c:v>
                </c:pt>
                <c:pt idx="909">
                  <c:v>160.98418161825506</c:v>
                </c:pt>
                <c:pt idx="910">
                  <c:v>161.25115757160532</c:v>
                </c:pt>
                <c:pt idx="911">
                  <c:v>161.51476494182211</c:v>
                </c:pt>
                <c:pt idx="912">
                  <c:v>161.77501686841077</c:v>
                </c:pt>
                <c:pt idx="913">
                  <c:v>162.0319266426464</c:v>
                </c:pt>
                <c:pt idx="914">
                  <c:v>162.28550770427088</c:v>
                </c:pt>
                <c:pt idx="915">
                  <c:v>162.53577363820969</c:v>
                </c:pt>
                <c:pt idx="916">
                  <c:v>162.78273817130795</c:v>
                </c:pt>
                <c:pt idx="917">
                  <c:v>163.0264151690865</c:v>
                </c:pt>
                <c:pt idx="918">
                  <c:v>163.2668186325179</c:v>
                </c:pt>
                <c:pt idx="919">
                  <c:v>163.50396269482258</c:v>
                </c:pt>
                <c:pt idx="920">
                  <c:v>163.73786161828545</c:v>
                </c:pt>
                <c:pt idx="921">
                  <c:v>163.96852979109309</c:v>
                </c:pt>
                <c:pt idx="922">
                  <c:v>164.19598172419154</c:v>
                </c:pt>
                <c:pt idx="923">
                  <c:v>164.42023204816536</c:v>
                </c:pt>
                <c:pt idx="924">
                  <c:v>164.64129551013764</c:v>
                </c:pt>
                <c:pt idx="925">
                  <c:v>164.8591869706915</c:v>
                </c:pt>
                <c:pt idx="926">
                  <c:v>165.07392140081311</c:v>
                </c:pt>
                <c:pt idx="927">
                  <c:v>165.28551387885636</c:v>
                </c:pt>
                <c:pt idx="928">
                  <c:v>165.49397958752988</c:v>
                </c:pt>
                <c:pt idx="929">
                  <c:v>165.6993338109057</c:v>
                </c:pt>
                <c:pt idx="930">
                  <c:v>165.90159193145064</c:v>
                </c:pt>
                <c:pt idx="931">
                  <c:v>166.10076942708005</c:v>
                </c:pt>
                <c:pt idx="932">
                  <c:v>166.29688186823427</c:v>
                </c:pt>
                <c:pt idx="933">
                  <c:v>166.48994491497817</c:v>
                </c:pt>
                <c:pt idx="934">
                  <c:v>166.67997431412351</c:v>
                </c:pt>
                <c:pt idx="935">
                  <c:v>166.86698589637467</c:v>
                </c:pt>
                <c:pt idx="936">
                  <c:v>167.05099557349806</c:v>
                </c:pt>
                <c:pt idx="937">
                  <c:v>167.23201933551459</c:v>
                </c:pt>
                <c:pt idx="938">
                  <c:v>167.4100732479165</c:v>
                </c:pt>
                <c:pt idx="939">
                  <c:v>167.58517344890774</c:v>
                </c:pt>
                <c:pt idx="940">
                  <c:v>167.75733614666848</c:v>
                </c:pt>
                <c:pt idx="941">
                  <c:v>167.92657761664415</c:v>
                </c:pt>
                <c:pt idx="942">
                  <c:v>168.09291419885844</c:v>
                </c:pt>
                <c:pt idx="943">
                  <c:v>168.25636229525122</c:v>
                </c:pt>
                <c:pt idx="944">
                  <c:v>168.25652283750409</c:v>
                </c:pt>
                <c:pt idx="945">
                  <c:v>168.25668337690766</c:v>
                </c:pt>
                <c:pt idx="946">
                  <c:v>168.25684391346192</c:v>
                </c:pt>
                <c:pt idx="947">
                  <c:v>168.25700444716688</c:v>
                </c:pt>
                <c:pt idx="948">
                  <c:v>168.25716497802262</c:v>
                </c:pt>
                <c:pt idx="949">
                  <c:v>168.25732550602905</c:v>
                </c:pt>
                <c:pt idx="950">
                  <c:v>168.25748603118626</c:v>
                </c:pt>
                <c:pt idx="951">
                  <c:v>168.25764655349428</c:v>
                </c:pt>
                <c:pt idx="952">
                  <c:v>168.25780707295306</c:v>
                </c:pt>
                <c:pt idx="953">
                  <c:v>168.2579675895627</c:v>
                </c:pt>
                <c:pt idx="954">
                  <c:v>168.25812810332314</c:v>
                </c:pt>
                <c:pt idx="955">
                  <c:v>168.25828861423446</c:v>
                </c:pt>
                <c:pt idx="956">
                  <c:v>168.25844912229661</c:v>
                </c:pt>
                <c:pt idx="957">
                  <c:v>168.25860962750966</c:v>
                </c:pt>
                <c:pt idx="958">
                  <c:v>168.25877012987362</c:v>
                </c:pt>
                <c:pt idx="959">
                  <c:v>168.25893062938846</c:v>
                </c:pt>
                <c:pt idx="960">
                  <c:v>168.25909112605422</c:v>
                </c:pt>
                <c:pt idx="961">
                  <c:v>168.25925161987095</c:v>
                </c:pt>
                <c:pt idx="962">
                  <c:v>168.25941211083864</c:v>
                </c:pt>
                <c:pt idx="963">
                  <c:v>168.25957259895733</c:v>
                </c:pt>
                <c:pt idx="964">
                  <c:v>168.25973308422698</c:v>
                </c:pt>
                <c:pt idx="965">
                  <c:v>168.25989356664766</c:v>
                </c:pt>
                <c:pt idx="966">
                  <c:v>168.26005404621938</c:v>
                </c:pt>
                <c:pt idx="967">
                  <c:v>168.26021452294214</c:v>
                </c:pt>
                <c:pt idx="968">
                  <c:v>168.26037499681595</c:v>
                </c:pt>
                <c:pt idx="969">
                  <c:v>168.26053546784084</c:v>
                </c:pt>
                <c:pt idx="970">
                  <c:v>168.26069593601682</c:v>
                </c:pt>
                <c:pt idx="971">
                  <c:v>168.26085640134391</c:v>
                </c:pt>
                <c:pt idx="972">
                  <c:v>168.26101686382214</c:v>
                </c:pt>
                <c:pt idx="973">
                  <c:v>168.26117732345151</c:v>
                </c:pt>
                <c:pt idx="974">
                  <c:v>168.261337780232</c:v>
                </c:pt>
                <c:pt idx="975">
                  <c:v>168.2614982341637</c:v>
                </c:pt>
                <c:pt idx="976">
                  <c:v>168.2616586852466</c:v>
                </c:pt>
                <c:pt idx="977">
                  <c:v>168.26181913348069</c:v>
                </c:pt>
                <c:pt idx="978">
                  <c:v>168.26197957886603</c:v>
                </c:pt>
                <c:pt idx="979">
                  <c:v>168.26214002140256</c:v>
                </c:pt>
                <c:pt idx="980">
                  <c:v>168.2623004610904</c:v>
                </c:pt>
                <c:pt idx="981">
                  <c:v>168.26246089792949</c:v>
                </c:pt>
                <c:pt idx="982">
                  <c:v>168.26262133191989</c:v>
                </c:pt>
                <c:pt idx="983">
                  <c:v>168.26278176306158</c:v>
                </c:pt>
                <c:pt idx="984">
                  <c:v>168.2629421913546</c:v>
                </c:pt>
                <c:pt idx="985">
                  <c:v>168.26310261679893</c:v>
                </c:pt>
                <c:pt idx="986">
                  <c:v>168.26326303939467</c:v>
                </c:pt>
                <c:pt idx="987">
                  <c:v>168.26342345914173</c:v>
                </c:pt>
                <c:pt idx="988">
                  <c:v>168.26358387604023</c:v>
                </c:pt>
                <c:pt idx="989">
                  <c:v>168.2637442900901</c:v>
                </c:pt>
                <c:pt idx="990">
                  <c:v>168.26390470129141</c:v>
                </c:pt>
                <c:pt idx="991">
                  <c:v>168.26406510964412</c:v>
                </c:pt>
                <c:pt idx="992">
                  <c:v>168.26422551514833</c:v>
                </c:pt>
                <c:pt idx="993">
                  <c:v>168.26438591780399</c:v>
                </c:pt>
                <c:pt idx="994">
                  <c:v>168.26454631761115</c:v>
                </c:pt>
                <c:pt idx="995">
                  <c:v>168.26470671456977</c:v>
                </c:pt>
                <c:pt idx="996">
                  <c:v>168.26486710867997</c:v>
                </c:pt>
                <c:pt idx="997">
                  <c:v>168.26502749994168</c:v>
                </c:pt>
                <c:pt idx="998">
                  <c:v>168.26518788835494</c:v>
                </c:pt>
                <c:pt idx="999">
                  <c:v>168.26534827391978</c:v>
                </c:pt>
                <c:pt idx="1000">
                  <c:v>168.2655086566362</c:v>
                </c:pt>
              </c:numCache>
            </c:numRef>
          </c:yVal>
          <c:smooth val="0"/>
          <c:extLst>
            <c:ext xmlns:c16="http://schemas.microsoft.com/office/drawing/2014/chart" uri="{C3380CC4-5D6E-409C-BE32-E72D297353CC}">
              <c16:uniqueId val="{00000000-5E5E-49A9-9572-F68F3C525A8E}"/>
            </c:ext>
          </c:extLst>
        </c:ser>
        <c:dLbls>
          <c:showLegendKey val="0"/>
          <c:showVal val="0"/>
          <c:showCatName val="0"/>
          <c:showSerName val="0"/>
          <c:showPercent val="0"/>
          <c:showBubbleSize val="0"/>
        </c:dLbls>
        <c:axId val="149125760"/>
        <c:axId val="149132032"/>
      </c:scatterChart>
      <c:valAx>
        <c:axId val="149125760"/>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0"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132032"/>
        <c:crosses val="autoZero"/>
        <c:crossBetween val="midCat"/>
      </c:valAx>
      <c:valAx>
        <c:axId val="149132032"/>
        <c:scaling>
          <c:orientation val="minMax"/>
        </c:scaling>
        <c:delete val="0"/>
        <c:axPos val="l"/>
        <c:majorGridlines>
          <c:spPr>
            <a:ln w="3175">
              <a:solidFill>
                <a:srgbClr val="000000"/>
              </a:solidFill>
              <a:prstDash val="sysDash"/>
            </a:ln>
          </c:spPr>
        </c:majorGridlines>
        <c:title>
          <c:tx>
            <c:strRef>
              <c:f>Courbes!$B$141</c:f>
              <c:strCache>
                <c:ptCount val="1"/>
                <c:pt idx="0">
                  <c:v>Vitesse [m/s]</c:v>
                </c:pt>
              </c:strCache>
            </c:strRef>
          </c:tx>
          <c:layout>
            <c:manualLayout>
              <c:xMode val="edge"/>
              <c:yMode val="edge"/>
              <c:x val="2.5943396226415099E-2"/>
              <c:y val="0.22875870516185479"/>
            </c:manualLayout>
          </c:layout>
          <c:overlay val="0"/>
          <c:spPr>
            <a:noFill/>
            <a:ln w="25400">
              <a:noFill/>
            </a:ln>
          </c:spPr>
          <c:txPr>
            <a:bodyPr/>
            <a:lstStyle/>
            <a:p>
              <a:pPr>
                <a:defRPr sz="1000" b="1"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125760"/>
        <c:crosses val="autoZero"/>
        <c:crossBetween val="midCat"/>
      </c:valAx>
      <c:spPr>
        <a:noFill/>
        <a:ln w="12700">
          <a:solidFill>
            <a:srgbClr val="808080"/>
          </a:solidFill>
          <a:prstDash val="solid"/>
        </a:ln>
      </c:spPr>
    </c:plotArea>
    <c:legend>
      <c:legendPos val="r"/>
      <c:layout>
        <c:manualLayout>
          <c:xMode val="edge"/>
          <c:yMode val="edge"/>
          <c:x val="0.81839684544148961"/>
          <c:y val="0.46444479440069991"/>
          <c:w val="0.13207559550339221"/>
          <c:h val="7.7777777777777779E-2"/>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Accélérations</a:t>
            </a:r>
          </a:p>
        </c:rich>
      </c:tx>
      <c:overlay val="1"/>
    </c:title>
    <c:autoTitleDeleted val="0"/>
    <c:plotArea>
      <c:layout>
        <c:manualLayout>
          <c:layoutTarget val="inner"/>
          <c:xMode val="edge"/>
          <c:yMode val="edge"/>
          <c:x val="9.4339622641509524E-2"/>
          <c:y val="9.4771241830065356E-2"/>
          <c:w val="0.88679245283019104"/>
          <c:h val="0.81699346405228768"/>
        </c:manualLayout>
      </c:layout>
      <c:scatterChart>
        <c:scatterStyle val="lineMarker"/>
        <c:varyColors val="0"/>
        <c:ser>
          <c:idx val="0"/>
          <c:order val="0"/>
          <c:tx>
            <c:strRef>
              <c:f>Courbes!$B$137</c:f>
              <c:strCache>
                <c:ptCount val="1"/>
                <c:pt idx="0">
                  <c:v>Accélération longitudinale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2.0100000000000011</c:v>
                </c:pt>
                <c:pt idx="202">
                  <c:v>2.0200000000000009</c:v>
                </c:pt>
                <c:pt idx="203">
                  <c:v>2.0300000000000007</c:v>
                </c:pt>
                <c:pt idx="204">
                  <c:v>2.0400000000000005</c:v>
                </c:pt>
                <c:pt idx="205">
                  <c:v>2.0500000000000003</c:v>
                </c:pt>
                <c:pt idx="206">
                  <c:v>2.06</c:v>
                </c:pt>
                <c:pt idx="207">
                  <c:v>2.0699999999999998</c:v>
                </c:pt>
                <c:pt idx="208">
                  <c:v>2.0799999999999996</c:v>
                </c:pt>
                <c:pt idx="209">
                  <c:v>2.0899999999999994</c:v>
                </c:pt>
                <c:pt idx="210">
                  <c:v>2.0999999999999992</c:v>
                </c:pt>
                <c:pt idx="211">
                  <c:v>2.109999999999999</c:v>
                </c:pt>
                <c:pt idx="212">
                  <c:v>2.1199999999999988</c:v>
                </c:pt>
                <c:pt idx="213">
                  <c:v>2.1299999999999986</c:v>
                </c:pt>
                <c:pt idx="214">
                  <c:v>2.1399999999999983</c:v>
                </c:pt>
                <c:pt idx="215">
                  <c:v>2.1499999999999981</c:v>
                </c:pt>
                <c:pt idx="216">
                  <c:v>2.1599999999999979</c:v>
                </c:pt>
                <c:pt idx="217">
                  <c:v>2.1699999999999977</c:v>
                </c:pt>
                <c:pt idx="218">
                  <c:v>2.1799999999999975</c:v>
                </c:pt>
                <c:pt idx="219">
                  <c:v>2.1899999999999973</c:v>
                </c:pt>
                <c:pt idx="220">
                  <c:v>2.1999999999999971</c:v>
                </c:pt>
                <c:pt idx="221">
                  <c:v>2.2099999999999969</c:v>
                </c:pt>
                <c:pt idx="222">
                  <c:v>2.2199999999999966</c:v>
                </c:pt>
                <c:pt idx="223">
                  <c:v>2.2299999999999964</c:v>
                </c:pt>
                <c:pt idx="224">
                  <c:v>2.2399999999999962</c:v>
                </c:pt>
                <c:pt idx="225">
                  <c:v>2.249999999999996</c:v>
                </c:pt>
                <c:pt idx="226">
                  <c:v>2.2599999999999958</c:v>
                </c:pt>
                <c:pt idx="227">
                  <c:v>2.2699999999999956</c:v>
                </c:pt>
                <c:pt idx="228">
                  <c:v>2.2799999999999954</c:v>
                </c:pt>
                <c:pt idx="229">
                  <c:v>2.2899999999999952</c:v>
                </c:pt>
                <c:pt idx="230">
                  <c:v>2.2999999999999949</c:v>
                </c:pt>
                <c:pt idx="231">
                  <c:v>2.3099999999999947</c:v>
                </c:pt>
                <c:pt idx="232">
                  <c:v>2.3199999999999945</c:v>
                </c:pt>
                <c:pt idx="233">
                  <c:v>2.3299999999999943</c:v>
                </c:pt>
                <c:pt idx="234">
                  <c:v>2.3399999999999941</c:v>
                </c:pt>
                <c:pt idx="235">
                  <c:v>2.3499999999999939</c:v>
                </c:pt>
                <c:pt idx="236">
                  <c:v>2.3599999999999937</c:v>
                </c:pt>
                <c:pt idx="237">
                  <c:v>2.3699999999999934</c:v>
                </c:pt>
                <c:pt idx="238">
                  <c:v>2.3799999999999932</c:v>
                </c:pt>
                <c:pt idx="239">
                  <c:v>2.389999999999993</c:v>
                </c:pt>
                <c:pt idx="240">
                  <c:v>2.3999999999999928</c:v>
                </c:pt>
                <c:pt idx="241">
                  <c:v>2.4099999999999926</c:v>
                </c:pt>
                <c:pt idx="242">
                  <c:v>2.4199999999999924</c:v>
                </c:pt>
                <c:pt idx="243">
                  <c:v>2.4299999999999922</c:v>
                </c:pt>
                <c:pt idx="244">
                  <c:v>2.439999999999992</c:v>
                </c:pt>
                <c:pt idx="245">
                  <c:v>2.4499999999999917</c:v>
                </c:pt>
                <c:pt idx="246">
                  <c:v>2.4599999999999915</c:v>
                </c:pt>
                <c:pt idx="247">
                  <c:v>2.4699999999999913</c:v>
                </c:pt>
                <c:pt idx="248">
                  <c:v>2.4799999999999911</c:v>
                </c:pt>
                <c:pt idx="249">
                  <c:v>2.4899999999999909</c:v>
                </c:pt>
                <c:pt idx="250">
                  <c:v>2.4999999999999907</c:v>
                </c:pt>
                <c:pt idx="251">
                  <c:v>2.5099999999999905</c:v>
                </c:pt>
                <c:pt idx="252">
                  <c:v>2.5199999999999902</c:v>
                </c:pt>
                <c:pt idx="253">
                  <c:v>2.52999999999999</c:v>
                </c:pt>
                <c:pt idx="254">
                  <c:v>2.5399999999999898</c:v>
                </c:pt>
                <c:pt idx="255">
                  <c:v>2.5499999999999896</c:v>
                </c:pt>
                <c:pt idx="256">
                  <c:v>2.5599999999999894</c:v>
                </c:pt>
                <c:pt idx="257">
                  <c:v>2.5699999999999892</c:v>
                </c:pt>
                <c:pt idx="258">
                  <c:v>2.579999999999989</c:v>
                </c:pt>
                <c:pt idx="259">
                  <c:v>2.5899999999999888</c:v>
                </c:pt>
                <c:pt idx="260">
                  <c:v>2.5999999999999885</c:v>
                </c:pt>
                <c:pt idx="261">
                  <c:v>2.6099999999999883</c:v>
                </c:pt>
                <c:pt idx="262">
                  <c:v>2.6199999999999881</c:v>
                </c:pt>
                <c:pt idx="263">
                  <c:v>2.6299999999999879</c:v>
                </c:pt>
                <c:pt idx="264">
                  <c:v>2.6399999999999877</c:v>
                </c:pt>
                <c:pt idx="265">
                  <c:v>2.6499999999999875</c:v>
                </c:pt>
                <c:pt idx="266">
                  <c:v>2.6599999999999873</c:v>
                </c:pt>
                <c:pt idx="267">
                  <c:v>2.6699999999999871</c:v>
                </c:pt>
                <c:pt idx="268">
                  <c:v>2.6799999999999868</c:v>
                </c:pt>
                <c:pt idx="269">
                  <c:v>2.6899999999999866</c:v>
                </c:pt>
                <c:pt idx="270">
                  <c:v>2.6999999999999864</c:v>
                </c:pt>
                <c:pt idx="271">
                  <c:v>2.7099999999999862</c:v>
                </c:pt>
                <c:pt idx="272">
                  <c:v>2.719999999999986</c:v>
                </c:pt>
                <c:pt idx="273">
                  <c:v>2.7299999999999858</c:v>
                </c:pt>
                <c:pt idx="274">
                  <c:v>2.7399999999999856</c:v>
                </c:pt>
                <c:pt idx="275">
                  <c:v>2.7499999999999853</c:v>
                </c:pt>
                <c:pt idx="276">
                  <c:v>2.7599999999999851</c:v>
                </c:pt>
                <c:pt idx="277">
                  <c:v>2.7699999999999849</c:v>
                </c:pt>
                <c:pt idx="278">
                  <c:v>2.7799999999999847</c:v>
                </c:pt>
                <c:pt idx="279">
                  <c:v>2.7899999999999845</c:v>
                </c:pt>
                <c:pt idx="280">
                  <c:v>2.7999999999999843</c:v>
                </c:pt>
                <c:pt idx="281">
                  <c:v>2.8099999999999841</c:v>
                </c:pt>
                <c:pt idx="282">
                  <c:v>2.8199999999999839</c:v>
                </c:pt>
                <c:pt idx="283">
                  <c:v>2.8299999999999836</c:v>
                </c:pt>
                <c:pt idx="284">
                  <c:v>2.8399999999999834</c:v>
                </c:pt>
                <c:pt idx="285">
                  <c:v>2.8499999999999832</c:v>
                </c:pt>
                <c:pt idx="286">
                  <c:v>2.859999999999983</c:v>
                </c:pt>
                <c:pt idx="287">
                  <c:v>2.8699999999999828</c:v>
                </c:pt>
                <c:pt idx="288">
                  <c:v>2.8799999999999826</c:v>
                </c:pt>
                <c:pt idx="289">
                  <c:v>2.8899999999999824</c:v>
                </c:pt>
                <c:pt idx="290">
                  <c:v>2.8999999999999821</c:v>
                </c:pt>
                <c:pt idx="291">
                  <c:v>2.9099999999999819</c:v>
                </c:pt>
                <c:pt idx="292">
                  <c:v>2.9199999999999817</c:v>
                </c:pt>
                <c:pt idx="293">
                  <c:v>2.9299999999999815</c:v>
                </c:pt>
                <c:pt idx="294">
                  <c:v>2.9399999999999813</c:v>
                </c:pt>
                <c:pt idx="295">
                  <c:v>2.9499999999999811</c:v>
                </c:pt>
                <c:pt idx="296">
                  <c:v>2.9599999999999809</c:v>
                </c:pt>
                <c:pt idx="297">
                  <c:v>2.9699999999999807</c:v>
                </c:pt>
                <c:pt idx="298">
                  <c:v>2.9799999999999804</c:v>
                </c:pt>
                <c:pt idx="299">
                  <c:v>2.9899999999999802</c:v>
                </c:pt>
                <c:pt idx="300">
                  <c:v>2.99999999999998</c:v>
                </c:pt>
                <c:pt idx="301">
                  <c:v>3.0099999999999798</c:v>
                </c:pt>
                <c:pt idx="302">
                  <c:v>3.0199999999999796</c:v>
                </c:pt>
                <c:pt idx="303">
                  <c:v>3.0299999999999794</c:v>
                </c:pt>
                <c:pt idx="304">
                  <c:v>3.0399999999999792</c:v>
                </c:pt>
                <c:pt idx="305">
                  <c:v>3.049999999999979</c:v>
                </c:pt>
                <c:pt idx="306">
                  <c:v>3.0599999999999787</c:v>
                </c:pt>
                <c:pt idx="307">
                  <c:v>3.0699999999999785</c:v>
                </c:pt>
                <c:pt idx="308">
                  <c:v>3.0799999999999783</c:v>
                </c:pt>
                <c:pt idx="309">
                  <c:v>3.0899999999999781</c:v>
                </c:pt>
                <c:pt idx="310">
                  <c:v>3.0999999999999779</c:v>
                </c:pt>
                <c:pt idx="311">
                  <c:v>3.1099999999999777</c:v>
                </c:pt>
                <c:pt idx="312">
                  <c:v>3.1199999999999775</c:v>
                </c:pt>
                <c:pt idx="313">
                  <c:v>3.1299999999999772</c:v>
                </c:pt>
                <c:pt idx="314">
                  <c:v>3.139999999999977</c:v>
                </c:pt>
                <c:pt idx="315">
                  <c:v>3.1499999999999768</c:v>
                </c:pt>
                <c:pt idx="316">
                  <c:v>3.1599999999999766</c:v>
                </c:pt>
                <c:pt idx="317">
                  <c:v>3.1699999999999764</c:v>
                </c:pt>
                <c:pt idx="318">
                  <c:v>3.1799999999999762</c:v>
                </c:pt>
                <c:pt idx="319">
                  <c:v>3.189999999999976</c:v>
                </c:pt>
                <c:pt idx="320">
                  <c:v>3.1999999999999758</c:v>
                </c:pt>
                <c:pt idx="321">
                  <c:v>3.2099999999999755</c:v>
                </c:pt>
                <c:pt idx="322">
                  <c:v>3.2199999999999753</c:v>
                </c:pt>
                <c:pt idx="323">
                  <c:v>3.2299999999999751</c:v>
                </c:pt>
                <c:pt idx="324">
                  <c:v>3.2399999999999749</c:v>
                </c:pt>
                <c:pt idx="325">
                  <c:v>3.2499999999999747</c:v>
                </c:pt>
                <c:pt idx="326">
                  <c:v>3.2599999999999745</c:v>
                </c:pt>
                <c:pt idx="327">
                  <c:v>3.2699999999999743</c:v>
                </c:pt>
                <c:pt idx="328">
                  <c:v>3.279999999999974</c:v>
                </c:pt>
                <c:pt idx="329">
                  <c:v>3.2899999999999738</c:v>
                </c:pt>
                <c:pt idx="330">
                  <c:v>3.2999999999999736</c:v>
                </c:pt>
                <c:pt idx="331">
                  <c:v>3.3099999999999734</c:v>
                </c:pt>
                <c:pt idx="332">
                  <c:v>3.3199999999999732</c:v>
                </c:pt>
                <c:pt idx="333">
                  <c:v>3.329999999999973</c:v>
                </c:pt>
                <c:pt idx="334">
                  <c:v>3.3399999999999728</c:v>
                </c:pt>
                <c:pt idx="335">
                  <c:v>3.3499999999999726</c:v>
                </c:pt>
                <c:pt idx="336">
                  <c:v>3.3599999999999723</c:v>
                </c:pt>
                <c:pt idx="337">
                  <c:v>3.3699999999999721</c:v>
                </c:pt>
                <c:pt idx="338">
                  <c:v>3.3799999999999719</c:v>
                </c:pt>
                <c:pt idx="339">
                  <c:v>3.3899999999999717</c:v>
                </c:pt>
                <c:pt idx="340">
                  <c:v>3.3999999999999715</c:v>
                </c:pt>
                <c:pt idx="341">
                  <c:v>3.4099999999999713</c:v>
                </c:pt>
                <c:pt idx="342">
                  <c:v>3.4199999999999711</c:v>
                </c:pt>
                <c:pt idx="343">
                  <c:v>3.4299999999999708</c:v>
                </c:pt>
                <c:pt idx="344">
                  <c:v>3.4399999999999706</c:v>
                </c:pt>
                <c:pt idx="345">
                  <c:v>3.4499999999999704</c:v>
                </c:pt>
                <c:pt idx="346">
                  <c:v>3.4599999999999702</c:v>
                </c:pt>
                <c:pt idx="347">
                  <c:v>3.46999999999997</c:v>
                </c:pt>
                <c:pt idx="348">
                  <c:v>3.4799999999999698</c:v>
                </c:pt>
                <c:pt idx="349">
                  <c:v>3.4899999999999696</c:v>
                </c:pt>
                <c:pt idx="350">
                  <c:v>3.4999999999999694</c:v>
                </c:pt>
                <c:pt idx="351">
                  <c:v>3.5099999999999691</c:v>
                </c:pt>
                <c:pt idx="352">
                  <c:v>3.5199999999999689</c:v>
                </c:pt>
                <c:pt idx="353">
                  <c:v>3.5299999999999687</c:v>
                </c:pt>
                <c:pt idx="354">
                  <c:v>3.5399999999999685</c:v>
                </c:pt>
                <c:pt idx="355">
                  <c:v>3.5499999999999683</c:v>
                </c:pt>
                <c:pt idx="356">
                  <c:v>3.5599999999999681</c:v>
                </c:pt>
                <c:pt idx="357">
                  <c:v>3.5699999999999679</c:v>
                </c:pt>
                <c:pt idx="358">
                  <c:v>3.5799999999999677</c:v>
                </c:pt>
                <c:pt idx="359">
                  <c:v>3.5899999999999674</c:v>
                </c:pt>
                <c:pt idx="360">
                  <c:v>3.5999999999999672</c:v>
                </c:pt>
                <c:pt idx="361">
                  <c:v>3.609999999999967</c:v>
                </c:pt>
                <c:pt idx="362">
                  <c:v>3.6199999999999668</c:v>
                </c:pt>
                <c:pt idx="363">
                  <c:v>3.6299999999999666</c:v>
                </c:pt>
                <c:pt idx="364">
                  <c:v>3.6399999999999664</c:v>
                </c:pt>
                <c:pt idx="365">
                  <c:v>3.6499999999999662</c:v>
                </c:pt>
                <c:pt idx="366">
                  <c:v>3.6599999999999659</c:v>
                </c:pt>
                <c:pt idx="367">
                  <c:v>3.6699999999999657</c:v>
                </c:pt>
                <c:pt idx="368">
                  <c:v>3.6799999999999655</c:v>
                </c:pt>
                <c:pt idx="369">
                  <c:v>3.6899999999999653</c:v>
                </c:pt>
                <c:pt idx="370">
                  <c:v>3.6999999999999651</c:v>
                </c:pt>
                <c:pt idx="371">
                  <c:v>3.7099999999999649</c:v>
                </c:pt>
                <c:pt idx="372">
                  <c:v>3.7199999999999647</c:v>
                </c:pt>
                <c:pt idx="373">
                  <c:v>3.7299999999999645</c:v>
                </c:pt>
                <c:pt idx="374">
                  <c:v>3.7399999999999642</c:v>
                </c:pt>
                <c:pt idx="375">
                  <c:v>3.749999999999964</c:v>
                </c:pt>
                <c:pt idx="376">
                  <c:v>3.7599999999999638</c:v>
                </c:pt>
                <c:pt idx="377">
                  <c:v>3.7699999999999636</c:v>
                </c:pt>
                <c:pt idx="378">
                  <c:v>3.7799999999999634</c:v>
                </c:pt>
                <c:pt idx="379">
                  <c:v>3.7899999999999632</c:v>
                </c:pt>
                <c:pt idx="380">
                  <c:v>3.799999999999963</c:v>
                </c:pt>
                <c:pt idx="381">
                  <c:v>3.8099999999999627</c:v>
                </c:pt>
                <c:pt idx="382">
                  <c:v>3.8199999999999625</c:v>
                </c:pt>
                <c:pt idx="383">
                  <c:v>3.8299999999999623</c:v>
                </c:pt>
                <c:pt idx="384">
                  <c:v>3.8399999999999621</c:v>
                </c:pt>
                <c:pt idx="385">
                  <c:v>3.8499999999999619</c:v>
                </c:pt>
                <c:pt idx="386">
                  <c:v>3.8599999999999617</c:v>
                </c:pt>
                <c:pt idx="387">
                  <c:v>3.8699999999999615</c:v>
                </c:pt>
                <c:pt idx="388">
                  <c:v>3.8799999999999613</c:v>
                </c:pt>
                <c:pt idx="389">
                  <c:v>3.889999999999961</c:v>
                </c:pt>
                <c:pt idx="390">
                  <c:v>3.8999999999999608</c:v>
                </c:pt>
                <c:pt idx="391">
                  <c:v>3.9099999999999606</c:v>
                </c:pt>
                <c:pt idx="392">
                  <c:v>3.9199999999999604</c:v>
                </c:pt>
                <c:pt idx="393">
                  <c:v>3.9299999999999602</c:v>
                </c:pt>
                <c:pt idx="394">
                  <c:v>3.93999999999996</c:v>
                </c:pt>
                <c:pt idx="395">
                  <c:v>3.9499999999999598</c:v>
                </c:pt>
                <c:pt idx="396">
                  <c:v>3.9599999999999596</c:v>
                </c:pt>
                <c:pt idx="397">
                  <c:v>3.9699999999999593</c:v>
                </c:pt>
                <c:pt idx="398">
                  <c:v>3.9799999999999591</c:v>
                </c:pt>
                <c:pt idx="399">
                  <c:v>3.9899999999999589</c:v>
                </c:pt>
                <c:pt idx="400">
                  <c:v>3.9999999999999587</c:v>
                </c:pt>
                <c:pt idx="401">
                  <c:v>4.0099999999999589</c:v>
                </c:pt>
                <c:pt idx="402">
                  <c:v>4.0199999999999587</c:v>
                </c:pt>
                <c:pt idx="403">
                  <c:v>4.0299999999999585</c:v>
                </c:pt>
                <c:pt idx="404">
                  <c:v>4.0399999999999583</c:v>
                </c:pt>
                <c:pt idx="405">
                  <c:v>4.0499999999999581</c:v>
                </c:pt>
                <c:pt idx="406">
                  <c:v>4.0599999999999579</c:v>
                </c:pt>
                <c:pt idx="407">
                  <c:v>4.0699999999999577</c:v>
                </c:pt>
                <c:pt idx="408">
                  <c:v>4.0799999999999574</c:v>
                </c:pt>
                <c:pt idx="409">
                  <c:v>4.0899999999999572</c:v>
                </c:pt>
                <c:pt idx="410">
                  <c:v>4.099999999999957</c:v>
                </c:pt>
                <c:pt idx="411">
                  <c:v>4.1099999999999568</c:v>
                </c:pt>
                <c:pt idx="412">
                  <c:v>4.1199999999999566</c:v>
                </c:pt>
                <c:pt idx="413">
                  <c:v>4.1299999999999564</c:v>
                </c:pt>
                <c:pt idx="414">
                  <c:v>4.1399999999999562</c:v>
                </c:pt>
                <c:pt idx="415">
                  <c:v>4.1499999999999559</c:v>
                </c:pt>
                <c:pt idx="416">
                  <c:v>4.1599999999999557</c:v>
                </c:pt>
                <c:pt idx="417">
                  <c:v>4.1699999999999555</c:v>
                </c:pt>
                <c:pt idx="418">
                  <c:v>4.1799999999999553</c:v>
                </c:pt>
                <c:pt idx="419">
                  <c:v>4.1899999999999551</c:v>
                </c:pt>
                <c:pt idx="420">
                  <c:v>4.1999999999999549</c:v>
                </c:pt>
                <c:pt idx="421">
                  <c:v>4.2099999999999547</c:v>
                </c:pt>
                <c:pt idx="422">
                  <c:v>4.2199999999999545</c:v>
                </c:pt>
                <c:pt idx="423">
                  <c:v>4.2299999999999542</c:v>
                </c:pt>
                <c:pt idx="424">
                  <c:v>4.239999999999954</c:v>
                </c:pt>
                <c:pt idx="425">
                  <c:v>4.2499999999999538</c:v>
                </c:pt>
                <c:pt idx="426">
                  <c:v>4.2599999999999536</c:v>
                </c:pt>
                <c:pt idx="427">
                  <c:v>4.2699999999999534</c:v>
                </c:pt>
                <c:pt idx="428">
                  <c:v>4.2799999999999532</c:v>
                </c:pt>
                <c:pt idx="429">
                  <c:v>4.289999999999953</c:v>
                </c:pt>
                <c:pt idx="430">
                  <c:v>4.2999999999999527</c:v>
                </c:pt>
                <c:pt idx="431">
                  <c:v>4.3099999999999525</c:v>
                </c:pt>
                <c:pt idx="432">
                  <c:v>4.3199999999999523</c:v>
                </c:pt>
                <c:pt idx="433">
                  <c:v>4.3299999999999521</c:v>
                </c:pt>
                <c:pt idx="434">
                  <c:v>4.3399999999999519</c:v>
                </c:pt>
                <c:pt idx="435">
                  <c:v>4.3499999999999517</c:v>
                </c:pt>
                <c:pt idx="436">
                  <c:v>4.3599999999999515</c:v>
                </c:pt>
                <c:pt idx="437">
                  <c:v>4.3699999999999513</c:v>
                </c:pt>
                <c:pt idx="438">
                  <c:v>4.379999999999951</c:v>
                </c:pt>
                <c:pt idx="439">
                  <c:v>4.3899999999999508</c:v>
                </c:pt>
                <c:pt idx="440">
                  <c:v>4.3999999999999506</c:v>
                </c:pt>
                <c:pt idx="441">
                  <c:v>4.4099999999999504</c:v>
                </c:pt>
                <c:pt idx="442">
                  <c:v>4.4199999999999502</c:v>
                </c:pt>
                <c:pt idx="443">
                  <c:v>4.42999999999995</c:v>
                </c:pt>
                <c:pt idx="444">
                  <c:v>4.4399999999999498</c:v>
                </c:pt>
                <c:pt idx="445">
                  <c:v>4.4499999999999496</c:v>
                </c:pt>
                <c:pt idx="446">
                  <c:v>4.4599999999999493</c:v>
                </c:pt>
                <c:pt idx="447">
                  <c:v>4.4699999999999491</c:v>
                </c:pt>
                <c:pt idx="448">
                  <c:v>4.4799999999999489</c:v>
                </c:pt>
                <c:pt idx="449">
                  <c:v>4.4899999999999487</c:v>
                </c:pt>
                <c:pt idx="450">
                  <c:v>4.4999999999999485</c:v>
                </c:pt>
                <c:pt idx="451">
                  <c:v>4.5099999999999483</c:v>
                </c:pt>
                <c:pt idx="452">
                  <c:v>4.5199999999999481</c:v>
                </c:pt>
                <c:pt idx="453">
                  <c:v>4.5299999999999478</c:v>
                </c:pt>
                <c:pt idx="454">
                  <c:v>4.5399999999999476</c:v>
                </c:pt>
                <c:pt idx="455">
                  <c:v>4.5499999999999474</c:v>
                </c:pt>
                <c:pt idx="456">
                  <c:v>4.5599999999999472</c:v>
                </c:pt>
                <c:pt idx="457">
                  <c:v>4.569999999999947</c:v>
                </c:pt>
                <c:pt idx="458">
                  <c:v>4.5799999999999468</c:v>
                </c:pt>
                <c:pt idx="459">
                  <c:v>4.5899999999999466</c:v>
                </c:pt>
                <c:pt idx="460">
                  <c:v>4.5999999999999464</c:v>
                </c:pt>
                <c:pt idx="461">
                  <c:v>4.6099999999999461</c:v>
                </c:pt>
                <c:pt idx="462">
                  <c:v>4.6199999999999459</c:v>
                </c:pt>
                <c:pt idx="463">
                  <c:v>4.6299999999999457</c:v>
                </c:pt>
                <c:pt idx="464">
                  <c:v>4.6399999999999455</c:v>
                </c:pt>
                <c:pt idx="465">
                  <c:v>4.6499999999999453</c:v>
                </c:pt>
                <c:pt idx="466">
                  <c:v>4.6599999999999451</c:v>
                </c:pt>
                <c:pt idx="467">
                  <c:v>4.6699999999999449</c:v>
                </c:pt>
                <c:pt idx="468">
                  <c:v>4.6799999999999446</c:v>
                </c:pt>
                <c:pt idx="469">
                  <c:v>4.6899999999999444</c:v>
                </c:pt>
                <c:pt idx="470">
                  <c:v>4.6999999999999442</c:v>
                </c:pt>
                <c:pt idx="471">
                  <c:v>4.709999999999944</c:v>
                </c:pt>
                <c:pt idx="472">
                  <c:v>4.7199999999999438</c:v>
                </c:pt>
                <c:pt idx="473">
                  <c:v>4.7299999999999436</c:v>
                </c:pt>
                <c:pt idx="474">
                  <c:v>4.7399999999999434</c:v>
                </c:pt>
                <c:pt idx="475">
                  <c:v>4.7499999999999432</c:v>
                </c:pt>
                <c:pt idx="476">
                  <c:v>4.7599999999999429</c:v>
                </c:pt>
                <c:pt idx="477">
                  <c:v>4.7699999999999427</c:v>
                </c:pt>
                <c:pt idx="478">
                  <c:v>4.7799999999999425</c:v>
                </c:pt>
                <c:pt idx="479">
                  <c:v>4.7899999999999423</c:v>
                </c:pt>
                <c:pt idx="480">
                  <c:v>4.7999999999999421</c:v>
                </c:pt>
                <c:pt idx="481">
                  <c:v>4.8099999999999419</c:v>
                </c:pt>
                <c:pt idx="482">
                  <c:v>4.8199999999999417</c:v>
                </c:pt>
                <c:pt idx="483">
                  <c:v>4.8299999999999415</c:v>
                </c:pt>
                <c:pt idx="484">
                  <c:v>4.8399999999999412</c:v>
                </c:pt>
                <c:pt idx="485">
                  <c:v>4.849999999999941</c:v>
                </c:pt>
                <c:pt idx="486">
                  <c:v>4.8599999999999408</c:v>
                </c:pt>
                <c:pt idx="487">
                  <c:v>4.8699999999999406</c:v>
                </c:pt>
                <c:pt idx="488">
                  <c:v>4.8799999999999404</c:v>
                </c:pt>
                <c:pt idx="489">
                  <c:v>4.8899999999999402</c:v>
                </c:pt>
                <c:pt idx="490">
                  <c:v>4.89999999999994</c:v>
                </c:pt>
                <c:pt idx="491">
                  <c:v>4.9099999999999397</c:v>
                </c:pt>
                <c:pt idx="492">
                  <c:v>4.9199999999999395</c:v>
                </c:pt>
                <c:pt idx="493">
                  <c:v>4.9299999999999393</c:v>
                </c:pt>
                <c:pt idx="494">
                  <c:v>4.9399999999999391</c:v>
                </c:pt>
                <c:pt idx="495">
                  <c:v>4.9499999999999389</c:v>
                </c:pt>
                <c:pt idx="496">
                  <c:v>4.9599999999999387</c:v>
                </c:pt>
                <c:pt idx="497">
                  <c:v>4.9699999999999385</c:v>
                </c:pt>
                <c:pt idx="498">
                  <c:v>4.9799999999999383</c:v>
                </c:pt>
                <c:pt idx="499">
                  <c:v>4.989999999999938</c:v>
                </c:pt>
                <c:pt idx="500">
                  <c:v>4.9999999999999378</c:v>
                </c:pt>
                <c:pt idx="501">
                  <c:v>5.0999999999999375</c:v>
                </c:pt>
                <c:pt idx="502">
                  <c:v>5.1999999999999371</c:v>
                </c:pt>
                <c:pt idx="503">
                  <c:v>5.2999999999999368</c:v>
                </c:pt>
                <c:pt idx="504">
                  <c:v>5.3999999999999364</c:v>
                </c:pt>
                <c:pt idx="505">
                  <c:v>5.4999999999999361</c:v>
                </c:pt>
                <c:pt idx="506">
                  <c:v>5.5999999999999357</c:v>
                </c:pt>
                <c:pt idx="507">
                  <c:v>5.6999999999999353</c:v>
                </c:pt>
                <c:pt idx="508">
                  <c:v>5.799999999999935</c:v>
                </c:pt>
                <c:pt idx="509">
                  <c:v>5.8999999999999346</c:v>
                </c:pt>
                <c:pt idx="510">
                  <c:v>5.9999999999999343</c:v>
                </c:pt>
                <c:pt idx="511">
                  <c:v>6.0999999999999339</c:v>
                </c:pt>
                <c:pt idx="512">
                  <c:v>6.1999999999999336</c:v>
                </c:pt>
                <c:pt idx="513">
                  <c:v>6.2999999999999332</c:v>
                </c:pt>
                <c:pt idx="514">
                  <c:v>6.3999999999999329</c:v>
                </c:pt>
                <c:pt idx="515">
                  <c:v>6.4999999999999325</c:v>
                </c:pt>
                <c:pt idx="516">
                  <c:v>6.5999999999999321</c:v>
                </c:pt>
                <c:pt idx="517">
                  <c:v>6.6999999999999318</c:v>
                </c:pt>
                <c:pt idx="518">
                  <c:v>6.7999999999999314</c:v>
                </c:pt>
                <c:pt idx="519">
                  <c:v>6.8999999999999311</c:v>
                </c:pt>
                <c:pt idx="520">
                  <c:v>6.9999999999999307</c:v>
                </c:pt>
                <c:pt idx="521">
                  <c:v>7.0999999999999304</c:v>
                </c:pt>
                <c:pt idx="522">
                  <c:v>7.19999999999993</c:v>
                </c:pt>
                <c:pt idx="523">
                  <c:v>7.2999999999999297</c:v>
                </c:pt>
                <c:pt idx="524">
                  <c:v>7.3999999999999293</c:v>
                </c:pt>
                <c:pt idx="525">
                  <c:v>7.4999999999999289</c:v>
                </c:pt>
                <c:pt idx="526">
                  <c:v>7.5999999999999286</c:v>
                </c:pt>
                <c:pt idx="527">
                  <c:v>7.6999999999999282</c:v>
                </c:pt>
                <c:pt idx="528">
                  <c:v>7.7999999999999279</c:v>
                </c:pt>
                <c:pt idx="529">
                  <c:v>7.8999999999999275</c:v>
                </c:pt>
                <c:pt idx="530">
                  <c:v>7.9999999999999272</c:v>
                </c:pt>
                <c:pt idx="531">
                  <c:v>8.0999999999999268</c:v>
                </c:pt>
                <c:pt idx="532">
                  <c:v>8.1999999999999265</c:v>
                </c:pt>
                <c:pt idx="533">
                  <c:v>8.2999999999999261</c:v>
                </c:pt>
                <c:pt idx="534">
                  <c:v>8.3999999999999257</c:v>
                </c:pt>
                <c:pt idx="535">
                  <c:v>8.4999999999999254</c:v>
                </c:pt>
                <c:pt idx="536">
                  <c:v>8.599999999999925</c:v>
                </c:pt>
                <c:pt idx="537">
                  <c:v>8.6999999999999247</c:v>
                </c:pt>
                <c:pt idx="538">
                  <c:v>8.7999999999999243</c:v>
                </c:pt>
                <c:pt idx="539">
                  <c:v>8.899999999999924</c:v>
                </c:pt>
                <c:pt idx="540">
                  <c:v>8.9999999999999236</c:v>
                </c:pt>
                <c:pt idx="541">
                  <c:v>9.0999999999999233</c:v>
                </c:pt>
                <c:pt idx="542">
                  <c:v>9.1999999999999229</c:v>
                </c:pt>
                <c:pt idx="543">
                  <c:v>9.2999999999999226</c:v>
                </c:pt>
                <c:pt idx="544">
                  <c:v>9.3999999999999222</c:v>
                </c:pt>
                <c:pt idx="545">
                  <c:v>9.4999999999999218</c:v>
                </c:pt>
                <c:pt idx="546">
                  <c:v>9.5999999999999215</c:v>
                </c:pt>
                <c:pt idx="547">
                  <c:v>9.6999999999999211</c:v>
                </c:pt>
                <c:pt idx="548">
                  <c:v>9.7999999999999208</c:v>
                </c:pt>
                <c:pt idx="549">
                  <c:v>9.8999999999999204</c:v>
                </c:pt>
                <c:pt idx="550">
                  <c:v>9.9999999999999201</c:v>
                </c:pt>
                <c:pt idx="551">
                  <c:v>10.09999999999992</c:v>
                </c:pt>
                <c:pt idx="552">
                  <c:v>10.199999999999919</c:v>
                </c:pt>
                <c:pt idx="553">
                  <c:v>10.299999999999919</c:v>
                </c:pt>
                <c:pt idx="554">
                  <c:v>10.399999999999919</c:v>
                </c:pt>
                <c:pt idx="555">
                  <c:v>10.499999999999918</c:v>
                </c:pt>
                <c:pt idx="556">
                  <c:v>10.599999999999918</c:v>
                </c:pt>
                <c:pt idx="557">
                  <c:v>10.699999999999918</c:v>
                </c:pt>
                <c:pt idx="558">
                  <c:v>10.799999999999917</c:v>
                </c:pt>
                <c:pt idx="559">
                  <c:v>10.899999999999917</c:v>
                </c:pt>
                <c:pt idx="560">
                  <c:v>10.999999999999917</c:v>
                </c:pt>
                <c:pt idx="561">
                  <c:v>11.099999999999916</c:v>
                </c:pt>
                <c:pt idx="562">
                  <c:v>11.199999999999916</c:v>
                </c:pt>
                <c:pt idx="563">
                  <c:v>11.299999999999915</c:v>
                </c:pt>
                <c:pt idx="564">
                  <c:v>11.399999999999915</c:v>
                </c:pt>
                <c:pt idx="565">
                  <c:v>11.499999999999915</c:v>
                </c:pt>
                <c:pt idx="566">
                  <c:v>11.599999999999914</c:v>
                </c:pt>
                <c:pt idx="567">
                  <c:v>11.699999999999914</c:v>
                </c:pt>
                <c:pt idx="568">
                  <c:v>11.799999999999914</c:v>
                </c:pt>
                <c:pt idx="569">
                  <c:v>11.899999999999913</c:v>
                </c:pt>
                <c:pt idx="570">
                  <c:v>11.999999999999913</c:v>
                </c:pt>
                <c:pt idx="571">
                  <c:v>12.099999999999913</c:v>
                </c:pt>
                <c:pt idx="572">
                  <c:v>12.199999999999912</c:v>
                </c:pt>
                <c:pt idx="573">
                  <c:v>12.299999999999912</c:v>
                </c:pt>
                <c:pt idx="574">
                  <c:v>12.399999999999912</c:v>
                </c:pt>
                <c:pt idx="575">
                  <c:v>12.499999999999911</c:v>
                </c:pt>
                <c:pt idx="576">
                  <c:v>12.599999999999911</c:v>
                </c:pt>
                <c:pt idx="577">
                  <c:v>12.69999999999991</c:v>
                </c:pt>
                <c:pt idx="578">
                  <c:v>12.79999999999991</c:v>
                </c:pt>
                <c:pt idx="579">
                  <c:v>12.89999999999991</c:v>
                </c:pt>
                <c:pt idx="580">
                  <c:v>12.999999999999909</c:v>
                </c:pt>
                <c:pt idx="581">
                  <c:v>13.099999999999909</c:v>
                </c:pt>
                <c:pt idx="582">
                  <c:v>13.199999999999909</c:v>
                </c:pt>
                <c:pt idx="583">
                  <c:v>13.299999999999908</c:v>
                </c:pt>
                <c:pt idx="584">
                  <c:v>13.399999999999908</c:v>
                </c:pt>
                <c:pt idx="585">
                  <c:v>13.499999999999908</c:v>
                </c:pt>
                <c:pt idx="586">
                  <c:v>13.599999999999907</c:v>
                </c:pt>
                <c:pt idx="587">
                  <c:v>13.699999999999907</c:v>
                </c:pt>
                <c:pt idx="588">
                  <c:v>13.799999999999907</c:v>
                </c:pt>
                <c:pt idx="589">
                  <c:v>13.899999999999906</c:v>
                </c:pt>
                <c:pt idx="590">
                  <c:v>13.999999999999906</c:v>
                </c:pt>
                <c:pt idx="591">
                  <c:v>14.099999999999905</c:v>
                </c:pt>
                <c:pt idx="592">
                  <c:v>14.199999999999905</c:v>
                </c:pt>
                <c:pt idx="593">
                  <c:v>14.299999999999905</c:v>
                </c:pt>
                <c:pt idx="594">
                  <c:v>14.399999999999904</c:v>
                </c:pt>
                <c:pt idx="595">
                  <c:v>14.499999999999904</c:v>
                </c:pt>
                <c:pt idx="596">
                  <c:v>14.599999999999904</c:v>
                </c:pt>
                <c:pt idx="597">
                  <c:v>14.699999999999903</c:v>
                </c:pt>
                <c:pt idx="598">
                  <c:v>14.799999999999903</c:v>
                </c:pt>
                <c:pt idx="599">
                  <c:v>14.899999999999903</c:v>
                </c:pt>
                <c:pt idx="600">
                  <c:v>14.999999999999902</c:v>
                </c:pt>
                <c:pt idx="601">
                  <c:v>15.099999999999902</c:v>
                </c:pt>
                <c:pt idx="602">
                  <c:v>15.199999999999902</c:v>
                </c:pt>
                <c:pt idx="603">
                  <c:v>15.299999999999901</c:v>
                </c:pt>
                <c:pt idx="604">
                  <c:v>15.399999999999901</c:v>
                </c:pt>
                <c:pt idx="605">
                  <c:v>15.499999999999901</c:v>
                </c:pt>
                <c:pt idx="606">
                  <c:v>15.5999999999999</c:v>
                </c:pt>
                <c:pt idx="607">
                  <c:v>15.6999999999999</c:v>
                </c:pt>
                <c:pt idx="608">
                  <c:v>15.799999999999899</c:v>
                </c:pt>
                <c:pt idx="609">
                  <c:v>15.899999999999899</c:v>
                </c:pt>
                <c:pt idx="610">
                  <c:v>15.999999999999899</c:v>
                </c:pt>
                <c:pt idx="611">
                  <c:v>16.099999999999898</c:v>
                </c:pt>
                <c:pt idx="612">
                  <c:v>16.1999999999999</c:v>
                </c:pt>
                <c:pt idx="613">
                  <c:v>16.299999999999901</c:v>
                </c:pt>
                <c:pt idx="614">
                  <c:v>16.399999999999903</c:v>
                </c:pt>
                <c:pt idx="615">
                  <c:v>16.499999999999904</c:v>
                </c:pt>
                <c:pt idx="616">
                  <c:v>16.599999999999905</c:v>
                </c:pt>
                <c:pt idx="617">
                  <c:v>16.699999999999907</c:v>
                </c:pt>
                <c:pt idx="618">
                  <c:v>16.799999999999908</c:v>
                </c:pt>
                <c:pt idx="619">
                  <c:v>16.89999999999991</c:v>
                </c:pt>
                <c:pt idx="620">
                  <c:v>16.999999999999911</c:v>
                </c:pt>
                <c:pt idx="621">
                  <c:v>17.099999999999913</c:v>
                </c:pt>
                <c:pt idx="622">
                  <c:v>17.199999999999914</c:v>
                </c:pt>
                <c:pt idx="623">
                  <c:v>17.299999999999915</c:v>
                </c:pt>
                <c:pt idx="624">
                  <c:v>17.399999999999917</c:v>
                </c:pt>
                <c:pt idx="625">
                  <c:v>17.499999999999918</c:v>
                </c:pt>
                <c:pt idx="626">
                  <c:v>17.59999999999992</c:v>
                </c:pt>
                <c:pt idx="627">
                  <c:v>17.699999999999921</c:v>
                </c:pt>
                <c:pt idx="628">
                  <c:v>17.799999999999923</c:v>
                </c:pt>
                <c:pt idx="629">
                  <c:v>17.899999999999924</c:v>
                </c:pt>
                <c:pt idx="630">
                  <c:v>17.999999999999925</c:v>
                </c:pt>
                <c:pt idx="631">
                  <c:v>18.099999999999927</c:v>
                </c:pt>
                <c:pt idx="632">
                  <c:v>18.199999999999928</c:v>
                </c:pt>
                <c:pt idx="633">
                  <c:v>18.29999999999993</c:v>
                </c:pt>
                <c:pt idx="634">
                  <c:v>18.399999999999931</c:v>
                </c:pt>
                <c:pt idx="635">
                  <c:v>18.499999999999932</c:v>
                </c:pt>
                <c:pt idx="636">
                  <c:v>18.599999999999934</c:v>
                </c:pt>
                <c:pt idx="637">
                  <c:v>18.699999999999935</c:v>
                </c:pt>
                <c:pt idx="638">
                  <c:v>18.799999999999937</c:v>
                </c:pt>
                <c:pt idx="639">
                  <c:v>18.899999999999938</c:v>
                </c:pt>
                <c:pt idx="640">
                  <c:v>18.99999999999994</c:v>
                </c:pt>
                <c:pt idx="641">
                  <c:v>19.099999999999941</c:v>
                </c:pt>
                <c:pt idx="642">
                  <c:v>19.199999999999942</c:v>
                </c:pt>
                <c:pt idx="643">
                  <c:v>19.299999999999944</c:v>
                </c:pt>
                <c:pt idx="644">
                  <c:v>19.399999999999945</c:v>
                </c:pt>
                <c:pt idx="645">
                  <c:v>19.499999999999947</c:v>
                </c:pt>
                <c:pt idx="646">
                  <c:v>19.599999999999948</c:v>
                </c:pt>
                <c:pt idx="647">
                  <c:v>19.69999999999995</c:v>
                </c:pt>
                <c:pt idx="648">
                  <c:v>19.799999999999951</c:v>
                </c:pt>
                <c:pt idx="649">
                  <c:v>19.899999999999952</c:v>
                </c:pt>
                <c:pt idx="650">
                  <c:v>19.999999999999954</c:v>
                </c:pt>
                <c:pt idx="651">
                  <c:v>20.099999999999955</c:v>
                </c:pt>
                <c:pt idx="652">
                  <c:v>20.199999999999957</c:v>
                </c:pt>
                <c:pt idx="653">
                  <c:v>20.299999999999958</c:v>
                </c:pt>
                <c:pt idx="654">
                  <c:v>20.399999999999959</c:v>
                </c:pt>
                <c:pt idx="655">
                  <c:v>20.499999999999961</c:v>
                </c:pt>
                <c:pt idx="656">
                  <c:v>20.599999999999962</c:v>
                </c:pt>
                <c:pt idx="657">
                  <c:v>20.699999999999964</c:v>
                </c:pt>
                <c:pt idx="658">
                  <c:v>20.799999999999965</c:v>
                </c:pt>
                <c:pt idx="659">
                  <c:v>20.899999999999967</c:v>
                </c:pt>
                <c:pt idx="660">
                  <c:v>20.999999999999968</c:v>
                </c:pt>
                <c:pt idx="661">
                  <c:v>21.099999999999969</c:v>
                </c:pt>
                <c:pt idx="662">
                  <c:v>21.199999999999971</c:v>
                </c:pt>
                <c:pt idx="663">
                  <c:v>21.299999999999972</c:v>
                </c:pt>
                <c:pt idx="664">
                  <c:v>21.399999999999974</c:v>
                </c:pt>
                <c:pt idx="665">
                  <c:v>21.499999999999975</c:v>
                </c:pt>
                <c:pt idx="666">
                  <c:v>21.599999999999977</c:v>
                </c:pt>
                <c:pt idx="667">
                  <c:v>21.699999999999978</c:v>
                </c:pt>
                <c:pt idx="668">
                  <c:v>21.799999999999979</c:v>
                </c:pt>
                <c:pt idx="669">
                  <c:v>21.899999999999981</c:v>
                </c:pt>
                <c:pt idx="670">
                  <c:v>21.999999999999982</c:v>
                </c:pt>
                <c:pt idx="671">
                  <c:v>22.099999999999984</c:v>
                </c:pt>
                <c:pt idx="672">
                  <c:v>22.199999999999985</c:v>
                </c:pt>
                <c:pt idx="673">
                  <c:v>22.299999999999986</c:v>
                </c:pt>
                <c:pt idx="674">
                  <c:v>22.399999999999988</c:v>
                </c:pt>
                <c:pt idx="675">
                  <c:v>22.499999999999989</c:v>
                </c:pt>
                <c:pt idx="676">
                  <c:v>22.599999999999991</c:v>
                </c:pt>
                <c:pt idx="677">
                  <c:v>22.699999999999992</c:v>
                </c:pt>
                <c:pt idx="678">
                  <c:v>22.799999999999994</c:v>
                </c:pt>
                <c:pt idx="679">
                  <c:v>22.899999999999995</c:v>
                </c:pt>
                <c:pt idx="680">
                  <c:v>22.999999999999996</c:v>
                </c:pt>
                <c:pt idx="681">
                  <c:v>23.099999999999998</c:v>
                </c:pt>
                <c:pt idx="682">
                  <c:v>23.2</c:v>
                </c:pt>
                <c:pt idx="683">
                  <c:v>23.3</c:v>
                </c:pt>
                <c:pt idx="684">
                  <c:v>23.400000000000002</c:v>
                </c:pt>
                <c:pt idx="685">
                  <c:v>23.500000000000004</c:v>
                </c:pt>
                <c:pt idx="686">
                  <c:v>23.600000000000005</c:v>
                </c:pt>
                <c:pt idx="687">
                  <c:v>23.700000000000006</c:v>
                </c:pt>
                <c:pt idx="688">
                  <c:v>23.800000000000008</c:v>
                </c:pt>
                <c:pt idx="689">
                  <c:v>23.900000000000009</c:v>
                </c:pt>
                <c:pt idx="690">
                  <c:v>24.000000000000011</c:v>
                </c:pt>
                <c:pt idx="691">
                  <c:v>24.100000000000012</c:v>
                </c:pt>
                <c:pt idx="692">
                  <c:v>24.200000000000014</c:v>
                </c:pt>
                <c:pt idx="693">
                  <c:v>24.300000000000015</c:v>
                </c:pt>
                <c:pt idx="694">
                  <c:v>24.400000000000016</c:v>
                </c:pt>
                <c:pt idx="695">
                  <c:v>24.500000000000018</c:v>
                </c:pt>
                <c:pt idx="696">
                  <c:v>24.600000000000019</c:v>
                </c:pt>
                <c:pt idx="697">
                  <c:v>24.700000000000021</c:v>
                </c:pt>
                <c:pt idx="698">
                  <c:v>24.800000000000022</c:v>
                </c:pt>
                <c:pt idx="699">
                  <c:v>24.900000000000023</c:v>
                </c:pt>
                <c:pt idx="700">
                  <c:v>25.000000000000025</c:v>
                </c:pt>
                <c:pt idx="701">
                  <c:v>25.100000000000026</c:v>
                </c:pt>
                <c:pt idx="702">
                  <c:v>25.200000000000028</c:v>
                </c:pt>
                <c:pt idx="703">
                  <c:v>25.300000000000029</c:v>
                </c:pt>
                <c:pt idx="704">
                  <c:v>25.400000000000031</c:v>
                </c:pt>
                <c:pt idx="705">
                  <c:v>25.500000000000032</c:v>
                </c:pt>
                <c:pt idx="706">
                  <c:v>25.600000000000033</c:v>
                </c:pt>
                <c:pt idx="707">
                  <c:v>25.700000000000035</c:v>
                </c:pt>
                <c:pt idx="708">
                  <c:v>25.800000000000036</c:v>
                </c:pt>
                <c:pt idx="709">
                  <c:v>25.900000000000038</c:v>
                </c:pt>
                <c:pt idx="710">
                  <c:v>26.000000000000039</c:v>
                </c:pt>
                <c:pt idx="711">
                  <c:v>26.100000000000041</c:v>
                </c:pt>
                <c:pt idx="712">
                  <c:v>26.200000000000042</c:v>
                </c:pt>
                <c:pt idx="713">
                  <c:v>26.300000000000043</c:v>
                </c:pt>
                <c:pt idx="714">
                  <c:v>26.400000000000045</c:v>
                </c:pt>
                <c:pt idx="715">
                  <c:v>26.500000000000046</c:v>
                </c:pt>
                <c:pt idx="716">
                  <c:v>26.600000000000048</c:v>
                </c:pt>
                <c:pt idx="717">
                  <c:v>26.700000000000049</c:v>
                </c:pt>
                <c:pt idx="718">
                  <c:v>26.80000000000005</c:v>
                </c:pt>
                <c:pt idx="719">
                  <c:v>26.900000000000052</c:v>
                </c:pt>
                <c:pt idx="720">
                  <c:v>27.000000000000053</c:v>
                </c:pt>
                <c:pt idx="721">
                  <c:v>27.100000000000055</c:v>
                </c:pt>
                <c:pt idx="722">
                  <c:v>27.200000000000056</c:v>
                </c:pt>
                <c:pt idx="723">
                  <c:v>27.300000000000058</c:v>
                </c:pt>
                <c:pt idx="724">
                  <c:v>27.400000000000059</c:v>
                </c:pt>
                <c:pt idx="725">
                  <c:v>27.50000000000006</c:v>
                </c:pt>
                <c:pt idx="726">
                  <c:v>27.600000000000062</c:v>
                </c:pt>
                <c:pt idx="727">
                  <c:v>27.700000000000063</c:v>
                </c:pt>
                <c:pt idx="728">
                  <c:v>27.800000000000065</c:v>
                </c:pt>
                <c:pt idx="729">
                  <c:v>27.900000000000066</c:v>
                </c:pt>
                <c:pt idx="730">
                  <c:v>28.000000000000068</c:v>
                </c:pt>
                <c:pt idx="731">
                  <c:v>28.100000000000069</c:v>
                </c:pt>
                <c:pt idx="732">
                  <c:v>28.20000000000007</c:v>
                </c:pt>
                <c:pt idx="733">
                  <c:v>28.300000000000072</c:v>
                </c:pt>
                <c:pt idx="734">
                  <c:v>28.400000000000073</c:v>
                </c:pt>
                <c:pt idx="735">
                  <c:v>28.500000000000075</c:v>
                </c:pt>
                <c:pt idx="736">
                  <c:v>28.600000000000076</c:v>
                </c:pt>
                <c:pt idx="737">
                  <c:v>28.700000000000077</c:v>
                </c:pt>
                <c:pt idx="738">
                  <c:v>28.800000000000079</c:v>
                </c:pt>
                <c:pt idx="739">
                  <c:v>28.90000000000008</c:v>
                </c:pt>
                <c:pt idx="740">
                  <c:v>29.000000000000082</c:v>
                </c:pt>
                <c:pt idx="741">
                  <c:v>29.100000000000083</c:v>
                </c:pt>
                <c:pt idx="742">
                  <c:v>29.200000000000085</c:v>
                </c:pt>
                <c:pt idx="743">
                  <c:v>29.300000000000086</c:v>
                </c:pt>
                <c:pt idx="744">
                  <c:v>29.400000000000087</c:v>
                </c:pt>
                <c:pt idx="745">
                  <c:v>29.500000000000089</c:v>
                </c:pt>
                <c:pt idx="746">
                  <c:v>29.60000000000009</c:v>
                </c:pt>
                <c:pt idx="747">
                  <c:v>29.700000000000092</c:v>
                </c:pt>
                <c:pt idx="748">
                  <c:v>29.800000000000093</c:v>
                </c:pt>
                <c:pt idx="749">
                  <c:v>29.900000000000095</c:v>
                </c:pt>
                <c:pt idx="750">
                  <c:v>30.000000000000096</c:v>
                </c:pt>
                <c:pt idx="751">
                  <c:v>30.100000000000097</c:v>
                </c:pt>
                <c:pt idx="752">
                  <c:v>30.200000000000099</c:v>
                </c:pt>
                <c:pt idx="753">
                  <c:v>30.3000000000001</c:v>
                </c:pt>
                <c:pt idx="754">
                  <c:v>30.400000000000102</c:v>
                </c:pt>
                <c:pt idx="755">
                  <c:v>30.500000000000103</c:v>
                </c:pt>
                <c:pt idx="756">
                  <c:v>30.600000000000104</c:v>
                </c:pt>
                <c:pt idx="757">
                  <c:v>30.700000000000106</c:v>
                </c:pt>
                <c:pt idx="758">
                  <c:v>30.800000000000107</c:v>
                </c:pt>
                <c:pt idx="759">
                  <c:v>30.900000000000109</c:v>
                </c:pt>
                <c:pt idx="760">
                  <c:v>31.00000000000011</c:v>
                </c:pt>
                <c:pt idx="761">
                  <c:v>31.100000000000112</c:v>
                </c:pt>
                <c:pt idx="762">
                  <c:v>31.200000000000113</c:v>
                </c:pt>
                <c:pt idx="763">
                  <c:v>31.300000000000114</c:v>
                </c:pt>
                <c:pt idx="764">
                  <c:v>31.400000000000116</c:v>
                </c:pt>
                <c:pt idx="765">
                  <c:v>31.500000000000117</c:v>
                </c:pt>
                <c:pt idx="766">
                  <c:v>31.600000000000119</c:v>
                </c:pt>
                <c:pt idx="767">
                  <c:v>31.70000000000012</c:v>
                </c:pt>
                <c:pt idx="768">
                  <c:v>31.800000000000122</c:v>
                </c:pt>
                <c:pt idx="769">
                  <c:v>31.900000000000123</c:v>
                </c:pt>
                <c:pt idx="770">
                  <c:v>32.000000000000121</c:v>
                </c:pt>
                <c:pt idx="771">
                  <c:v>32.100000000000122</c:v>
                </c:pt>
                <c:pt idx="772">
                  <c:v>32.200000000000124</c:v>
                </c:pt>
                <c:pt idx="773">
                  <c:v>32.300000000000125</c:v>
                </c:pt>
                <c:pt idx="774">
                  <c:v>32.400000000000126</c:v>
                </c:pt>
                <c:pt idx="775">
                  <c:v>32.500000000000128</c:v>
                </c:pt>
                <c:pt idx="776">
                  <c:v>32.600000000000129</c:v>
                </c:pt>
                <c:pt idx="777">
                  <c:v>32.700000000000131</c:v>
                </c:pt>
                <c:pt idx="778">
                  <c:v>32.800000000000132</c:v>
                </c:pt>
                <c:pt idx="779">
                  <c:v>32.900000000000134</c:v>
                </c:pt>
                <c:pt idx="780">
                  <c:v>33.000000000000135</c:v>
                </c:pt>
                <c:pt idx="781">
                  <c:v>33.100000000000136</c:v>
                </c:pt>
                <c:pt idx="782">
                  <c:v>33.200000000000138</c:v>
                </c:pt>
                <c:pt idx="783">
                  <c:v>33.300000000000139</c:v>
                </c:pt>
                <c:pt idx="784">
                  <c:v>33.400000000000141</c:v>
                </c:pt>
                <c:pt idx="785">
                  <c:v>33.500000000000142</c:v>
                </c:pt>
                <c:pt idx="786">
                  <c:v>33.600000000000144</c:v>
                </c:pt>
                <c:pt idx="787">
                  <c:v>33.700000000000145</c:v>
                </c:pt>
                <c:pt idx="788">
                  <c:v>33.800000000000146</c:v>
                </c:pt>
                <c:pt idx="789">
                  <c:v>33.900000000000148</c:v>
                </c:pt>
                <c:pt idx="790">
                  <c:v>34.000000000000149</c:v>
                </c:pt>
                <c:pt idx="791">
                  <c:v>34.100000000000151</c:v>
                </c:pt>
                <c:pt idx="792">
                  <c:v>34.200000000000152</c:v>
                </c:pt>
                <c:pt idx="793">
                  <c:v>34.300000000000153</c:v>
                </c:pt>
                <c:pt idx="794">
                  <c:v>34.400000000000155</c:v>
                </c:pt>
                <c:pt idx="795">
                  <c:v>34.500000000000156</c:v>
                </c:pt>
                <c:pt idx="796">
                  <c:v>34.600000000000158</c:v>
                </c:pt>
                <c:pt idx="797">
                  <c:v>34.700000000000159</c:v>
                </c:pt>
                <c:pt idx="798">
                  <c:v>34.800000000000161</c:v>
                </c:pt>
                <c:pt idx="799">
                  <c:v>34.900000000000162</c:v>
                </c:pt>
                <c:pt idx="800">
                  <c:v>35.000000000000163</c:v>
                </c:pt>
                <c:pt idx="801">
                  <c:v>35.100000000000165</c:v>
                </c:pt>
                <c:pt idx="802">
                  <c:v>35.200000000000166</c:v>
                </c:pt>
                <c:pt idx="803">
                  <c:v>35.300000000000168</c:v>
                </c:pt>
                <c:pt idx="804">
                  <c:v>35.400000000000169</c:v>
                </c:pt>
                <c:pt idx="805">
                  <c:v>35.500000000000171</c:v>
                </c:pt>
                <c:pt idx="806">
                  <c:v>35.600000000000172</c:v>
                </c:pt>
                <c:pt idx="807">
                  <c:v>35.700000000000173</c:v>
                </c:pt>
                <c:pt idx="808">
                  <c:v>35.800000000000175</c:v>
                </c:pt>
                <c:pt idx="809">
                  <c:v>35.900000000000176</c:v>
                </c:pt>
                <c:pt idx="810">
                  <c:v>36.000000000000178</c:v>
                </c:pt>
                <c:pt idx="811">
                  <c:v>36.100000000000179</c:v>
                </c:pt>
                <c:pt idx="812">
                  <c:v>36.20000000000018</c:v>
                </c:pt>
                <c:pt idx="813">
                  <c:v>36.300000000000182</c:v>
                </c:pt>
                <c:pt idx="814">
                  <c:v>36.400000000000183</c:v>
                </c:pt>
                <c:pt idx="815">
                  <c:v>36.500000000000185</c:v>
                </c:pt>
                <c:pt idx="816">
                  <c:v>36.600000000000186</c:v>
                </c:pt>
                <c:pt idx="817">
                  <c:v>36.700000000000188</c:v>
                </c:pt>
                <c:pt idx="818">
                  <c:v>36.800000000000189</c:v>
                </c:pt>
                <c:pt idx="819">
                  <c:v>36.90000000000019</c:v>
                </c:pt>
                <c:pt idx="820">
                  <c:v>37.000000000000192</c:v>
                </c:pt>
                <c:pt idx="821">
                  <c:v>37.100000000000193</c:v>
                </c:pt>
                <c:pt idx="822">
                  <c:v>37.200000000000195</c:v>
                </c:pt>
                <c:pt idx="823">
                  <c:v>37.300000000000196</c:v>
                </c:pt>
                <c:pt idx="824">
                  <c:v>37.400000000000198</c:v>
                </c:pt>
                <c:pt idx="825">
                  <c:v>37.500000000000199</c:v>
                </c:pt>
                <c:pt idx="826">
                  <c:v>37.6000000000002</c:v>
                </c:pt>
                <c:pt idx="827">
                  <c:v>37.700000000000202</c:v>
                </c:pt>
                <c:pt idx="828">
                  <c:v>37.800000000000203</c:v>
                </c:pt>
                <c:pt idx="829">
                  <c:v>37.900000000000205</c:v>
                </c:pt>
                <c:pt idx="830">
                  <c:v>38.000000000000206</c:v>
                </c:pt>
                <c:pt idx="831">
                  <c:v>38.100000000000207</c:v>
                </c:pt>
                <c:pt idx="832">
                  <c:v>38.200000000000209</c:v>
                </c:pt>
                <c:pt idx="833">
                  <c:v>38.30000000000021</c:v>
                </c:pt>
                <c:pt idx="834">
                  <c:v>38.400000000000212</c:v>
                </c:pt>
                <c:pt idx="835">
                  <c:v>38.500000000000213</c:v>
                </c:pt>
                <c:pt idx="836">
                  <c:v>38.600000000000215</c:v>
                </c:pt>
                <c:pt idx="837">
                  <c:v>38.700000000000216</c:v>
                </c:pt>
                <c:pt idx="838">
                  <c:v>38.800000000000217</c:v>
                </c:pt>
                <c:pt idx="839">
                  <c:v>38.900000000000219</c:v>
                </c:pt>
                <c:pt idx="840">
                  <c:v>39.00000000000022</c:v>
                </c:pt>
                <c:pt idx="841">
                  <c:v>39.100000000000222</c:v>
                </c:pt>
                <c:pt idx="842">
                  <c:v>39.200000000000223</c:v>
                </c:pt>
                <c:pt idx="843">
                  <c:v>39.300000000000225</c:v>
                </c:pt>
                <c:pt idx="844">
                  <c:v>39.400000000000226</c:v>
                </c:pt>
                <c:pt idx="845">
                  <c:v>39.500000000000227</c:v>
                </c:pt>
                <c:pt idx="846">
                  <c:v>39.600000000000229</c:v>
                </c:pt>
                <c:pt idx="847">
                  <c:v>39.70000000000023</c:v>
                </c:pt>
                <c:pt idx="848">
                  <c:v>39.800000000000232</c:v>
                </c:pt>
                <c:pt idx="849">
                  <c:v>39.900000000000233</c:v>
                </c:pt>
                <c:pt idx="850">
                  <c:v>40.000000000000234</c:v>
                </c:pt>
                <c:pt idx="851">
                  <c:v>40.100000000000236</c:v>
                </c:pt>
                <c:pt idx="852">
                  <c:v>40.200000000000237</c:v>
                </c:pt>
                <c:pt idx="853">
                  <c:v>40.300000000000239</c:v>
                </c:pt>
                <c:pt idx="854">
                  <c:v>40.40000000000024</c:v>
                </c:pt>
                <c:pt idx="855">
                  <c:v>40.500000000000242</c:v>
                </c:pt>
                <c:pt idx="856">
                  <c:v>40.600000000000243</c:v>
                </c:pt>
                <c:pt idx="857">
                  <c:v>40.700000000000244</c:v>
                </c:pt>
                <c:pt idx="858">
                  <c:v>40.800000000000246</c:v>
                </c:pt>
                <c:pt idx="859">
                  <c:v>40.900000000000247</c:v>
                </c:pt>
                <c:pt idx="860">
                  <c:v>41.000000000000249</c:v>
                </c:pt>
                <c:pt idx="861">
                  <c:v>41.10000000000025</c:v>
                </c:pt>
                <c:pt idx="862">
                  <c:v>41.200000000000252</c:v>
                </c:pt>
                <c:pt idx="863">
                  <c:v>41.300000000000253</c:v>
                </c:pt>
                <c:pt idx="864">
                  <c:v>41.400000000000254</c:v>
                </c:pt>
                <c:pt idx="865">
                  <c:v>41.500000000000256</c:v>
                </c:pt>
                <c:pt idx="866">
                  <c:v>41.600000000000257</c:v>
                </c:pt>
                <c:pt idx="867">
                  <c:v>41.700000000000259</c:v>
                </c:pt>
                <c:pt idx="868">
                  <c:v>41.80000000000026</c:v>
                </c:pt>
                <c:pt idx="869">
                  <c:v>41.900000000000261</c:v>
                </c:pt>
                <c:pt idx="870">
                  <c:v>42.000000000000263</c:v>
                </c:pt>
                <c:pt idx="871">
                  <c:v>42.100000000000264</c:v>
                </c:pt>
                <c:pt idx="872">
                  <c:v>42.200000000000266</c:v>
                </c:pt>
                <c:pt idx="873">
                  <c:v>42.300000000000267</c:v>
                </c:pt>
                <c:pt idx="874">
                  <c:v>42.400000000000269</c:v>
                </c:pt>
                <c:pt idx="875">
                  <c:v>42.50000000000027</c:v>
                </c:pt>
                <c:pt idx="876">
                  <c:v>42.600000000000271</c:v>
                </c:pt>
                <c:pt idx="877">
                  <c:v>42.700000000000273</c:v>
                </c:pt>
                <c:pt idx="878">
                  <c:v>42.800000000000274</c:v>
                </c:pt>
                <c:pt idx="879">
                  <c:v>42.900000000000276</c:v>
                </c:pt>
                <c:pt idx="880">
                  <c:v>43.000000000000277</c:v>
                </c:pt>
                <c:pt idx="881">
                  <c:v>43.100000000000279</c:v>
                </c:pt>
                <c:pt idx="882">
                  <c:v>43.20000000000028</c:v>
                </c:pt>
                <c:pt idx="883">
                  <c:v>43.300000000000281</c:v>
                </c:pt>
                <c:pt idx="884">
                  <c:v>43.400000000000283</c:v>
                </c:pt>
                <c:pt idx="885">
                  <c:v>43.500000000000284</c:v>
                </c:pt>
                <c:pt idx="886">
                  <c:v>43.600000000000286</c:v>
                </c:pt>
                <c:pt idx="887">
                  <c:v>43.700000000000287</c:v>
                </c:pt>
                <c:pt idx="888">
                  <c:v>43.800000000000288</c:v>
                </c:pt>
                <c:pt idx="889">
                  <c:v>43.90000000000029</c:v>
                </c:pt>
                <c:pt idx="890">
                  <c:v>44.000000000000291</c:v>
                </c:pt>
                <c:pt idx="891">
                  <c:v>44.100000000000293</c:v>
                </c:pt>
                <c:pt idx="892">
                  <c:v>44.200000000000294</c:v>
                </c:pt>
                <c:pt idx="893">
                  <c:v>44.300000000000296</c:v>
                </c:pt>
                <c:pt idx="894">
                  <c:v>44.400000000000297</c:v>
                </c:pt>
                <c:pt idx="895">
                  <c:v>44.500000000000298</c:v>
                </c:pt>
                <c:pt idx="896">
                  <c:v>44.6000000000003</c:v>
                </c:pt>
                <c:pt idx="897">
                  <c:v>44.700000000000301</c:v>
                </c:pt>
                <c:pt idx="898">
                  <c:v>44.800000000000303</c:v>
                </c:pt>
                <c:pt idx="899">
                  <c:v>44.900000000000304</c:v>
                </c:pt>
                <c:pt idx="900">
                  <c:v>45.000000000000306</c:v>
                </c:pt>
                <c:pt idx="901">
                  <c:v>45.100000000000307</c:v>
                </c:pt>
                <c:pt idx="902">
                  <c:v>45.200000000000308</c:v>
                </c:pt>
                <c:pt idx="903">
                  <c:v>45.30000000000031</c:v>
                </c:pt>
                <c:pt idx="904">
                  <c:v>45.400000000000311</c:v>
                </c:pt>
                <c:pt idx="905">
                  <c:v>45.500000000000313</c:v>
                </c:pt>
                <c:pt idx="906">
                  <c:v>45.600000000000314</c:v>
                </c:pt>
                <c:pt idx="907">
                  <c:v>45.700000000000315</c:v>
                </c:pt>
                <c:pt idx="908">
                  <c:v>45.800000000000317</c:v>
                </c:pt>
                <c:pt idx="909">
                  <c:v>45.900000000000318</c:v>
                </c:pt>
                <c:pt idx="910">
                  <c:v>46.00000000000032</c:v>
                </c:pt>
                <c:pt idx="911">
                  <c:v>46.100000000000321</c:v>
                </c:pt>
                <c:pt idx="912">
                  <c:v>46.200000000000323</c:v>
                </c:pt>
                <c:pt idx="913">
                  <c:v>46.300000000000324</c:v>
                </c:pt>
                <c:pt idx="914">
                  <c:v>46.400000000000325</c:v>
                </c:pt>
                <c:pt idx="915">
                  <c:v>46.500000000000327</c:v>
                </c:pt>
                <c:pt idx="916">
                  <c:v>46.600000000000328</c:v>
                </c:pt>
                <c:pt idx="917">
                  <c:v>46.70000000000033</c:v>
                </c:pt>
                <c:pt idx="918">
                  <c:v>46.800000000000331</c:v>
                </c:pt>
                <c:pt idx="919">
                  <c:v>46.900000000000333</c:v>
                </c:pt>
                <c:pt idx="920">
                  <c:v>47.000000000000334</c:v>
                </c:pt>
                <c:pt idx="921">
                  <c:v>47.100000000000335</c:v>
                </c:pt>
                <c:pt idx="922">
                  <c:v>47.200000000000337</c:v>
                </c:pt>
                <c:pt idx="923">
                  <c:v>47.300000000000338</c:v>
                </c:pt>
                <c:pt idx="924">
                  <c:v>47.40000000000034</c:v>
                </c:pt>
                <c:pt idx="925">
                  <c:v>47.500000000000341</c:v>
                </c:pt>
                <c:pt idx="926">
                  <c:v>47.600000000000342</c:v>
                </c:pt>
                <c:pt idx="927">
                  <c:v>47.700000000000344</c:v>
                </c:pt>
                <c:pt idx="928">
                  <c:v>47.800000000000345</c:v>
                </c:pt>
                <c:pt idx="929">
                  <c:v>47.900000000000347</c:v>
                </c:pt>
                <c:pt idx="930">
                  <c:v>48.000000000000348</c:v>
                </c:pt>
                <c:pt idx="931">
                  <c:v>48.10000000000035</c:v>
                </c:pt>
                <c:pt idx="932">
                  <c:v>48.200000000000351</c:v>
                </c:pt>
                <c:pt idx="933">
                  <c:v>48.300000000000352</c:v>
                </c:pt>
                <c:pt idx="934">
                  <c:v>48.400000000000354</c:v>
                </c:pt>
                <c:pt idx="935">
                  <c:v>48.500000000000355</c:v>
                </c:pt>
                <c:pt idx="936">
                  <c:v>48.600000000000357</c:v>
                </c:pt>
                <c:pt idx="937">
                  <c:v>48.700000000000358</c:v>
                </c:pt>
                <c:pt idx="938">
                  <c:v>48.80000000000036</c:v>
                </c:pt>
                <c:pt idx="939">
                  <c:v>48.900000000000361</c:v>
                </c:pt>
                <c:pt idx="940">
                  <c:v>49.000000000000362</c:v>
                </c:pt>
                <c:pt idx="941">
                  <c:v>49.100000000000364</c:v>
                </c:pt>
                <c:pt idx="942">
                  <c:v>49.200000000000365</c:v>
                </c:pt>
                <c:pt idx="943">
                  <c:v>49.300000000000367</c:v>
                </c:pt>
                <c:pt idx="944">
                  <c:v>49.30010000000037</c:v>
                </c:pt>
                <c:pt idx="945">
                  <c:v>49.300200000000373</c:v>
                </c:pt>
                <c:pt idx="946">
                  <c:v>49.300300000000377</c:v>
                </c:pt>
                <c:pt idx="947">
                  <c:v>49.30040000000038</c:v>
                </c:pt>
                <c:pt idx="948">
                  <c:v>49.300500000000383</c:v>
                </c:pt>
                <c:pt idx="949">
                  <c:v>49.300600000000387</c:v>
                </c:pt>
                <c:pt idx="950">
                  <c:v>49.30070000000039</c:v>
                </c:pt>
                <c:pt idx="951">
                  <c:v>49.300800000000393</c:v>
                </c:pt>
                <c:pt idx="952">
                  <c:v>49.300900000000397</c:v>
                </c:pt>
                <c:pt idx="953">
                  <c:v>49.3010000000004</c:v>
                </c:pt>
                <c:pt idx="954">
                  <c:v>49.301100000000403</c:v>
                </c:pt>
                <c:pt idx="955">
                  <c:v>49.301200000000406</c:v>
                </c:pt>
                <c:pt idx="956">
                  <c:v>49.30130000000041</c:v>
                </c:pt>
                <c:pt idx="957">
                  <c:v>49.301400000000413</c:v>
                </c:pt>
                <c:pt idx="958">
                  <c:v>49.301500000000416</c:v>
                </c:pt>
                <c:pt idx="959">
                  <c:v>49.30160000000042</c:v>
                </c:pt>
                <c:pt idx="960">
                  <c:v>49.301700000000423</c:v>
                </c:pt>
                <c:pt idx="961">
                  <c:v>49.301800000000426</c:v>
                </c:pt>
                <c:pt idx="962">
                  <c:v>49.30190000000043</c:v>
                </c:pt>
                <c:pt idx="963">
                  <c:v>49.302000000000433</c:v>
                </c:pt>
                <c:pt idx="964">
                  <c:v>49.302100000000436</c:v>
                </c:pt>
                <c:pt idx="965">
                  <c:v>49.30220000000044</c:v>
                </c:pt>
                <c:pt idx="966">
                  <c:v>49.302300000000443</c:v>
                </c:pt>
                <c:pt idx="967">
                  <c:v>49.302400000000446</c:v>
                </c:pt>
                <c:pt idx="968">
                  <c:v>49.30250000000045</c:v>
                </c:pt>
                <c:pt idx="969">
                  <c:v>49.302600000000453</c:v>
                </c:pt>
                <c:pt idx="970">
                  <c:v>49.302700000000456</c:v>
                </c:pt>
                <c:pt idx="971">
                  <c:v>49.30280000000046</c:v>
                </c:pt>
                <c:pt idx="972">
                  <c:v>49.302900000000463</c:v>
                </c:pt>
                <c:pt idx="973">
                  <c:v>49.303000000000466</c:v>
                </c:pt>
                <c:pt idx="974">
                  <c:v>49.30310000000047</c:v>
                </c:pt>
                <c:pt idx="975">
                  <c:v>49.303200000000473</c:v>
                </c:pt>
                <c:pt idx="976">
                  <c:v>49.303300000000476</c:v>
                </c:pt>
                <c:pt idx="977">
                  <c:v>49.30340000000048</c:v>
                </c:pt>
                <c:pt idx="978">
                  <c:v>49.303500000000483</c:v>
                </c:pt>
                <c:pt idx="979">
                  <c:v>49.303600000000486</c:v>
                </c:pt>
                <c:pt idx="980">
                  <c:v>49.303700000000489</c:v>
                </c:pt>
                <c:pt idx="981">
                  <c:v>49.303800000000493</c:v>
                </c:pt>
                <c:pt idx="982">
                  <c:v>49.303900000000496</c:v>
                </c:pt>
                <c:pt idx="983">
                  <c:v>49.304000000000499</c:v>
                </c:pt>
                <c:pt idx="984">
                  <c:v>49.304100000000503</c:v>
                </c:pt>
                <c:pt idx="985">
                  <c:v>49.304200000000506</c:v>
                </c:pt>
                <c:pt idx="986">
                  <c:v>49.304300000000509</c:v>
                </c:pt>
                <c:pt idx="987">
                  <c:v>49.304400000000513</c:v>
                </c:pt>
                <c:pt idx="988">
                  <c:v>49.304500000000516</c:v>
                </c:pt>
                <c:pt idx="989">
                  <c:v>49.304600000000519</c:v>
                </c:pt>
                <c:pt idx="990">
                  <c:v>49.304700000000523</c:v>
                </c:pt>
                <c:pt idx="991">
                  <c:v>49.304800000000526</c:v>
                </c:pt>
                <c:pt idx="992">
                  <c:v>49.304900000000529</c:v>
                </c:pt>
                <c:pt idx="993">
                  <c:v>49.305000000000533</c:v>
                </c:pt>
                <c:pt idx="994">
                  <c:v>49.305100000000536</c:v>
                </c:pt>
                <c:pt idx="995">
                  <c:v>49.305200000000539</c:v>
                </c:pt>
                <c:pt idx="996">
                  <c:v>49.305300000000543</c:v>
                </c:pt>
                <c:pt idx="997">
                  <c:v>49.305400000000546</c:v>
                </c:pt>
                <c:pt idx="998">
                  <c:v>49.305500000000549</c:v>
                </c:pt>
                <c:pt idx="999">
                  <c:v>49.305600000000553</c:v>
                </c:pt>
                <c:pt idx="1000">
                  <c:v>49.305700000000556</c:v>
                </c:pt>
              </c:numCache>
            </c:numRef>
          </c:xVal>
          <c:yVal>
            <c:numRef>
              <c:f>Calculs!$AG$4:$AG$1004</c:f>
              <c:numCache>
                <c:formatCode>0.00</c:formatCode>
                <c:ptCount val="1001"/>
                <c:pt idx="0">
                  <c:v>0</c:v>
                </c:pt>
                <c:pt idx="1">
                  <c:v>8.9925032206179694</c:v>
                </c:pt>
                <c:pt idx="2">
                  <c:v>29.572794574086359</c:v>
                </c:pt>
                <c:pt idx="3">
                  <c:v>38.115705517050131</c:v>
                </c:pt>
                <c:pt idx="4">
                  <c:v>46.665042944227551</c:v>
                </c:pt>
                <c:pt idx="5">
                  <c:v>55.22186219437156</c:v>
                </c:pt>
                <c:pt idx="6">
                  <c:v>63.787211168498679</c:v>
                </c:pt>
                <c:pt idx="7">
                  <c:v>72.362130724122551</c:v>
                </c:pt>
                <c:pt idx="8">
                  <c:v>80.94765505954814</c:v>
                </c:pt>
                <c:pt idx="9">
                  <c:v>89.544812088618343</c:v>
                </c:pt>
                <c:pt idx="10">
                  <c:v>98.154623806289067</c:v>
                </c:pt>
                <c:pt idx="11">
                  <c:v>101.86144780901589</c:v>
                </c:pt>
                <c:pt idx="12">
                  <c:v>100.654588488386</c:v>
                </c:pt>
                <c:pt idx="13">
                  <c:v>99.407805215765336</c:v>
                </c:pt>
                <c:pt idx="14">
                  <c:v>98.12105611675274</c:v>
                </c:pt>
                <c:pt idx="15">
                  <c:v>96.831782949467907</c:v>
                </c:pt>
                <c:pt idx="16">
                  <c:v>95.540026218194953</c:v>
                </c:pt>
                <c:pt idx="17">
                  <c:v>94.245826418350205</c:v>
                </c:pt>
                <c:pt idx="18">
                  <c:v>92.949224031009237</c:v>
                </c:pt>
                <c:pt idx="19">
                  <c:v>91.650259517461308</c:v>
                </c:pt>
                <c:pt idx="20">
                  <c:v>90.348973313792371</c:v>
                </c:pt>
                <c:pt idx="21">
                  <c:v>89.045405825498136</c:v>
                </c:pt>
                <c:pt idx="22">
                  <c:v>87.739597422127844</c:v>
                </c:pt>
                <c:pt idx="23">
                  <c:v>86.431588431960492</c:v>
                </c:pt>
                <c:pt idx="24">
                  <c:v>85.121419136713783</c:v>
                </c:pt>
                <c:pt idx="25">
                  <c:v>83.809129766287697</c:v>
                </c:pt>
                <c:pt idx="26">
                  <c:v>82.494760493543254</c:v>
                </c:pt>
                <c:pt idx="27">
                  <c:v>81.839138382507755</c:v>
                </c:pt>
                <c:pt idx="28">
                  <c:v>81.843427483134832</c:v>
                </c:pt>
                <c:pt idx="29">
                  <c:v>81.84738027017346</c:v>
                </c:pt>
                <c:pt idx="30">
                  <c:v>81.850996307180878</c:v>
                </c:pt>
                <c:pt idx="31">
                  <c:v>81.854275164218265</c:v>
                </c:pt>
                <c:pt idx="32">
                  <c:v>81.857216417873843</c:v>
                </c:pt>
                <c:pt idx="33">
                  <c:v>81.859819651285889</c:v>
                </c:pt>
                <c:pt idx="34">
                  <c:v>81.862084454165796</c:v>
                </c:pt>
                <c:pt idx="35">
                  <c:v>81.865065439660611</c:v>
                </c:pt>
                <c:pt idx="36">
                  <c:v>81.867698808851245</c:v>
                </c:pt>
                <c:pt idx="37">
                  <c:v>81.869969607997518</c:v>
                </c:pt>
                <c:pt idx="38">
                  <c:v>81.871878555960336</c:v>
                </c:pt>
                <c:pt idx="39">
                  <c:v>81.873426295799462</c:v>
                </c:pt>
                <c:pt idx="40">
                  <c:v>81.874613402935566</c:v>
                </c:pt>
                <c:pt idx="41">
                  <c:v>81.875440392321352</c:v>
                </c:pt>
                <c:pt idx="42">
                  <c:v>81.875907724764289</c:v>
                </c:pt>
                <c:pt idx="43">
                  <c:v>81.87601581251954</c:v>
                </c:pt>
                <c:pt idx="44">
                  <c:v>81.875765024252573</c:v>
                </c:pt>
                <c:pt idx="45">
                  <c:v>81.875155689456193</c:v>
                </c:pt>
                <c:pt idx="46">
                  <c:v>81.874188102392523</c:v>
                </c:pt>
                <c:pt idx="47">
                  <c:v>81.872862525620846</c:v>
                </c:pt>
                <c:pt idx="48">
                  <c:v>81.871179193163201</c:v>
                </c:pt>
                <c:pt idx="49">
                  <c:v>81.869138313351499</c:v>
                </c:pt>
                <c:pt idx="50">
                  <c:v>81.866740071394531</c:v>
                </c:pt>
                <c:pt idx="51">
                  <c:v>81.86398463169769</c:v>
                </c:pt>
                <c:pt idx="52">
                  <c:v>81.860872139963774</c:v>
                </c:pt>
                <c:pt idx="53">
                  <c:v>81.857402725099192</c:v>
                </c:pt>
                <c:pt idx="54">
                  <c:v>81.853576500947696</c:v>
                </c:pt>
                <c:pt idx="55">
                  <c:v>81.849393567869726</c:v>
                </c:pt>
                <c:pt idx="56">
                  <c:v>81.844854014183809</c:v>
                </c:pt>
                <c:pt idx="57">
                  <c:v>81.839957917484938</c:v>
                </c:pt>
                <c:pt idx="58">
                  <c:v>81.834705345851773</c:v>
                </c:pt>
                <c:pt idx="59">
                  <c:v>81.829096358954502</c:v>
                </c:pt>
                <c:pt idx="60">
                  <c:v>81.82313100907264</c:v>
                </c:pt>
                <c:pt idx="61">
                  <c:v>81.816809342032073</c:v>
                </c:pt>
                <c:pt idx="62">
                  <c:v>81.810131398068478</c:v>
                </c:pt>
                <c:pt idx="63">
                  <c:v>81.803097212624294</c:v>
                </c:pt>
                <c:pt idx="64">
                  <c:v>81.795706817085744</c:v>
                </c:pt>
                <c:pt idx="65">
                  <c:v>81.787960239464496</c:v>
                </c:pt>
                <c:pt idx="66">
                  <c:v>81.779857505029725</c:v>
                </c:pt>
                <c:pt idx="67">
                  <c:v>81.771398636894659</c:v>
                </c:pt>
                <c:pt idx="68">
                  <c:v>81.762583656561148</c:v>
                </c:pt>
                <c:pt idx="69">
                  <c:v>81.75341258442657</c:v>
                </c:pt>
                <c:pt idx="70">
                  <c:v>81.74388544025571</c:v>
                </c:pt>
                <c:pt idx="71">
                  <c:v>81.734002243620537</c:v>
                </c:pt>
                <c:pt idx="72">
                  <c:v>81.716200377949136</c:v>
                </c:pt>
                <c:pt idx="73">
                  <c:v>81.690468119873884</c:v>
                </c:pt>
                <c:pt idx="74">
                  <c:v>81.664363483877054</c:v>
                </c:pt>
                <c:pt idx="75">
                  <c:v>81.637886672806587</c:v>
                </c:pt>
                <c:pt idx="76">
                  <c:v>81.611037891583237</c:v>
                </c:pt>
                <c:pt idx="77">
                  <c:v>81.583817347494261</c:v>
                </c:pt>
                <c:pt idx="78">
                  <c:v>81.556225250468316</c:v>
                </c:pt>
                <c:pt idx="79">
                  <c:v>81.528261813333103</c:v>
                </c:pt>
                <c:pt idx="80">
                  <c:v>81.499927252056835</c:v>
                </c:pt>
                <c:pt idx="81">
                  <c:v>81.471221785974933</c:v>
                </c:pt>
                <c:pt idx="82">
                  <c:v>81.442145638002671</c:v>
                </c:pt>
                <c:pt idx="83">
                  <c:v>81.412699034835001</c:v>
                </c:pt>
                <c:pt idx="84">
                  <c:v>81.382882207134315</c:v>
                </c:pt>
                <c:pt idx="85">
                  <c:v>81.352695389707051</c:v>
                </c:pt>
                <c:pt idx="86">
                  <c:v>81.322138821669839</c:v>
                </c:pt>
                <c:pt idx="87">
                  <c:v>81.29121274660578</c:v>
                </c:pt>
                <c:pt idx="88">
                  <c:v>81.259917412711644</c:v>
                </c:pt>
                <c:pt idx="89">
                  <c:v>81.228253072936553</c:v>
                </c:pt>
                <c:pt idx="90">
                  <c:v>81.196219985112521</c:v>
                </c:pt>
                <c:pt idx="91">
                  <c:v>81.163818412077589</c:v>
                </c:pt>
                <c:pt idx="92">
                  <c:v>81.131048621791876</c:v>
                </c:pt>
                <c:pt idx="93">
                  <c:v>81.097910887446943</c:v>
                </c:pt>
                <c:pt idx="94">
                  <c:v>81.064405487568905</c:v>
                </c:pt>
                <c:pt idx="95">
                  <c:v>81.030532706115821</c:v>
                </c:pt>
                <c:pt idx="96">
                  <c:v>80.996292832569296</c:v>
                </c:pt>
                <c:pt idx="97">
                  <c:v>80.961686162021124</c:v>
                </c:pt>
                <c:pt idx="98">
                  <c:v>80.926712995254761</c:v>
                </c:pt>
                <c:pt idx="99">
                  <c:v>80.891373638822373</c:v>
                </c:pt>
                <c:pt idx="100">
                  <c:v>80.855668405117257</c:v>
                </c:pt>
                <c:pt idx="101">
                  <c:v>80.819597612442294</c:v>
                </c:pt>
                <c:pt idx="102">
                  <c:v>80.783161585074311</c:v>
                </c:pt>
                <c:pt idx="103">
                  <c:v>80.746360653324757</c:v>
                </c:pt>
                <c:pt idx="104">
                  <c:v>80.709195153596923</c:v>
                </c:pt>
                <c:pt idx="105">
                  <c:v>80.671665428439567</c:v>
                </c:pt>
                <c:pt idx="106">
                  <c:v>80.633771826597538</c:v>
                </c:pt>
                <c:pt idx="107">
                  <c:v>80.595514703059308</c:v>
                </c:pt>
                <c:pt idx="108">
                  <c:v>80.556894419101539</c:v>
                </c:pt>
                <c:pt idx="109">
                  <c:v>80.517911342331004</c:v>
                </c:pt>
                <c:pt idx="110">
                  <c:v>80.478565846723711</c:v>
                </c:pt>
                <c:pt idx="111">
                  <c:v>80.438858312661722</c:v>
                </c:pt>
                <c:pt idx="112">
                  <c:v>80.398789126967316</c:v>
                </c:pt>
                <c:pt idx="113">
                  <c:v>80.358358682935275</c:v>
                </c:pt>
                <c:pt idx="114">
                  <c:v>80.317567380362419</c:v>
                </c:pt>
                <c:pt idx="115">
                  <c:v>80.276415625575524</c:v>
                </c:pt>
                <c:pt idx="116">
                  <c:v>80.234903831457018</c:v>
                </c:pt>
                <c:pt idx="117">
                  <c:v>80.193032417468771</c:v>
                </c:pt>
                <c:pt idx="118">
                  <c:v>80.150801809674107</c:v>
                </c:pt>
                <c:pt idx="119">
                  <c:v>80.108212440757896</c:v>
                </c:pt>
                <c:pt idx="120">
                  <c:v>80.065264750045216</c:v>
                </c:pt>
                <c:pt idx="121">
                  <c:v>80.021959183518035</c:v>
                </c:pt>
                <c:pt idx="122">
                  <c:v>79.978296193830587</c:v>
                </c:pt>
                <c:pt idx="123">
                  <c:v>79.934276240323257</c:v>
                </c:pt>
                <c:pt idx="124">
                  <c:v>79.889899789034644</c:v>
                </c:pt>
                <c:pt idx="125">
                  <c:v>79.845167312712704</c:v>
                </c:pt>
                <c:pt idx="126">
                  <c:v>79.800079290824286</c:v>
                </c:pt>
                <c:pt idx="127">
                  <c:v>79.754636209563287</c:v>
                </c:pt>
                <c:pt idx="128">
                  <c:v>79.708838561857732</c:v>
                </c:pt>
                <c:pt idx="129">
                  <c:v>79.62774473458127</c:v>
                </c:pt>
                <c:pt idx="130">
                  <c:v>79.511309905874739</c:v>
                </c:pt>
                <c:pt idx="131">
                  <c:v>79.394464168942832</c:v>
                </c:pt>
                <c:pt idx="132">
                  <c:v>79.277209003638106</c:v>
                </c:pt>
                <c:pt idx="133">
                  <c:v>79.159545897171085</c:v>
                </c:pt>
                <c:pt idx="134">
                  <c:v>79.041476344065273</c:v>
                </c:pt>
                <c:pt idx="135">
                  <c:v>78.923001846111049</c:v>
                </c:pt>
                <c:pt idx="136">
                  <c:v>78.804123912318431</c:v>
                </c:pt>
                <c:pt idx="137">
                  <c:v>78.684844058868705</c:v>
                </c:pt>
                <c:pt idx="138">
                  <c:v>78.565163809065083</c:v>
                </c:pt>
                <c:pt idx="139">
                  <c:v>78.445084693282183</c:v>
                </c:pt>
                <c:pt idx="140">
                  <c:v>78.324608248914871</c:v>
                </c:pt>
                <c:pt idx="141">
                  <c:v>78.203736020325735</c:v>
                </c:pt>
                <c:pt idx="142">
                  <c:v>78.082469558791985</c:v>
                </c:pt>
                <c:pt idx="143">
                  <c:v>77.96081042245126</c:v>
                </c:pt>
                <c:pt idx="144">
                  <c:v>77.838760176246808</c:v>
                </c:pt>
                <c:pt idx="145">
                  <c:v>77.716320391871605</c:v>
                </c:pt>
                <c:pt idx="146">
                  <c:v>77.593492647711926</c:v>
                </c:pt>
                <c:pt idx="147">
                  <c:v>77.470278528789905</c:v>
                </c:pt>
                <c:pt idx="148">
                  <c:v>77.346679626705594</c:v>
                </c:pt>
                <c:pt idx="149">
                  <c:v>77.222697539578149</c:v>
                </c:pt>
                <c:pt idx="150">
                  <c:v>77.098333871986469</c:v>
                </c:pt>
                <c:pt idx="151">
                  <c:v>76.973590234908997</c:v>
                </c:pt>
                <c:pt idx="152">
                  <c:v>76.848468245663042</c:v>
                </c:pt>
                <c:pt idx="153">
                  <c:v>76.722969527843446</c:v>
                </c:pt>
                <c:pt idx="154">
                  <c:v>76.597095711260494</c:v>
                </c:pt>
                <c:pt idx="155">
                  <c:v>76.470848431877599</c:v>
                </c:pt>
                <c:pt idx="156">
                  <c:v>76.344229331748011</c:v>
                </c:pt>
                <c:pt idx="157">
                  <c:v>76.21724005895129</c:v>
                </c:pt>
                <c:pt idx="158">
                  <c:v>76.089882267529177</c:v>
                </c:pt>
                <c:pt idx="159">
                  <c:v>75.962157617420857</c:v>
                </c:pt>
                <c:pt idx="160">
                  <c:v>75.834067774397909</c:v>
                </c:pt>
                <c:pt idx="161">
                  <c:v>75.705614409998645</c:v>
                </c:pt>
                <c:pt idx="162">
                  <c:v>75.576799201462109</c:v>
                </c:pt>
                <c:pt idx="163">
                  <c:v>75.447623831661559</c:v>
                </c:pt>
                <c:pt idx="164">
                  <c:v>75.318089989037531</c:v>
                </c:pt>
                <c:pt idx="165">
                  <c:v>75.188199367530572</c:v>
                </c:pt>
                <c:pt idx="166">
                  <c:v>75.05795366651347</c:v>
                </c:pt>
                <c:pt idx="167">
                  <c:v>74.927354590723311</c:v>
                </c:pt>
                <c:pt idx="168">
                  <c:v>74.79640385019286</c:v>
                </c:pt>
                <c:pt idx="169">
                  <c:v>74.665103160181815</c:v>
                </c:pt>
                <c:pt idx="170">
                  <c:v>74.533454241107748</c:v>
                </c:pt>
                <c:pt idx="171">
                  <c:v>74.401458818476641</c:v>
                </c:pt>
                <c:pt idx="172">
                  <c:v>74.269118622813039</c:v>
                </c:pt>
                <c:pt idx="173">
                  <c:v>74.136435389590062</c:v>
                </c:pt>
                <c:pt idx="174">
                  <c:v>74.003410859158961</c:v>
                </c:pt>
                <c:pt idx="175">
                  <c:v>73.870046776678691</c:v>
                </c:pt>
                <c:pt idx="176">
                  <c:v>73.736344892044812</c:v>
                </c:pt>
                <c:pt idx="177">
                  <c:v>73.602306959818421</c:v>
                </c:pt>
                <c:pt idx="178">
                  <c:v>73.467934739154884</c:v>
                </c:pt>
                <c:pt idx="179">
                  <c:v>73.333229993732033</c:v>
                </c:pt>
                <c:pt idx="180">
                  <c:v>73.198194491678535</c:v>
                </c:pt>
                <c:pt idx="181">
                  <c:v>73.062830005501709</c:v>
                </c:pt>
                <c:pt idx="182">
                  <c:v>72.927138312015387</c:v>
                </c:pt>
                <c:pt idx="183">
                  <c:v>72.791121192267454</c:v>
                </c:pt>
                <c:pt idx="184">
                  <c:v>72.654780431467273</c:v>
                </c:pt>
                <c:pt idx="185">
                  <c:v>72.518117818912856</c:v>
                </c:pt>
                <c:pt idx="186">
                  <c:v>72.381135147918016</c:v>
                </c:pt>
                <c:pt idx="187">
                  <c:v>72.243834215739241</c:v>
                </c:pt>
                <c:pt idx="188">
                  <c:v>72.10621682350255</c:v>
                </c:pt>
                <c:pt idx="189">
                  <c:v>71.968284776129991</c:v>
                </c:pt>
                <c:pt idx="190">
                  <c:v>71.83003988226632</c:v>
                </c:pt>
                <c:pt idx="191">
                  <c:v>71.69148395420541</c:v>
                </c:pt>
                <c:pt idx="192">
                  <c:v>71.552618807816458</c:v>
                </c:pt>
                <c:pt idx="193">
                  <c:v>71.413446262470302</c:v>
                </c:pt>
                <c:pt idx="194">
                  <c:v>71.273968140965508</c:v>
                </c:pt>
                <c:pt idx="195">
                  <c:v>71.134186269454403</c:v>
                </c:pt>
                <c:pt idx="196">
                  <c:v>70.994102477369111</c:v>
                </c:pt>
                <c:pt idx="197">
                  <c:v>70.853718597347367</c:v>
                </c:pt>
                <c:pt idx="198">
                  <c:v>70.713036465158481</c:v>
                </c:pt>
                <c:pt idx="199">
                  <c:v>70.572057919629117</c:v>
                </c:pt>
                <c:pt idx="200">
                  <c:v>70.430784802569008</c:v>
                </c:pt>
                <c:pt idx="201">
                  <c:v>70.28921895869675</c:v>
                </c:pt>
                <c:pt idx="202">
                  <c:v>70.147362235565524</c:v>
                </c:pt>
                <c:pt idx="203">
                  <c:v>70.005216483488766</c:v>
                </c:pt>
                <c:pt idx="204">
                  <c:v>69.862783555465839</c:v>
                </c:pt>
                <c:pt idx="205">
                  <c:v>69.720065307107745</c:v>
                </c:pt>
                <c:pt idx="206">
                  <c:v>69.568517322644453</c:v>
                </c:pt>
                <c:pt idx="207">
                  <c:v>69.408134275043864</c:v>
                </c:pt>
                <c:pt idx="208">
                  <c:v>69.247464617130547</c:v>
                </c:pt>
                <c:pt idx="209">
                  <c:v>69.086510460652192</c:v>
                </c:pt>
                <c:pt idx="210">
                  <c:v>68.925273919038204</c:v>
                </c:pt>
                <c:pt idx="211">
                  <c:v>68.763757107314106</c:v>
                </c:pt>
                <c:pt idx="212">
                  <c:v>68.601962142015466</c:v>
                </c:pt>
                <c:pt idx="213">
                  <c:v>68.439891141102606</c:v>
                </c:pt>
                <c:pt idx="214">
                  <c:v>68.277546223874879</c:v>
                </c:pt>
                <c:pt idx="215">
                  <c:v>68.114929510885531</c:v>
                </c:pt>
                <c:pt idx="216">
                  <c:v>67.952043123856384</c:v>
                </c:pt>
                <c:pt idx="217">
                  <c:v>67.788889185592879</c:v>
                </c:pt>
                <c:pt idx="218">
                  <c:v>67.625469819899209</c:v>
                </c:pt>
                <c:pt idx="219">
                  <c:v>67.46178715149361</c:v>
                </c:pt>
                <c:pt idx="220">
                  <c:v>67.297843305923891</c:v>
                </c:pt>
                <c:pt idx="221">
                  <c:v>67.133640409483135</c:v>
                </c:pt>
                <c:pt idx="222">
                  <c:v>66.969180589125443</c:v>
                </c:pt>
                <c:pt idx="223">
                  <c:v>66.804465972382175</c:v>
                </c:pt>
                <c:pt idx="224">
                  <c:v>66.639498687278106</c:v>
                </c:pt>
                <c:pt idx="225">
                  <c:v>66.474280862247923</c:v>
                </c:pt>
                <c:pt idx="226">
                  <c:v>66.308814626053021</c:v>
                </c:pt>
                <c:pt idx="227">
                  <c:v>66.14310210769834</c:v>
                </c:pt>
                <c:pt idx="228">
                  <c:v>65.977145436349588</c:v>
                </c:pt>
                <c:pt idx="229">
                  <c:v>65.810946741250547</c:v>
                </c:pt>
                <c:pt idx="230">
                  <c:v>65.644508151640835</c:v>
                </c:pt>
                <c:pt idx="231">
                  <c:v>65.477831796673769</c:v>
                </c:pt>
                <c:pt idx="232">
                  <c:v>65.310919805334407</c:v>
                </c:pt>
                <c:pt idx="233">
                  <c:v>65.143774306358097</c:v>
                </c:pt>
                <c:pt idx="234">
                  <c:v>64.976397428149085</c:v>
                </c:pt>
                <c:pt idx="235">
                  <c:v>64.808791298699475</c:v>
                </c:pt>
                <c:pt idx="236">
                  <c:v>64.640958045508427</c:v>
                </c:pt>
                <c:pt idx="237">
                  <c:v>64.47289979550176</c:v>
                </c:pt>
                <c:pt idx="238">
                  <c:v>64.304618674951556</c:v>
                </c:pt>
                <c:pt idx="239">
                  <c:v>64.136116809396555</c:v>
                </c:pt>
                <c:pt idx="240">
                  <c:v>63.967396323562227</c:v>
                </c:pt>
                <c:pt idx="241">
                  <c:v>63.798459341281742</c:v>
                </c:pt>
                <c:pt idx="242">
                  <c:v>63.599710911248216</c:v>
                </c:pt>
                <c:pt idx="243">
                  <c:v>63.371134799883386</c:v>
                </c:pt>
                <c:pt idx="244">
                  <c:v>63.142336728483777</c:v>
                </c:pt>
                <c:pt idx="245">
                  <c:v>62.913319694673731</c:v>
                </c:pt>
                <c:pt idx="246">
                  <c:v>62.684086691432526</c:v>
                </c:pt>
                <c:pt idx="247">
                  <c:v>62.45464070697858</c:v>
                </c:pt>
                <c:pt idx="248">
                  <c:v>62.224984724654618</c:v>
                </c:pt>
                <c:pt idx="249">
                  <c:v>61.995121722813316</c:v>
                </c:pt>
                <c:pt idx="250">
                  <c:v>61.765054674703933</c:v>
                </c:pt>
                <c:pt idx="251">
                  <c:v>61.534786548359726</c:v>
                </c:pt>
                <c:pt idx="252">
                  <c:v>61.30432030648609</c:v>
                </c:pt>
                <c:pt idx="253">
                  <c:v>61.073658906349493</c:v>
                </c:pt>
                <c:pt idx="254">
                  <c:v>60.842805299667319</c:v>
                </c:pt>
                <c:pt idx="255">
                  <c:v>60.611762432498409</c:v>
                </c:pt>
                <c:pt idx="256">
                  <c:v>60.380533245134551</c:v>
                </c:pt>
                <c:pt idx="257">
                  <c:v>60.149120671992549</c:v>
                </c:pt>
                <c:pt idx="258">
                  <c:v>59.917527641507526</c:v>
                </c:pt>
                <c:pt idx="259">
                  <c:v>59.685757076026619</c:v>
                </c:pt>
                <c:pt idx="260">
                  <c:v>59.453811891703872</c:v>
                </c:pt>
                <c:pt idx="261">
                  <c:v>59.221694998395733</c:v>
                </c:pt>
                <c:pt idx="262">
                  <c:v>58.989409299557501</c:v>
                </c:pt>
                <c:pt idx="263">
                  <c:v>58.756957692140659</c:v>
                </c:pt>
                <c:pt idx="264">
                  <c:v>58.524343066491063</c:v>
                </c:pt>
                <c:pt idx="265">
                  <c:v>58.291568306247818</c:v>
                </c:pt>
                <c:pt idx="266">
                  <c:v>58.058636288243278</c:v>
                </c:pt>
                <c:pt idx="267">
                  <c:v>57.825549882403827</c:v>
                </c:pt>
                <c:pt idx="268">
                  <c:v>57.592311951651368</c:v>
                </c:pt>
                <c:pt idx="269">
                  <c:v>57.358925351806043</c:v>
                </c:pt>
                <c:pt idx="270">
                  <c:v>57.125392931489415</c:v>
                </c:pt>
                <c:pt idx="271">
                  <c:v>56.891717532028864</c:v>
                </c:pt>
                <c:pt idx="272">
                  <c:v>56.657901987362791</c:v>
                </c:pt>
                <c:pt idx="273">
                  <c:v>56.423949123946606</c:v>
                </c:pt>
                <c:pt idx="274">
                  <c:v>56.189861760659731</c:v>
                </c:pt>
                <c:pt idx="275">
                  <c:v>55.955642708713434</c:v>
                </c:pt>
                <c:pt idx="276">
                  <c:v>55.721294771559641</c:v>
                </c:pt>
                <c:pt idx="277">
                  <c:v>55.486820744800625</c:v>
                </c:pt>
                <c:pt idx="278">
                  <c:v>55.252223416099504</c:v>
                </c:pt>
                <c:pt idx="279">
                  <c:v>55.017505565091774</c:v>
                </c:pt>
                <c:pt idx="280">
                  <c:v>54.782669963297735</c:v>
                </c:pt>
                <c:pt idx="281">
                  <c:v>54.547719374035829</c:v>
                </c:pt>
                <c:pt idx="282">
                  <c:v>54.312656552336833</c:v>
                </c:pt>
                <c:pt idx="283">
                  <c:v>54.077484244859001</c:v>
                </c:pt>
                <c:pt idx="284">
                  <c:v>53.877022175802708</c:v>
                </c:pt>
                <c:pt idx="285">
                  <c:v>53.711284419908132</c:v>
                </c:pt>
                <c:pt idx="286">
                  <c:v>53.545441336042344</c:v>
                </c:pt>
                <c:pt idx="287">
                  <c:v>53.379494716006157</c:v>
                </c:pt>
                <c:pt idx="288">
                  <c:v>53.213446347655541</c:v>
                </c:pt>
                <c:pt idx="289">
                  <c:v>53.047298014851734</c:v>
                </c:pt>
                <c:pt idx="290">
                  <c:v>52.881051497411789</c:v>
                </c:pt>
                <c:pt idx="291">
                  <c:v>52.714708571059603</c:v>
                </c:pt>
                <c:pt idx="292">
                  <c:v>52.548271007377238</c:v>
                </c:pt>
                <c:pt idx="293">
                  <c:v>52.381740573756744</c:v>
                </c:pt>
                <c:pt idx="294">
                  <c:v>52.215119033352444</c:v>
                </c:pt>
                <c:pt idx="295">
                  <c:v>52.048408145033541</c:v>
                </c:pt>
                <c:pt idx="296">
                  <c:v>51.881609663337173</c:v>
                </c:pt>
                <c:pt idx="297">
                  <c:v>51.714725338421964</c:v>
                </c:pt>
                <c:pt idx="298">
                  <c:v>51.547756916021918</c:v>
                </c:pt>
                <c:pt idx="299">
                  <c:v>51.380706137400793</c:v>
                </c:pt>
                <c:pt idx="300">
                  <c:v>51.213574739306836</c:v>
                </c:pt>
                <c:pt idx="301">
                  <c:v>51.046364453928021</c:v>
                </c:pt>
                <c:pt idx="302">
                  <c:v>50.879077008847716</c:v>
                </c:pt>
                <c:pt idx="303">
                  <c:v>50.711714127000711</c:v>
                </c:pt>
                <c:pt idx="304">
                  <c:v>50.544277526629699</c:v>
                </c:pt>
                <c:pt idx="305">
                  <c:v>50.376768921242252</c:v>
                </c:pt>
                <c:pt idx="306">
                  <c:v>50.209190019568176</c:v>
                </c:pt>
                <c:pt idx="307">
                  <c:v>50.041542525517251</c:v>
                </c:pt>
                <c:pt idx="308">
                  <c:v>49.873828138137554</c:v>
                </c:pt>
                <c:pt idx="309">
                  <c:v>49.706048551574042</c:v>
                </c:pt>
                <c:pt idx="310">
                  <c:v>49.5382054550277</c:v>
                </c:pt>
                <c:pt idx="311">
                  <c:v>49.370300532715028</c:v>
                </c:pt>
                <c:pt idx="312">
                  <c:v>49.202335463828078</c:v>
                </c:pt>
                <c:pt idx="313">
                  <c:v>49.03431192249478</c:v>
                </c:pt>
                <c:pt idx="314">
                  <c:v>48.866231577739882</c:v>
                </c:pt>
                <c:pt idx="315">
                  <c:v>48.698096093446146</c:v>
                </c:pt>
                <c:pt idx="316">
                  <c:v>48.529907128316097</c:v>
                </c:pt>
                <c:pt idx="317">
                  <c:v>48.361666335834215</c:v>
                </c:pt>
                <c:pt idx="318">
                  <c:v>48.193375364229425</c:v>
                </c:pt>
                <c:pt idx="319">
                  <c:v>48.025035856438294</c:v>
                </c:pt>
                <c:pt idx="320">
                  <c:v>47.856649450068346</c:v>
                </c:pt>
                <c:pt idx="321">
                  <c:v>47.688217777362034</c:v>
                </c:pt>
                <c:pt idx="322">
                  <c:v>47.51974246516108</c:v>
                </c:pt>
                <c:pt idx="323">
                  <c:v>47.351225134871285</c:v>
                </c:pt>
                <c:pt idx="324">
                  <c:v>47.182667402427732</c:v>
                </c:pt>
                <c:pt idx="325">
                  <c:v>47.014070878260469</c:v>
                </c:pt>
                <c:pt idx="326">
                  <c:v>46.847579783746397</c:v>
                </c:pt>
                <c:pt idx="327">
                  <c:v>46.683195943818049</c:v>
                </c:pt>
                <c:pt idx="328">
                  <c:v>46.518777017941638</c:v>
                </c:pt>
                <c:pt idx="329">
                  <c:v>46.354324547480928</c:v>
                </c:pt>
                <c:pt idx="330">
                  <c:v>46.189840068410987</c:v>
                </c:pt>
                <c:pt idx="331">
                  <c:v>46.025325111287415</c:v>
                </c:pt>
                <c:pt idx="332">
                  <c:v>45.860781201215893</c:v>
                </c:pt>
                <c:pt idx="333">
                  <c:v>45.696209857822367</c:v>
                </c:pt>
                <c:pt idx="334">
                  <c:v>45.531612595223493</c:v>
                </c:pt>
                <c:pt idx="335">
                  <c:v>45.366990921997477</c:v>
                </c:pt>
                <c:pt idx="336">
                  <c:v>45.20234634115544</c:v>
                </c:pt>
                <c:pt idx="337">
                  <c:v>45.037680350113085</c:v>
                </c:pt>
                <c:pt idx="338">
                  <c:v>44.872994440662765</c:v>
                </c:pt>
                <c:pt idx="339">
                  <c:v>44.708290098946158</c:v>
                </c:pt>
                <c:pt idx="340">
                  <c:v>44.543568805427</c:v>
                </c:pt>
                <c:pt idx="341">
                  <c:v>44.378832034864693</c:v>
                </c:pt>
                <c:pt idx="342">
                  <c:v>44.214081256287841</c:v>
                </c:pt>
                <c:pt idx="343">
                  <c:v>44.04931793296852</c:v>
                </c:pt>
                <c:pt idx="344">
                  <c:v>43.884543522396811</c:v>
                </c:pt>
                <c:pt idx="345">
                  <c:v>43.719759476255817</c:v>
                </c:pt>
                <c:pt idx="346">
                  <c:v>43.554967240397048</c:v>
                </c:pt>
                <c:pt idx="347">
                  <c:v>43.390168254816146</c:v>
                </c:pt>
                <c:pt idx="348">
                  <c:v>43.225363953629163</c:v>
                </c:pt>
                <c:pt idx="349">
                  <c:v>43.060555765049159</c:v>
                </c:pt>
                <c:pt idx="350">
                  <c:v>42.895745111363098</c:v>
                </c:pt>
                <c:pt idx="351">
                  <c:v>42.730933408909394</c:v>
                </c:pt>
                <c:pt idx="352">
                  <c:v>42.56612206805562</c:v>
                </c:pt>
                <c:pt idx="353">
                  <c:v>42.401312493176761</c:v>
                </c:pt>
                <c:pt idx="354">
                  <c:v>42.236506082633795</c:v>
                </c:pt>
                <c:pt idx="355">
                  <c:v>42.071704228752715</c:v>
                </c:pt>
                <c:pt idx="356">
                  <c:v>41.906908317803889</c:v>
                </c:pt>
                <c:pt idx="357">
                  <c:v>41.742119729981923</c:v>
                </c:pt>
                <c:pt idx="358">
                  <c:v>41.577339839385786</c:v>
                </c:pt>
                <c:pt idx="359">
                  <c:v>41.412570013999442</c:v>
                </c:pt>
                <c:pt idx="360">
                  <c:v>41.247811615672788</c:v>
                </c:pt>
                <c:pt idx="361">
                  <c:v>41.083066000103102</c:v>
                </c:pt>
                <c:pt idx="362">
                  <c:v>40.918334516816714</c:v>
                </c:pt>
                <c:pt idx="363">
                  <c:v>40.753618509151167</c:v>
                </c:pt>
                <c:pt idx="364">
                  <c:v>40.588919314237842</c:v>
                </c:pt>
                <c:pt idx="365">
                  <c:v>40.42423826298478</c:v>
                </c:pt>
                <c:pt idx="366">
                  <c:v>40.313976265460013</c:v>
                </c:pt>
                <c:pt idx="367">
                  <c:v>40.258129841565321</c:v>
                </c:pt>
                <c:pt idx="368">
                  <c:v>40.202259221739347</c:v>
                </c:pt>
                <c:pt idx="369">
                  <c:v>40.146364844283852</c:v>
                </c:pt>
                <c:pt idx="370">
                  <c:v>40.090447146683765</c:v>
                </c:pt>
                <c:pt idx="371">
                  <c:v>40.034506565600822</c:v>
                </c:pt>
                <c:pt idx="372">
                  <c:v>39.978543536867257</c:v>
                </c:pt>
                <c:pt idx="373">
                  <c:v>39.922558495479656</c:v>
                </c:pt>
                <c:pt idx="374">
                  <c:v>39.866551875592549</c:v>
                </c:pt>
                <c:pt idx="375">
                  <c:v>39.810524110512489</c:v>
                </c:pt>
                <c:pt idx="376">
                  <c:v>39.754475632691801</c:v>
                </c:pt>
                <c:pt idx="377">
                  <c:v>39.698406873722568</c:v>
                </c:pt>
                <c:pt idx="378">
                  <c:v>39.642318264330569</c:v>
                </c:pt>
                <c:pt idx="379">
                  <c:v>39.586210234369382</c:v>
                </c:pt>
                <c:pt idx="380">
                  <c:v>39.530083212814411</c:v>
                </c:pt>
                <c:pt idx="381">
                  <c:v>39.415191476054595</c:v>
                </c:pt>
                <c:pt idx="382">
                  <c:v>39.24154289075058</c:v>
                </c:pt>
                <c:pt idx="383">
                  <c:v>39.067931086636193</c:v>
                </c:pt>
                <c:pt idx="384">
                  <c:v>38.894357416837764</c:v>
                </c:pt>
                <c:pt idx="385">
                  <c:v>38.720823227366047</c:v>
                </c:pt>
                <c:pt idx="386">
                  <c:v>38.547329857103584</c:v>
                </c:pt>
                <c:pt idx="387">
                  <c:v>38.373878637792508</c:v>
                </c:pt>
                <c:pt idx="388">
                  <c:v>38.200470894022629</c:v>
                </c:pt>
                <c:pt idx="389">
                  <c:v>38.027107943220244</c:v>
                </c:pt>
                <c:pt idx="390">
                  <c:v>37.853791095636943</c:v>
                </c:pt>
                <c:pt idx="391">
                  <c:v>37.68052165433911</c:v>
                </c:pt>
                <c:pt idx="392">
                  <c:v>37.50730091519781</c:v>
                </c:pt>
                <c:pt idx="393">
                  <c:v>37.334130166878943</c:v>
                </c:pt>
                <c:pt idx="394">
                  <c:v>37.161010690833919</c:v>
                </c:pt>
                <c:pt idx="395">
                  <c:v>36.987943761290651</c:v>
                </c:pt>
                <c:pt idx="396">
                  <c:v>36.814930645245056</c:v>
                </c:pt>
                <c:pt idx="397">
                  <c:v>36.641972602452846</c:v>
                </c:pt>
                <c:pt idx="398">
                  <c:v>36.469070885421708</c:v>
                </c:pt>
                <c:pt idx="399">
                  <c:v>36.296226739404048</c:v>
                </c:pt>
                <c:pt idx="400">
                  <c:v>36.123441402389851</c:v>
                </c:pt>
                <c:pt idx="401">
                  <c:v>35.90457487248289</c:v>
                </c:pt>
                <c:pt idx="402">
                  <c:v>35.639638852522637</c:v>
                </c:pt>
                <c:pt idx="403">
                  <c:v>35.374816330660622</c:v>
                </c:pt>
                <c:pt idx="404">
                  <c:v>35.110109465736834</c:v>
                </c:pt>
                <c:pt idx="405">
                  <c:v>34.845520400896191</c:v>
                </c:pt>
                <c:pt idx="406">
                  <c:v>34.581051263582651</c:v>
                </c:pt>
                <c:pt idx="407">
                  <c:v>34.316704165534475</c:v>
                </c:pt>
                <c:pt idx="408">
                  <c:v>34.052481202780271</c:v>
                </c:pt>
                <c:pt idx="409">
                  <c:v>33.788384455636219</c:v>
                </c:pt>
                <c:pt idx="410">
                  <c:v>33.524415988704142</c:v>
                </c:pt>
                <c:pt idx="411">
                  <c:v>33.005835404087975</c:v>
                </c:pt>
                <c:pt idx="412">
                  <c:v>32.232722541960221</c:v>
                </c:pt>
                <c:pt idx="413">
                  <c:v>31.46006149874729</c:v>
                </c:pt>
                <c:pt idx="414">
                  <c:v>30.687863777278256</c:v>
                </c:pt>
                <c:pt idx="415">
                  <c:v>29.916140761809196</c:v>
                </c:pt>
                <c:pt idx="416">
                  <c:v>29.144903717917124</c:v>
                </c:pt>
                <c:pt idx="417">
                  <c:v>28.374163792409181</c:v>
                </c:pt>
                <c:pt idx="418">
                  <c:v>27.603932013246567</c:v>
                </c:pt>
                <c:pt idx="419">
                  <c:v>26.834219289483293</c:v>
                </c:pt>
                <c:pt idx="420">
                  <c:v>25.920236424935382</c:v>
                </c:pt>
                <c:pt idx="421">
                  <c:v>24.862062304626878</c:v>
                </c:pt>
                <c:pt idx="422">
                  <c:v>23.804659048300813</c:v>
                </c:pt>
                <c:pt idx="423">
                  <c:v>22.7480455154619</c:v>
                </c:pt>
                <c:pt idx="424">
                  <c:v>21.692240343422892</c:v>
                </c:pt>
                <c:pt idx="425">
                  <c:v>20.637261947134924</c:v>
                </c:pt>
                <c:pt idx="426">
                  <c:v>19.583128519052192</c:v>
                </c:pt>
                <c:pt idx="427">
                  <c:v>18.529858029030244</c:v>
                </c:pt>
                <c:pt idx="428">
                  <c:v>17.477468224257546</c:v>
                </c:pt>
                <c:pt idx="429">
                  <c:v>16.42597662922006</c:v>
                </c:pt>
                <c:pt idx="430">
                  <c:v>15.375400545698289</c:v>
                </c:pt>
                <c:pt idx="431">
                  <c:v>14.325757052796373</c:v>
                </c:pt>
                <c:pt idx="432">
                  <c:v>13.043951652523543</c:v>
                </c:pt>
                <c:pt idx="433">
                  <c:v>11.53017536377585</c:v>
                </c:pt>
                <c:pt idx="434">
                  <c:v>10.017836796623342</c:v>
                </c:pt>
                <c:pt idx="435">
                  <c:v>8.5069697267932227</c:v>
                </c:pt>
                <c:pt idx="436">
                  <c:v>6.9976074671814228</c:v>
                </c:pt>
                <c:pt idx="437">
                  <c:v>5.489782867568886</c:v>
                </c:pt>
                <c:pt idx="438">
                  <c:v>3.9835283144272893</c:v>
                </c:pt>
                <c:pt idx="439">
                  <c:v>2.4788757308130105</c:v>
                </c:pt>
                <c:pt idx="440">
                  <c:v>0.97585657634817302</c:v>
                </c:pt>
                <c:pt idx="441">
                  <c:v>-0.52549815271237854</c:v>
                </c:pt>
                <c:pt idx="442">
                  <c:v>-1.8836744903463716</c:v>
                </c:pt>
                <c:pt idx="443">
                  <c:v>-3.0987914872649318</c:v>
                </c:pt>
                <c:pt idx="444">
                  <c:v>-4.3124951329465402</c:v>
                </c:pt>
                <c:pt idx="445">
                  <c:v>-5.5247668385037576</c:v>
                </c:pt>
                <c:pt idx="446">
                  <c:v>-6.7355883167544732</c:v>
                </c:pt>
                <c:pt idx="447">
                  <c:v>-7.9449415815772646</c:v>
                </c:pt>
                <c:pt idx="448">
                  <c:v>-9.1528089472274932</c:v>
                </c:pt>
                <c:pt idx="449">
                  <c:v>-10.359173027614942</c:v>
                </c:pt>
                <c:pt idx="450">
                  <c:v>-11.564016735543307</c:v>
                </c:pt>
                <c:pt idx="451">
                  <c:v>-12.767323281912853</c:v>
                </c:pt>
                <c:pt idx="452">
                  <c:v>-13.969076174886379</c:v>
                </c:pt>
                <c:pt idx="453">
                  <c:v>-14.966769910130626</c:v>
                </c:pt>
                <c:pt idx="454">
                  <c:v>-15.76065158541191</c:v>
                </c:pt>
                <c:pt idx="455">
                  <c:v>-16.553490125179938</c:v>
                </c:pt>
                <c:pt idx="456">
                  <c:v>-17.345280089547689</c:v>
                </c:pt>
                <c:pt idx="457">
                  <c:v>-18.136016161965898</c:v>
                </c:pt>
                <c:pt idx="458">
                  <c:v>-18.925693148616809</c:v>
                </c:pt>
                <c:pt idx="459">
                  <c:v>-19.71430597780116</c:v>
                </c:pt>
                <c:pt idx="460">
                  <c:v>-20.501849699318701</c:v>
                </c:pt>
                <c:pt idx="461">
                  <c:v>-21.10614384221352</c:v>
                </c:pt>
                <c:pt idx="462">
                  <c:v>-21.527438965899133</c:v>
                </c:pt>
                <c:pt idx="463">
                  <c:v>-21.948176724248796</c:v>
                </c:pt>
                <c:pt idx="464">
                  <c:v>-22.368356924801059</c:v>
                </c:pt>
                <c:pt idx="465">
                  <c:v>-22.787979404740618</c:v>
                </c:pt>
                <c:pt idx="466">
                  <c:v>-23.36006850044317</c:v>
                </c:pt>
                <c:pt idx="467">
                  <c:v>-24.08440420498194</c:v>
                </c:pt>
                <c:pt idx="468">
                  <c:v>-26.51179410071979</c:v>
                </c:pt>
                <c:pt idx="469">
                  <c:v>-28.554323615812692</c:v>
                </c:pt>
                <c:pt idx="470">
                  <c:v>-28.508514229672024</c:v>
                </c:pt>
                <c:pt idx="471">
                  <c:v>-28.462840752959814</c:v>
                </c:pt>
                <c:pt idx="472">
                  <c:v>-28.417302643529567</c:v>
                </c:pt>
                <c:pt idx="473">
                  <c:v>-28.371899361953815</c:v>
                </c:pt>
                <c:pt idx="474">
                  <c:v>-28.326630371507544</c:v>
                </c:pt>
                <c:pt idx="475">
                  <c:v>-28.281495138151907</c:v>
                </c:pt>
                <c:pt idx="476">
                  <c:v>-28.236493130517903</c:v>
                </c:pt>
                <c:pt idx="477">
                  <c:v>-28.191623819890264</c:v>
                </c:pt>
                <c:pt idx="478">
                  <c:v>-28.146886680191468</c:v>
                </c:pt>
                <c:pt idx="479">
                  <c:v>-28.102281187965723</c:v>
                </c:pt>
                <c:pt idx="480">
                  <c:v>-28.057806822363329</c:v>
                </c:pt>
                <c:pt idx="481">
                  <c:v>-28.013463065124832</c:v>
                </c:pt>
                <c:pt idx="482">
                  <c:v>-27.969249400565509</c:v>
                </c:pt>
                <c:pt idx="483">
                  <c:v>-27.92516531555993</c:v>
                </c:pt>
                <c:pt idx="484">
                  <c:v>-27.8812102995266</c:v>
                </c:pt>
                <c:pt idx="485">
                  <c:v>-27.837383844412614</c:v>
                </c:pt>
                <c:pt idx="486">
                  <c:v>-27.793685444678633</c:v>
                </c:pt>
                <c:pt idx="487">
                  <c:v>-27.750114597283744</c:v>
                </c:pt>
                <c:pt idx="488">
                  <c:v>-27.706670801670612</c:v>
                </c:pt>
                <c:pt idx="489">
                  <c:v>-27.663353559750615</c:v>
                </c:pt>
                <c:pt idx="490">
                  <c:v>-27.620162375889066</c:v>
                </c:pt>
                <c:pt idx="491">
                  <c:v>-27.57709675689069</c:v>
                </c:pt>
                <c:pt idx="492">
                  <c:v>-27.534156211985042</c:v>
                </c:pt>
                <c:pt idx="493">
                  <c:v>-27.491340252812069</c:v>
                </c:pt>
                <c:pt idx="494">
                  <c:v>-27.448648393407833</c:v>
                </c:pt>
                <c:pt idx="495">
                  <c:v>-27.406080150190299</c:v>
                </c:pt>
                <c:pt idx="496">
                  <c:v>-27.363635041945145</c:v>
                </c:pt>
                <c:pt idx="497">
                  <c:v>-27.321312589811804</c:v>
                </c:pt>
                <c:pt idx="498">
                  <c:v>-27.279112317269529</c:v>
                </c:pt>
                <c:pt idx="499">
                  <c:v>-27.237033750123512</c:v>
                </c:pt>
                <c:pt idx="500">
                  <c:v>-27.195076416491236</c:v>
                </c:pt>
                <c:pt idx="501">
                  <c:v>-27.153239846788715</c:v>
                </c:pt>
                <c:pt idx="502">
                  <c:v>-26.738909524195506</c:v>
                </c:pt>
                <c:pt idx="503">
                  <c:v>-26.336326082831945</c:v>
                </c:pt>
                <c:pt idx="504">
                  <c:v>-25.945044913950227</c:v>
                </c:pt>
                <c:pt idx="505">
                  <c:v>-25.564642382310289</c:v>
                </c:pt>
                <c:pt idx="506">
                  <c:v>-25.194714637594139</c:v>
                </c:pt>
                <c:pt idx="507">
                  <c:v>-24.834876503879894</c:v>
                </c:pt>
                <c:pt idx="508">
                  <c:v>-24.484760441341649</c:v>
                </c:pt>
                <c:pt idx="509">
                  <c:v>-24.144015574827932</c:v>
                </c:pt>
                <c:pt idx="510">
                  <c:v>-23.812306784414112</c:v>
                </c:pt>
                <c:pt idx="511">
                  <c:v>-23.489313853425571</c:v>
                </c:pt>
                <c:pt idx="512">
                  <c:v>-23.174730669794172</c:v>
                </c:pt>
                <c:pt idx="513">
                  <c:v>-22.868264476942976</c:v>
                </c:pt>
                <c:pt idx="514">
                  <c:v>-22.569635170697666</c:v>
                </c:pt>
                <c:pt idx="515">
                  <c:v>-22.278574638999157</c:v>
                </c:pt>
                <c:pt idx="516">
                  <c:v>-21.994826141444634</c:v>
                </c:pt>
                <c:pt idx="517">
                  <c:v>-21.718143725914434</c:v>
                </c:pt>
                <c:pt idx="518">
                  <c:v>-21.448291679753183</c:v>
                </c:pt>
                <c:pt idx="519">
                  <c:v>-21.185044013166227</c:v>
                </c:pt>
                <c:pt idx="520">
                  <c:v>-20.928183972669224</c:v>
                </c:pt>
                <c:pt idx="521">
                  <c:v>-20.677503582590354</c:v>
                </c:pt>
                <c:pt idx="522">
                  <c:v>-20.432803212773265</c:v>
                </c:pt>
                <c:pt idx="523">
                  <c:v>-20.193891170764896</c:v>
                </c:pt>
                <c:pt idx="524">
                  <c:v>-19.960583316897591</c:v>
                </c:pt>
                <c:pt idx="525">
                  <c:v>-19.732702700789908</c:v>
                </c:pt>
                <c:pt idx="526">
                  <c:v>-19.510079217896291</c:v>
                </c:pt>
                <c:pt idx="527">
                  <c:v>-19.292549284833051</c:v>
                </c:pt>
                <c:pt idx="528">
                  <c:v>-19.079955532298158</c:v>
                </c:pt>
                <c:pt idx="529">
                  <c:v>-18.87214651448441</c:v>
                </c:pt>
                <c:pt idx="530">
                  <c:v>-18.668976433962424</c:v>
                </c:pt>
                <c:pt idx="531">
                  <c:v>-18.47030488107978</c:v>
                </c:pt>
                <c:pt idx="532">
                  <c:v>-18.275996586987862</c:v>
                </c:pt>
                <c:pt idx="533">
                  <c:v>-18.085921189467882</c:v>
                </c:pt>
                <c:pt idx="534">
                  <c:v>-17.899953010783083</c:v>
                </c:pt>
                <c:pt idx="535">
                  <c:v>-17.717970846835499</c:v>
                </c:pt>
                <c:pt idx="536">
                  <c:v>-17.539857766953041</c:v>
                </c:pt>
                <c:pt idx="537">
                  <c:v>-17.365500923676954</c:v>
                </c:pt>
                <c:pt idx="538">
                  <c:v>-17.194791371960033</c:v>
                </c:pt>
                <c:pt idx="539">
                  <c:v>-17.027623897224206</c:v>
                </c:pt>
                <c:pt idx="540">
                  <c:v>-16.863896851760941</c:v>
                </c:pt>
                <c:pt idx="541">
                  <c:v>-16.703511998990365</c:v>
                </c:pt>
                <c:pt idx="542">
                  <c:v>-16.546374365125388</c:v>
                </c:pt>
                <c:pt idx="543">
                  <c:v>-16.392392097815076</c:v>
                </c:pt>
                <c:pt idx="544">
                  <c:v>-16.241476331367391</c:v>
                </c:pt>
                <c:pt idx="545">
                  <c:v>-16.093541058175951</c:v>
                </c:pt>
                <c:pt idx="546">
                  <c:v>-15.948503005997662</c:v>
                </c:pt>
                <c:pt idx="547">
                  <c:v>-15.806281520749192</c:v>
                </c:pt>
                <c:pt idx="548">
                  <c:v>-15.666798454509571</c:v>
                </c:pt>
                <c:pt idx="549">
                  <c:v>-15.5299780584345</c:v>
                </c:pt>
                <c:pt idx="550">
                  <c:v>-15.395746880304529</c:v>
                </c:pt>
                <c:pt idx="551">
                  <c:v>-15.264033666445261</c:v>
                </c:pt>
                <c:pt idx="552">
                  <c:v>-15.1347692677721</c:v>
                </c:pt>
                <c:pt idx="553">
                  <c:v>-15.00788654972566</c:v>
                </c:pt>
                <c:pt idx="554">
                  <c:v>-14.883320305876754</c:v>
                </c:pt>
                <c:pt idx="555">
                  <c:v>-14.761007174991503</c:v>
                </c:pt>
                <c:pt idx="556">
                  <c:v>-14.64088556135799</c:v>
                </c:pt>
                <c:pt idx="557">
                  <c:v>-14.522895558186322</c:v>
                </c:pt>
                <c:pt idx="558">
                  <c:v>-14.406978873903089</c:v>
                </c:pt>
                <c:pt idx="559">
                  <c:v>-14.293078761170262</c:v>
                </c:pt>
                <c:pt idx="560">
                  <c:v>-14.181139948466583</c:v>
                </c:pt>
                <c:pt idx="561">
                  <c:v>-14.071108574077154</c:v>
                </c:pt>
                <c:pt idx="562">
                  <c:v>-13.962932122343855</c:v>
                </c:pt>
                <c:pt idx="563">
                  <c:v>-13.856559362035828</c:v>
                </c:pt>
                <c:pt idx="564">
                  <c:v>-13.75194028670515</c:v>
                </c:pt>
                <c:pt idx="565">
                  <c:v>-13.649026056898451</c:v>
                </c:pt>
                <c:pt idx="566">
                  <c:v>-13.54776894410023</c:v>
                </c:pt>
                <c:pt idx="567">
                  <c:v>-13.4481222762884</c:v>
                </c:pt>
                <c:pt idx="568">
                  <c:v>-13.350040384986748</c:v>
                </c:pt>
                <c:pt idx="569">
                  <c:v>-13.253478553703044</c:v>
                </c:pt>
                <c:pt idx="570">
                  <c:v>-13.158392967644939</c:v>
                </c:pt>
                <c:pt idx="571">
                  <c:v>-13.064740664609095</c:v>
                </c:pt>
                <c:pt idx="572">
                  <c:v>-12.972479486941802</c:v>
                </c:pt>
                <c:pt idx="573">
                  <c:v>-12.881568034471867</c:v>
                </c:pt>
                <c:pt idx="574">
                  <c:v>-12.791965618318935</c:v>
                </c:pt>
                <c:pt idx="575">
                  <c:v>-12.703632215482203</c:v>
                </c:pt>
                <c:pt idx="576">
                  <c:v>-12.616528424116302</c:v>
                </c:pt>
                <c:pt idx="577">
                  <c:v>-12.530615419402377</c:v>
                </c:pt>
                <c:pt idx="578">
                  <c:v>-12.445854909923765</c:v>
                </c:pt>
                <c:pt idx="579">
                  <c:v>-12.362209094456279</c:v>
                </c:pt>
                <c:pt idx="580">
                  <c:v>-12.279640619083954</c:v>
                </c:pt>
                <c:pt idx="581">
                  <c:v>-12.198112534551459</c:v>
                </c:pt>
                <c:pt idx="582">
                  <c:v>-12.117588253764437</c:v>
                </c:pt>
                <c:pt idx="583">
                  <c:v>-12.038031509349127</c:v>
                </c:pt>
                <c:pt idx="584">
                  <c:v>-11.959406311182221</c:v>
                </c:pt>
                <c:pt idx="585">
                  <c:v>-11.881676903801456</c:v>
                </c:pt>
                <c:pt idx="586">
                  <c:v>-11.804807723606711</c:v>
                </c:pt>
                <c:pt idx="587">
                  <c:v>-11.728763355760526</c:v>
                </c:pt>
                <c:pt idx="588">
                  <c:v>-11.653508490695788</c:v>
                </c:pt>
                <c:pt idx="589">
                  <c:v>-11.579007880137128</c:v>
                </c:pt>
                <c:pt idx="590">
                  <c:v>-11.505226292541114</c:v>
                </c:pt>
                <c:pt idx="591">
                  <c:v>-11.4321284678587</c:v>
                </c:pt>
                <c:pt idx="592">
                  <c:v>-11.359679071521743</c:v>
                </c:pt>
                <c:pt idx="593">
                  <c:v>-11.287842647553443</c:v>
                </c:pt>
                <c:pt idx="594">
                  <c:v>-11.216583570700791</c:v>
                </c:pt>
                <c:pt idx="595">
                  <c:v>-11.145865997484874</c:v>
                </c:pt>
                <c:pt idx="596">
                  <c:v>-11.075653816063083</c:v>
                </c:pt>
                <c:pt idx="597">
                  <c:v>-11.005910594795049</c:v>
                </c:pt>
                <c:pt idx="598">
                  <c:v>-10.936599529402192</c:v>
                </c:pt>
                <c:pt idx="599">
                  <c:v>-10.867683388608899</c:v>
                </c:pt>
                <c:pt idx="600">
                  <c:v>-10.799124458151494</c:v>
                </c:pt>
                <c:pt idx="601">
                  <c:v>-10.730884483039727</c:v>
                </c:pt>
                <c:pt idx="602">
                  <c:v>-10.662924607954192</c:v>
                </c:pt>
                <c:pt idx="603">
                  <c:v>-10.59520531566235</c:v>
                </c:pt>
                <c:pt idx="604">
                  <c:v>-10.527686363335377</c:v>
                </c:pt>
                <c:pt idx="605">
                  <c:v>-10.460326716648522</c:v>
                </c:pt>
                <c:pt idx="606">
                  <c:v>-10.393084481548627</c:v>
                </c:pt>
                <c:pt idx="607">
                  <c:v>-10.325916833574636</c:v>
                </c:pt>
                <c:pt idx="608">
                  <c:v>-10.258779944620018</c:v>
                </c:pt>
                <c:pt idx="609">
                  <c:v>-10.19162890703077</c:v>
                </c:pt>
                <c:pt idx="610">
                  <c:v>-10.124417654938778</c:v>
                </c:pt>
                <c:pt idx="611">
                  <c:v>-10.057098882738657</c:v>
                </c:pt>
                <c:pt idx="612">
                  <c:v>-9.9896239606265187</c:v>
                </c:pt>
                <c:pt idx="613">
                  <c:v>-9.9219428471325415</c:v>
                </c:pt>
                <c:pt idx="614">
                  <c:v>-9.8540039985952479</c:v>
                </c:pt>
                <c:pt idx="615">
                  <c:v>-9.7857542755456883</c:v>
                </c:pt>
                <c:pt idx="616">
                  <c:v>-9.717138845993631</c:v>
                </c:pt>
                <c:pt idx="617">
                  <c:v>-9.6481010856371938</c:v>
                </c:pt>
                <c:pt idx="618">
                  <c:v>-9.5785824750518334</c:v>
                </c:pt>
                <c:pt idx="619">
                  <c:v>-9.5085224939559225</c:v>
                </c:pt>
                <c:pt idx="620">
                  <c:v>-9.4378585126984973</c:v>
                </c:pt>
                <c:pt idx="621">
                  <c:v>-9.3665256811717299</c:v>
                </c:pt>
                <c:pt idx="622">
                  <c:v>-9.2944568154170959</c:v>
                </c:pt>
                <c:pt idx="623">
                  <c:v>-9.221582282271374</c:v>
                </c:pt>
                <c:pt idx="624">
                  <c:v>-9.1478298824880984</c:v>
                </c:pt>
                <c:pt idx="625">
                  <c:v>-9.0731247328730973</c:v>
                </c:pt>
                <c:pt idx="626">
                  <c:v>-8.99738914809123</c:v>
                </c:pt>
                <c:pt idx="627">
                  <c:v>-8.9205425229368718</c:v>
                </c:pt>
                <c:pt idx="628">
                  <c:v>-8.8425012160152221</c:v>
                </c:pt>
                <c:pt idx="629">
                  <c:v>-8.7631784359567533</c:v>
                </c:pt>
                <c:pt idx="630">
                  <c:v>-8.6824841314854595</c:v>
                </c:pt>
                <c:pt idx="631">
                  <c:v>-8.6003248868847564</c:v>
                </c:pt>
                <c:pt idx="632">
                  <c:v>-8.5166038246550446</c:v>
                </c:pt>
                <c:pt idx="633">
                  <c:v>-8.4312205174361203</c:v>
                </c:pt>
                <c:pt idx="634">
                  <c:v>-8.3440709115771501</c:v>
                </c:pt>
                <c:pt idx="635">
                  <c:v>-8.2550472650787263</c:v>
                </c:pt>
                <c:pt idx="636">
                  <c:v>-8.1640381030059572</c:v>
                </c:pt>
                <c:pt idx="637">
                  <c:v>-8.0709281938794248</c:v>
                </c:pt>
                <c:pt idx="638">
                  <c:v>-7.9755985509909664</c:v>
                </c:pt>
                <c:pt idx="639">
                  <c:v>-7.8779264630624537</c:v>
                </c:pt>
                <c:pt idx="640">
                  <c:v>-7.7777855591641289</c:v>
                </c:pt>
                <c:pt idx="641">
                  <c:v>-7.6750459133299298</c:v>
                </c:pt>
                <c:pt idx="642">
                  <c:v>-7.5695741948429198</c:v>
                </c:pt>
                <c:pt idx="643">
                  <c:v>-7.4612338707041532</c:v>
                </c:pt>
                <c:pt idx="644">
                  <c:v>-7.3498854673294467</c:v>
                </c:pt>
                <c:pt idx="645">
                  <c:v>-7.2353868990232009</c:v>
                </c:pt>
                <c:pt idx="646">
                  <c:v>-7.1175938712343365</c:v>
                </c:pt>
                <c:pt idx="647">
                  <c:v>-6.9963603669796779</c:v>
                </c:pt>
                <c:pt idx="648">
                  <c:v>-6.8715392250920697</c:v>
                </c:pt>
                <c:pt idx="649">
                  <c:v>-6.7429828190751824</c:v>
                </c:pt>
                <c:pt idx="650">
                  <c:v>-6.6105438452799845</c:v>
                </c:pt>
                <c:pt idx="651">
                  <c:v>-6.4740762288079159</c:v>
                </c:pt>
                <c:pt idx="652">
                  <c:v>-6.3334361549364955</c:v>
                </c:pt>
                <c:pt idx="653">
                  <c:v>-6.1884832328935042</c:v>
                </c:pt>
                <c:pt idx="654">
                  <c:v>-6.0390817974117796</c:v>
                </c:pt>
                <c:pt idx="655">
                  <c:v>-5.8851023516139325</c:v>
                </c:pt>
                <c:pt idx="656">
                  <c:v>-5.7264231523436955</c:v>
                </c:pt>
                <c:pt idx="657">
                  <c:v>-5.5629319360246594</c:v>
                </c:pt>
                <c:pt idx="658">
                  <c:v>-5.3945277794476176</c:v>
                </c:pt>
                <c:pt idx="659">
                  <c:v>-5.2211230855447575</c:v>
                </c:pt>
                <c:pt idx="660">
                  <c:v>-5.0426456792100431</c:v>
                </c:pt>
                <c:pt idx="661">
                  <c:v>-4.8590409926143989</c:v>
                </c:pt>
                <c:pt idx="662">
                  <c:v>-4.6702743133301574</c:v>
                </c:pt>
                <c:pt idx="663">
                  <c:v>-4.4763330620623325</c:v>
                </c:pt>
                <c:pt idx="664">
                  <c:v>-4.2772290600843945</c:v>
                </c:pt>
                <c:pt idx="665">
                  <c:v>-4.07300073985461</c:v>
                </c:pt>
                <c:pt idx="666">
                  <c:v>-3.8637152460690976</c:v>
                </c:pt>
                <c:pt idx="667">
                  <c:v>-3.6494703689685704</c:v>
                </c:pt>
                <c:pt idx="668">
                  <c:v>-3.4303962474795924</c:v>
                </c:pt>
                <c:pt idx="669">
                  <c:v>-3.2066567771846364</c:v>
                </c:pt>
                <c:pt idx="670">
                  <c:v>-2.9784506576212206</c:v>
                </c:pt>
                <c:pt idx="671">
                  <c:v>-2.746012015414752</c:v>
                </c:pt>
                <c:pt idx="672">
                  <c:v>-2.5096105445819514</c:v>
                </c:pt>
                <c:pt idx="673">
                  <c:v>-2.2695511132135069</c:v>
                </c:pt>
                <c:pt idx="674">
                  <c:v>-2.0261727967101644</c:v>
                </c:pt>
                <c:pt idx="675">
                  <c:v>-1.7798473116688822</c:v>
                </c:pt>
                <c:pt idx="676">
                  <c:v>-1.5309768410451323</c:v>
                </c:pt>
                <c:pt idx="677">
                  <c:v>-1.2799912597852685</c:v>
                </c:pt>
                <c:pt idx="678">
                  <c:v>-1.0273447899557429</c:v>
                </c:pt>
                <c:pt idx="679">
                  <c:v>-0.77351213455139245</c:v>
                </c:pt>
                <c:pt idx="680">
                  <c:v>-0.51898415858840852</c:v>
                </c:pt>
                <c:pt idx="681">
                  <c:v>-0.26426320368569772</c:v>
                </c:pt>
                <c:pt idx="682">
                  <c:v>-9.8581370645143274E-3</c:v>
                </c:pt>
                <c:pt idx="683">
                  <c:v>0.24372075316242359</c:v>
                </c:pt>
                <c:pt idx="684">
                  <c:v>0.49596689808350419</c:v>
                </c:pt>
                <c:pt idx="685">
                  <c:v>0.74638250358102842</c:v>
                </c:pt>
                <c:pt idx="686">
                  <c:v>0.99448340499958554</c:v>
                </c:pt>
                <c:pt idx="687">
                  <c:v>1.2398036127091339</c:v>
                </c:pt>
                <c:pt idx="688">
                  <c:v>1.4818994528840106</c:v>
                </c:pt>
                <c:pt idx="689">
                  <c:v>1.7203532237932115</c:v>
                </c:pt>
                <c:pt idx="690">
                  <c:v>1.9547763063698866</c:v>
                </c:pt>
                <c:pt idx="691">
                  <c:v>2.1848116877225205</c:v>
                </c:pt>
                <c:pt idx="692">
                  <c:v>2.4101358764746585</c:v>
                </c:pt>
                <c:pt idx="693">
                  <c:v>2.6304602083491684</c:v>
                </c:pt>
                <c:pt idx="694">
                  <c:v>2.8455315583571288</c:v>
                </c:pt>
                <c:pt idx="695">
                  <c:v>3.0551324916060483</c:v>
                </c:pt>
                <c:pt idx="696">
                  <c:v>3.259080897616061</c:v>
                </c:pt>
                <c:pt idx="697">
                  <c:v>3.4572291628549623</c:v>
                </c:pt>
                <c:pt idx="698">
                  <c:v>3.6494629429104242</c:v>
                </c:pt>
                <c:pt idx="699">
                  <c:v>3.8356995994283443</c:v>
                </c:pt>
                <c:pt idx="700">
                  <c:v>4.0158863679227945</c:v>
                </c:pt>
                <c:pt idx="701">
                  <c:v>4.1899983211712977</c:v>
                </c:pt>
                <c:pt idx="702">
                  <c:v>4.3580361895770245</c:v>
                </c:pt>
                <c:pt idx="703">
                  <c:v>4.5200240950594157</c:v>
                </c:pt>
                <c:pt idx="704">
                  <c:v>4.676007249170623</c:v>
                </c:pt>
                <c:pt idx="705">
                  <c:v>4.8260496596396472</c:v>
                </c:pt>
                <c:pt idx="706">
                  <c:v>4.970231882781035</c:v>
                </c:pt>
                <c:pt idx="707">
                  <c:v>5.1086488524742517</c:v>
                </c:pt>
                <c:pt idx="708">
                  <c:v>5.2414078099630919</c:v>
                </c:pt>
                <c:pt idx="709">
                  <c:v>5.3686263527197973</c:v>
                </c:pt>
                <c:pt idx="710">
                  <c:v>5.4904306151870488</c:v>
                </c:pt>
                <c:pt idx="711">
                  <c:v>5.6069535894231475</c:v>
                </c:pt>
                <c:pt idx="712">
                  <c:v>5.7183335895603067</c:v>
                </c:pt>
                <c:pt idx="713">
                  <c:v>5.8247128605387735</c:v>
                </c:pt>
                <c:pt idx="714">
                  <c:v>5.9262363287706483</c:v>
                </c:pt>
                <c:pt idx="715">
                  <c:v>6.0230504901698119</c:v>
                </c:pt>
                <c:pt idx="716">
                  <c:v>6.1153024292999953</c:v>
                </c:pt>
                <c:pt idx="717">
                  <c:v>6.2031389621777038</c:v>
                </c:pt>
                <c:pt idx="718">
                  <c:v>6.2867058944547018</c:v>
                </c:pt>
                <c:pt idx="719">
                  <c:v>6.3661473862319777</c:v>
                </c:pt>
                <c:pt idx="720">
                  <c:v>6.4416054145631225</c:v>
                </c:pt>
                <c:pt idx="721">
                  <c:v>6.5132193247344832</c:v>
                </c:pt>
                <c:pt idx="722">
                  <c:v>6.5811254616133121</c:v>
                </c:pt>
                <c:pt idx="723">
                  <c:v>6.6454568726900121</c:v>
                </c:pt>
                <c:pt idx="724">
                  <c:v>6.7063430748702242</c:v>
                </c:pt>
                <c:pt idx="725">
                  <c:v>6.7639098775656263</c:v>
                </c:pt>
                <c:pt idx="726">
                  <c:v>6.8182792551641764</c:v>
                </c:pt>
                <c:pt idx="727">
                  <c:v>6.8695692625101854</c:v>
                </c:pt>
                <c:pt idx="728">
                  <c:v>6.9178939875765408</c:v>
                </c:pt>
                <c:pt idx="729">
                  <c:v>6.963363536053043</c:v>
                </c:pt>
                <c:pt idx="730">
                  <c:v>7.0060840430971565</c:v>
                </c:pt>
                <c:pt idx="731">
                  <c:v>7.0461577079899831</c:v>
                </c:pt>
                <c:pt idx="732">
                  <c:v>7.0836828479068323</c:v>
                </c:pt>
                <c:pt idx="733">
                  <c:v>7.118753967445361</c:v>
                </c:pt>
                <c:pt idx="734">
                  <c:v>7.1514618409543314</c:v>
                </c:pt>
                <c:pt idx="735">
                  <c:v>7.1818936050716671</c:v>
                </c:pt>
                <c:pt idx="736">
                  <c:v>7.21013285921308</c:v>
                </c:pt>
                <c:pt idx="737">
                  <c:v>7.2362597720526542</c:v>
                </c:pt>
                <c:pt idx="738">
                  <c:v>7.2603511923064854</c:v>
                </c:pt>
                <c:pt idx="739">
                  <c:v>7.2824807623714136</c:v>
                </c:pt>
                <c:pt idx="740">
                  <c:v>7.3027190335852188</c:v>
                </c:pt>
                <c:pt idx="741">
                  <c:v>7.3211335820643821</c:v>
                </c:pt>
                <c:pt idx="742">
                  <c:v>7.3377891242428239</c:v>
                </c:pt>
                <c:pt idx="743">
                  <c:v>7.3527476313819129</c:v>
                </c:pt>
                <c:pt idx="744">
                  <c:v>7.3660684424504801</c:v>
                </c:pt>
                <c:pt idx="745">
                  <c:v>7.3778083748854764</c:v>
                </c:pt>
                <c:pt idx="746">
                  <c:v>7.388021832840904</c:v>
                </c:pt>
                <c:pt idx="747">
                  <c:v>7.3967609126165588</c:v>
                </c:pt>
                <c:pt idx="748">
                  <c:v>7.4040755050302005</c:v>
                </c:pt>
                <c:pt idx="749">
                  <c:v>7.4100133945584359</c:v>
                </c:pt>
                <c:pt idx="750">
                  <c:v>7.4146203551244119</c:v>
                </c:pt>
                <c:pt idx="751">
                  <c:v>7.4179402424547112</c:v>
                </c:pt>
                <c:pt idx="752">
                  <c:v>7.4200150829657137</c:v>
                </c:pt>
                <c:pt idx="753">
                  <c:v>7.4208851591708598</c:v>
                </c:pt>
                <c:pt idx="754">
                  <c:v>7.4205890916265238</c:v>
                </c:pt>
                <c:pt idx="755">
                  <c:v>7.4191639174555943</c:v>
                </c:pt>
                <c:pt idx="756">
                  <c:v>7.4166451655053924</c:v>
                </c:pt>
                <c:pt idx="757">
                  <c:v>7.4130669282105224</c:v>
                </c:pt>
                <c:pt idx="758">
                  <c:v>7.4084619302424262</c:v>
                </c:pt>
                <c:pt idx="759">
                  <c:v>7.4028615940358566</c:v>
                </c:pt>
                <c:pt idx="760">
                  <c:v>7.3962961022889608</c:v>
                </c:pt>
                <c:pt idx="761">
                  <c:v>7.3887944575381503</c:v>
                </c:pt>
                <c:pt idx="762">
                  <c:v>7.3803845389120628</c:v>
                </c:pt>
                <c:pt idx="763">
                  <c:v>7.3710931561704855</c:v>
                </c:pt>
                <c:pt idx="764">
                  <c:v>7.3609461011349167</c:v>
                </c:pt>
                <c:pt idx="765">
                  <c:v>7.3499681966170591</c:v>
                </c:pt>
                <c:pt idx="766">
                  <c:v>7.3381833429505985</c:v>
                </c:pt>
                <c:pt idx="767">
                  <c:v>7.3256145622300428</c:v>
                </c:pt>
                <c:pt idx="768">
                  <c:v>7.3122840403582821</c:v>
                </c:pt>
                <c:pt idx="769">
                  <c:v>7.2982131670020962</c:v>
                </c:pt>
                <c:pt idx="770">
                  <c:v>7.283422573552091</c:v>
                </c:pt>
                <c:pt idx="771">
                  <c:v>7.2679321691805834</c:v>
                </c:pt>
                <c:pt idx="772">
                  <c:v>7.2517611750877835</c:v>
                </c:pt>
                <c:pt idx="773">
                  <c:v>7.234928157023484</c:v>
                </c:pt>
                <c:pt idx="774">
                  <c:v>7.2174510561680139</c:v>
                </c:pt>
                <c:pt idx="775">
                  <c:v>7.1993472184530747</c:v>
                </c:pt>
                <c:pt idx="776">
                  <c:v>7.1806334223995973</c:v>
                </c:pt>
                <c:pt idx="777">
                  <c:v>7.1613259055465432</c:v>
                </c:pt>
                <c:pt idx="778">
                  <c:v>7.141440389541323</c:v>
                </c:pt>
                <c:pt idx="779">
                  <c:v>7.1209921039592876</c:v>
                </c:pt>
                <c:pt idx="780">
                  <c:v>7.0999958089166793</c:v>
                </c:pt>
                <c:pt idx="781">
                  <c:v>7.0784658165383672</c:v>
                </c:pt>
                <c:pt idx="782">
                  <c:v>7.0564160113388308</c:v>
                </c:pt>
                <c:pt idx="783">
                  <c:v>7.0338598695719092</c:v>
                </c:pt>
                <c:pt idx="784">
                  <c:v>7.0108104776022895</c:v>
                </c:pt>
                <c:pt idx="785">
                  <c:v>6.9872805493488457</c:v>
                </c:pt>
                <c:pt idx="786">
                  <c:v>6.9632824428476763</c:v>
                </c:pt>
                <c:pt idx="787">
                  <c:v>6.9388281759800954</c:v>
                </c:pt>
                <c:pt idx="788">
                  <c:v>6.9139294414085724</c:v>
                </c:pt>
                <c:pt idx="789">
                  <c:v>6.8885976207614927</c:v>
                </c:pt>
                <c:pt idx="790">
                  <c:v>6.86284379810537</c:v>
                </c:pt>
                <c:pt idx="791">
                  <c:v>6.8366787727412692</c:v>
                </c:pt>
                <c:pt idx="792">
                  <c:v>6.8101130713602007</c:v>
                </c:pt>
                <c:pt idx="793">
                  <c:v>6.7831569595904861</c:v>
                </c:pt>
                <c:pt idx="794">
                  <c:v>6.7558204529683277</c:v>
                </c:pt>
                <c:pt idx="795">
                  <c:v>6.7281133273612408</c:v>
                </c:pt>
                <c:pt idx="796">
                  <c:v>6.7000451288723362</c:v>
                </c:pt>
                <c:pt idx="797">
                  <c:v>6.6716251832521358</c:v>
                </c:pt>
                <c:pt idx="798">
                  <c:v>6.6428626048430068</c:v>
                </c:pt>
                <c:pt idx="799">
                  <c:v>6.6137663050801514</c:v>
                </c:pt>
                <c:pt idx="800">
                  <c:v>6.5843450005717301</c:v>
                </c:pt>
                <c:pt idx="801">
                  <c:v>6.5546072207794825</c:v>
                </c:pt>
                <c:pt idx="802">
                  <c:v>6.5245613153202289</c:v>
                </c:pt>
                <c:pt idx="803">
                  <c:v>6.4942154609073643</c:v>
                </c:pt>
                <c:pt idx="804">
                  <c:v>6.4635776679506227</c:v>
                </c:pt>
                <c:pt idx="805">
                  <c:v>6.4326557868313463</c:v>
                </c:pt>
                <c:pt idx="806">
                  <c:v>6.4014575138695564</c:v>
                </c:pt>
                <c:pt idx="807">
                  <c:v>6.3699903969984106</c:v>
                </c:pt>
                <c:pt idx="808">
                  <c:v>6.3382618411606337</c:v>
                </c:pt>
                <c:pt idx="809">
                  <c:v>6.3062791134408824</c:v>
                </c:pt>
                <c:pt idx="810">
                  <c:v>6.2740493479472441</c:v>
                </c:pt>
                <c:pt idx="811">
                  <c:v>6.2415795504543299</c:v>
                </c:pt>
                <c:pt idx="812">
                  <c:v>6.2088766028198812</c:v>
                </c:pt>
                <c:pt idx="813">
                  <c:v>6.1759472671860607</c:v>
                </c:pt>
                <c:pt idx="814">
                  <c:v>6.1427981899761814</c:v>
                </c:pt>
                <c:pt idx="815">
                  <c:v>6.1094359056968894</c:v>
                </c:pt>
                <c:pt idx="816">
                  <c:v>6.0758668405555012</c:v>
                </c:pt>
                <c:pt idx="817">
                  <c:v>6.0420973159015237</c:v>
                </c:pt>
                <c:pt idx="818">
                  <c:v>6.0081335515010537</c:v>
                </c:pt>
                <c:pt idx="819">
                  <c:v>5.9739816686522289</c:v>
                </c:pt>
                <c:pt idx="820">
                  <c:v>5.9396476931495359</c:v>
                </c:pt>
                <c:pt idx="821">
                  <c:v>5.9051375581044034</c:v>
                </c:pt>
                <c:pt idx="822">
                  <c:v>5.8704571066290185</c:v>
                </c:pt>
                <c:pt idx="823">
                  <c:v>5.835612094390159</c:v>
                </c:pt>
                <c:pt idx="824">
                  <c:v>5.8006081920392933</c:v>
                </c:pt>
                <c:pt idx="825">
                  <c:v>5.7654509875249893</c:v>
                </c:pt>
                <c:pt idx="826">
                  <c:v>5.7301459882934118</c:v>
                </c:pt>
                <c:pt idx="827">
                  <c:v>5.6946986233822905</c:v>
                </c:pt>
                <c:pt idx="828">
                  <c:v>5.6591142454135639</c:v>
                </c:pt>
                <c:pt idx="829">
                  <c:v>5.6233981324896263</c:v>
                </c:pt>
                <c:pt idx="830">
                  <c:v>5.5875554899978521</c:v>
                </c:pt>
                <c:pt idx="831">
                  <c:v>5.5515914523278589</c:v>
                </c:pt>
                <c:pt idx="832">
                  <c:v>5.5155110845057456</c:v>
                </c:pt>
                <c:pt idx="833">
                  <c:v>5.4793193837493153</c:v>
                </c:pt>
                <c:pt idx="834">
                  <c:v>5.4430212809482077</c:v>
                </c:pt>
                <c:pt idx="835">
                  <c:v>5.4066216420724835</c:v>
                </c:pt>
                <c:pt idx="836">
                  <c:v>5.3701252695132267</c:v>
                </c:pt>
                <c:pt idx="837">
                  <c:v>5.3335369033584419</c:v>
                </c:pt>
                <c:pt idx="838">
                  <c:v>5.2968612226074416</c:v>
                </c:pt>
                <c:pt idx="839">
                  <c:v>5.2601028463266717</c:v>
                </c:pt>
                <c:pt idx="840">
                  <c:v>5.2232663347499333</c:v>
                </c:pt>
                <c:pt idx="841">
                  <c:v>5.1863561903256388</c:v>
                </c:pt>
                <c:pt idx="842">
                  <c:v>5.1493768587137927</c:v>
                </c:pt>
                <c:pt idx="843">
                  <c:v>5.1123327297351224</c:v>
                </c:pt>
                <c:pt idx="844">
                  <c:v>5.0752281382747517</c:v>
                </c:pt>
                <c:pt idx="845">
                  <c:v>5.0380673651426999</c:v>
                </c:pt>
                <c:pt idx="846">
                  <c:v>5.000854637893319</c:v>
                </c:pt>
                <c:pt idx="847">
                  <c:v>4.963594131605749</c:v>
                </c:pt>
                <c:pt idx="848">
                  <c:v>4.9262899696273621</c:v>
                </c:pt>
                <c:pt idx="849">
                  <c:v>4.8889462242820505</c:v>
                </c:pt>
                <c:pt idx="850">
                  <c:v>4.8515669175451643</c:v>
                </c:pt>
                <c:pt idx="851">
                  <c:v>4.81415602168678</c:v>
                </c:pt>
                <c:pt idx="852">
                  <c:v>4.7767174598849502</c:v>
                </c:pt>
                <c:pt idx="853">
                  <c:v>4.7392551068105062</c:v>
                </c:pt>
                <c:pt idx="854">
                  <c:v>4.7017727891848242</c:v>
                </c:pt>
                <c:pt idx="855">
                  <c:v>4.6642742863120725</c:v>
                </c:pt>
                <c:pt idx="856">
                  <c:v>4.62676333058723</c:v>
                </c:pt>
                <c:pt idx="857">
                  <c:v>4.5892436079811816</c:v>
                </c:pt>
                <c:pt idx="858">
                  <c:v>4.5517187585041174</c:v>
                </c:pt>
                <c:pt idx="859">
                  <c:v>4.5141923766484728</c:v>
                </c:pt>
                <c:pt idx="860">
                  <c:v>4.4766680118124373</c:v>
                </c:pt>
                <c:pt idx="861">
                  <c:v>4.439149168705196</c:v>
                </c:pt>
                <c:pt idx="862">
                  <c:v>4.4016393077348921</c:v>
                </c:pt>
                <c:pt idx="863">
                  <c:v>4.3641418453803045</c:v>
                </c:pt>
                <c:pt idx="864">
                  <c:v>4.3266601545471568</c:v>
                </c:pt>
                <c:pt idx="865">
                  <c:v>4.2891975649100198</c:v>
                </c:pt>
                <c:pt idx="866">
                  <c:v>4.2517573632405492</c:v>
                </c:pt>
                <c:pt idx="867">
                  <c:v>4.2143427937230049</c:v>
                </c:pt>
                <c:pt idx="868">
                  <c:v>4.1769570582577566</c:v>
                </c:pt>
                <c:pt idx="869">
                  <c:v>4.1396033167535116</c:v>
                </c:pt>
                <c:pt idx="870">
                  <c:v>4.1022846874090497</c:v>
                </c:pt>
                <c:pt idx="871">
                  <c:v>4.0650042469850751</c:v>
                </c:pt>
                <c:pt idx="872">
                  <c:v>4.0277650310668625</c:v>
                </c:pt>
                <c:pt idx="873">
                  <c:v>3.9905700343183392</c:v>
                </c:pt>
                <c:pt idx="874">
                  <c:v>3.9534222107281414</c:v>
                </c:pt>
                <c:pt idx="875">
                  <c:v>3.9163244738482765</c:v>
                </c:pt>
                <c:pt idx="876">
                  <c:v>3.8792796970258703</c:v>
                </c:pt>
                <c:pt idx="877">
                  <c:v>3.8422907136285538</c:v>
                </c:pt>
                <c:pt idx="878">
                  <c:v>3.8053603172639772</c:v>
                </c:pt>
                <c:pt idx="879">
                  <c:v>3.7684912619938915</c:v>
                </c:pt>
                <c:pt idx="880">
                  <c:v>3.7316862625432572</c:v>
                </c:pt>
                <c:pt idx="881">
                  <c:v>3.6949479945048296</c:v>
                </c:pt>
                <c:pt idx="882">
                  <c:v>3.6582790945396075</c:v>
                </c:pt>
                <c:pt idx="883">
                  <c:v>3.6216821605734939</c:v>
                </c:pt>
                <c:pt idx="884">
                  <c:v>3.5851597519906093</c:v>
                </c:pt>
                <c:pt idx="885">
                  <c:v>3.5487143898235463</c:v>
                </c:pt>
                <c:pt idx="886">
                  <c:v>3.5123485569409238</c:v>
                </c:pt>
                <c:pt idx="887">
                  <c:v>3.4760646982325598</c:v>
                </c:pt>
                <c:pt idx="888">
                  <c:v>3.4398652207925382</c:v>
                </c:pt>
                <c:pt idx="889">
                  <c:v>3.4037524941004804</c:v>
                </c:pt>
                <c:pt idx="890">
                  <c:v>3.3677288502012743</c:v>
                </c:pt>
                <c:pt idx="891">
                  <c:v>3.3317965838835359</c:v>
                </c:pt>
                <c:pt idx="892">
                  <c:v>3.2959579528570266</c:v>
                </c:pt>
                <c:pt idx="893">
                  <c:v>3.2602151779292479</c:v>
                </c:pt>
                <c:pt idx="894">
                  <c:v>3.2245704431814488</c:v>
                </c:pt>
                <c:pt idx="895">
                  <c:v>3.1890258961442965</c:v>
                </c:pt>
                <c:pt idx="896">
                  <c:v>3.1535836479732557</c:v>
                </c:pt>
                <c:pt idx="897">
                  <c:v>3.1182457736240394</c:v>
                </c:pt>
                <c:pt idx="898">
                  <c:v>3.083014312028209</c:v>
                </c:pt>
                <c:pt idx="899">
                  <c:v>3.0478912662690272</c:v>
                </c:pt>
                <c:pt idx="900">
                  <c:v>3.0128786037578932</c:v>
                </c:pt>
                <c:pt idx="901">
                  <c:v>2.9779782564112844</c:v>
                </c:pt>
                <c:pt idx="902">
                  <c:v>2.9431921208285319</c:v>
                </c:pt>
                <c:pt idx="903">
                  <c:v>2.9085220584704068</c:v>
                </c:pt>
                <c:pt idx="904">
                  <c:v>2.8739698958387159</c:v>
                </c:pt>
                <c:pt idx="905">
                  <c:v>2.8395374246570055</c:v>
                </c:pt>
                <c:pt idx="906">
                  <c:v>2.8052264020524378</c:v>
                </c:pt>
                <c:pt idx="907">
                  <c:v>2.7710385507389423</c:v>
                </c:pt>
                <c:pt idx="908">
                  <c:v>2.7369755592017828</c:v>
                </c:pt>
                <c:pt idx="909">
                  <c:v>2.7030390818835128</c:v>
                </c:pt>
                <c:pt idx="910">
                  <c:v>2.6692307393714936</c:v>
                </c:pt>
                <c:pt idx="911">
                  <c:v>2.6355521185869861</c:v>
                </c:pt>
                <c:pt idx="912">
                  <c:v>2.6020047729758682</c:v>
                </c:pt>
                <c:pt idx="913">
                  <c:v>2.5685902227010615</c:v>
                </c:pt>
                <c:pt idx="914">
                  <c:v>2.5353099548366886</c:v>
                </c:pt>
                <c:pt idx="915">
                  <c:v>2.5021654235640236</c:v>
                </c:pt>
                <c:pt idx="916">
                  <c:v>2.4691580503692609</c:v>
                </c:pt>
                <c:pt idx="917">
                  <c:v>2.4362892242431116</c:v>
                </c:pt>
                <c:pt idx="918">
                  <c:v>2.4035603018823082</c:v>
                </c:pt>
                <c:pt idx="919">
                  <c:v>2.3709726078929743</c:v>
                </c:pt>
                <c:pt idx="920">
                  <c:v>2.3385274349959326</c:v>
                </c:pt>
                <c:pt idx="921">
                  <c:v>2.306226044233914</c:v>
                </c:pt>
                <c:pt idx="922">
                  <c:v>2.2740696651807264</c:v>
                </c:pt>
                <c:pt idx="923">
                  <c:v>2.2420594961523594</c:v>
                </c:pt>
                <c:pt idx="924">
                  <c:v>2.2101967044200039</c:v>
                </c:pt>
                <c:pt idx="925">
                  <c:v>2.178482426425048</c:v>
                </c:pt>
                <c:pt idx="926">
                  <c:v>2.1469177679959586</c:v>
                </c:pt>
                <c:pt idx="927">
                  <c:v>2.1155038045671315</c:v>
                </c:pt>
                <c:pt idx="928">
                  <c:v>2.0842415813996302</c:v>
                </c:pt>
                <c:pt idx="929">
                  <c:v>2.0531321138037981</c:v>
                </c:pt>
                <c:pt idx="930">
                  <c:v>2.0221763873637908</c:v>
                </c:pt>
                <c:pt idx="931">
                  <c:v>1.991375358163916</c:v>
                </c:pt>
                <c:pt idx="932">
                  <c:v>1.9607299530168403</c:v>
                </c:pt>
                <c:pt idx="933">
                  <c:v>1.9302410696935883</c:v>
                </c:pt>
                <c:pt idx="934">
                  <c:v>1.899909577155297</c:v>
                </c:pt>
                <c:pt idx="935">
                  <c:v>1.8697363157867528</c:v>
                </c:pt>
                <c:pt idx="936">
                  <c:v>1.839722097631622</c:v>
                </c:pt>
                <c:pt idx="937">
                  <c:v>1.8098677066293352</c:v>
                </c:pt>
                <c:pt idx="938">
                  <c:v>1.7801738988536586</c:v>
                </c:pt>
                <c:pt idx="939">
                  <c:v>1.7506414027528283</c:v>
                </c:pt>
                <c:pt idx="940">
                  <c:v>1.721270919391273</c:v>
                </c:pt>
                <c:pt idx="941">
                  <c:v>1.6920631226928435</c:v>
                </c:pt>
                <c:pt idx="942">
                  <c:v>1.663018659685509</c:v>
                </c:pt>
                <c:pt idx="943">
                  <c:v>1.6341381507475212</c:v>
                </c:pt>
                <c:pt idx="944">
                  <c:v>1.6054221898549148</c:v>
                </c:pt>
                <c:pt idx="945">
                  <c:v>1.6053936967007587</c:v>
                </c:pt>
                <c:pt idx="946">
                  <c:v>1.6053652037104325</c:v>
                </c:pt>
                <c:pt idx="947">
                  <c:v>1.6053367108839343</c:v>
                </c:pt>
                <c:pt idx="948">
                  <c:v>1.6053082182212677</c:v>
                </c:pt>
                <c:pt idx="949">
                  <c:v>1.6052797257224274</c:v>
                </c:pt>
                <c:pt idx="950">
                  <c:v>1.605251233387424</c:v>
                </c:pt>
                <c:pt idx="951">
                  <c:v>1.6052227412162559</c:v>
                </c:pt>
                <c:pt idx="952">
                  <c:v>1.6051942492089175</c:v>
                </c:pt>
                <c:pt idx="953">
                  <c:v>1.6051657573654161</c:v>
                </c:pt>
                <c:pt idx="954">
                  <c:v>1.6051372656857463</c:v>
                </c:pt>
                <c:pt idx="955">
                  <c:v>1.6051087741699082</c:v>
                </c:pt>
                <c:pt idx="956">
                  <c:v>1.6050802828179034</c:v>
                </c:pt>
                <c:pt idx="957">
                  <c:v>1.6050517916297444</c:v>
                </c:pt>
                <c:pt idx="958">
                  <c:v>1.6050233006054135</c:v>
                </c:pt>
                <c:pt idx="959">
                  <c:v>1.6049948097449196</c:v>
                </c:pt>
                <c:pt idx="960">
                  <c:v>1.6049663190482679</c:v>
                </c:pt>
                <c:pt idx="961">
                  <c:v>1.604937828515455</c:v>
                </c:pt>
                <c:pt idx="962">
                  <c:v>1.6049093381464754</c:v>
                </c:pt>
                <c:pt idx="963">
                  <c:v>1.6048808479413381</c:v>
                </c:pt>
                <c:pt idx="964">
                  <c:v>1.6048523579000413</c:v>
                </c:pt>
                <c:pt idx="965">
                  <c:v>1.6048238680225815</c:v>
                </c:pt>
                <c:pt idx="966">
                  <c:v>1.6047953783089621</c:v>
                </c:pt>
                <c:pt idx="967">
                  <c:v>1.6047668887591868</c:v>
                </c:pt>
                <c:pt idx="968">
                  <c:v>1.6047383993732485</c:v>
                </c:pt>
                <c:pt idx="969">
                  <c:v>1.6047099101511542</c:v>
                </c:pt>
                <c:pt idx="970">
                  <c:v>1.6046814210929075</c:v>
                </c:pt>
                <c:pt idx="971">
                  <c:v>1.604652932198503</c:v>
                </c:pt>
                <c:pt idx="972">
                  <c:v>1.6046244434679373</c:v>
                </c:pt>
                <c:pt idx="973">
                  <c:v>1.6045959549012192</c:v>
                </c:pt>
                <c:pt idx="974">
                  <c:v>1.6045674664983416</c:v>
                </c:pt>
                <c:pt idx="975">
                  <c:v>1.6045389782593169</c:v>
                </c:pt>
                <c:pt idx="976">
                  <c:v>1.6045104901841345</c:v>
                </c:pt>
                <c:pt idx="977">
                  <c:v>1.6044820022727997</c:v>
                </c:pt>
                <c:pt idx="978">
                  <c:v>1.6044535145253125</c:v>
                </c:pt>
                <c:pt idx="979">
                  <c:v>1.6044250269416711</c:v>
                </c:pt>
                <c:pt idx="980">
                  <c:v>1.6043965395218809</c:v>
                </c:pt>
                <c:pt idx="981">
                  <c:v>1.6043680522659365</c:v>
                </c:pt>
                <c:pt idx="982">
                  <c:v>1.604339565173845</c:v>
                </c:pt>
                <c:pt idx="983">
                  <c:v>1.6043110782455976</c:v>
                </c:pt>
                <c:pt idx="984">
                  <c:v>1.6042825914812031</c:v>
                </c:pt>
                <c:pt idx="985">
                  <c:v>1.6042541048806598</c:v>
                </c:pt>
                <c:pt idx="986">
                  <c:v>1.6042256184439712</c:v>
                </c:pt>
                <c:pt idx="987">
                  <c:v>1.6041971321711284</c:v>
                </c:pt>
                <c:pt idx="988">
                  <c:v>1.604168646062142</c:v>
                </c:pt>
                <c:pt idx="989">
                  <c:v>1.6041401601170104</c:v>
                </c:pt>
                <c:pt idx="990">
                  <c:v>1.6041116743357318</c:v>
                </c:pt>
                <c:pt idx="991">
                  <c:v>1.6040831887183042</c:v>
                </c:pt>
                <c:pt idx="992">
                  <c:v>1.604054703264735</c:v>
                </c:pt>
                <c:pt idx="993">
                  <c:v>1.6040262179750169</c:v>
                </c:pt>
                <c:pt idx="994">
                  <c:v>1.603997732849157</c:v>
                </c:pt>
                <c:pt idx="995">
                  <c:v>1.6039692478871537</c:v>
                </c:pt>
                <c:pt idx="996">
                  <c:v>1.6039407630890103</c:v>
                </c:pt>
                <c:pt idx="997">
                  <c:v>1.6039122784547182</c:v>
                </c:pt>
                <c:pt idx="998">
                  <c:v>1.603883793984286</c:v>
                </c:pt>
                <c:pt idx="999">
                  <c:v>1.6038553096777104</c:v>
                </c:pt>
                <c:pt idx="1000">
                  <c:v>1.6038268255349966</c:v>
                </c:pt>
              </c:numCache>
            </c:numRef>
          </c:yVal>
          <c:smooth val="0"/>
          <c:extLst>
            <c:ext xmlns:c16="http://schemas.microsoft.com/office/drawing/2014/chart" uri="{C3380CC4-5D6E-409C-BE32-E72D297353CC}">
              <c16:uniqueId val="{00000000-2879-444D-95E8-1EF697772180}"/>
            </c:ext>
          </c:extLst>
        </c:ser>
        <c:ser>
          <c:idx val="1"/>
          <c:order val="1"/>
          <c:tx>
            <c:strRef>
              <c:f>Courbes!$B$138</c:f>
              <c:strCache>
                <c:ptCount val="1"/>
                <c:pt idx="0">
                  <c:v>Charge vue par un capteur</c:v>
                </c:pt>
              </c:strCache>
            </c:strRef>
          </c:tx>
          <c:spPr>
            <a:ln w="25400">
              <a:solidFill>
                <a:srgbClr val="008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2.0100000000000011</c:v>
                </c:pt>
                <c:pt idx="202">
                  <c:v>2.0200000000000009</c:v>
                </c:pt>
                <c:pt idx="203">
                  <c:v>2.0300000000000007</c:v>
                </c:pt>
                <c:pt idx="204">
                  <c:v>2.0400000000000005</c:v>
                </c:pt>
                <c:pt idx="205">
                  <c:v>2.0500000000000003</c:v>
                </c:pt>
                <c:pt idx="206">
                  <c:v>2.06</c:v>
                </c:pt>
                <c:pt idx="207">
                  <c:v>2.0699999999999998</c:v>
                </c:pt>
                <c:pt idx="208">
                  <c:v>2.0799999999999996</c:v>
                </c:pt>
                <c:pt idx="209">
                  <c:v>2.0899999999999994</c:v>
                </c:pt>
                <c:pt idx="210">
                  <c:v>2.0999999999999992</c:v>
                </c:pt>
                <c:pt idx="211">
                  <c:v>2.109999999999999</c:v>
                </c:pt>
                <c:pt idx="212">
                  <c:v>2.1199999999999988</c:v>
                </c:pt>
                <c:pt idx="213">
                  <c:v>2.1299999999999986</c:v>
                </c:pt>
                <c:pt idx="214">
                  <c:v>2.1399999999999983</c:v>
                </c:pt>
                <c:pt idx="215">
                  <c:v>2.1499999999999981</c:v>
                </c:pt>
                <c:pt idx="216">
                  <c:v>2.1599999999999979</c:v>
                </c:pt>
                <c:pt idx="217">
                  <c:v>2.1699999999999977</c:v>
                </c:pt>
                <c:pt idx="218">
                  <c:v>2.1799999999999975</c:v>
                </c:pt>
                <c:pt idx="219">
                  <c:v>2.1899999999999973</c:v>
                </c:pt>
                <c:pt idx="220">
                  <c:v>2.1999999999999971</c:v>
                </c:pt>
                <c:pt idx="221">
                  <c:v>2.2099999999999969</c:v>
                </c:pt>
                <c:pt idx="222">
                  <c:v>2.2199999999999966</c:v>
                </c:pt>
                <c:pt idx="223">
                  <c:v>2.2299999999999964</c:v>
                </c:pt>
                <c:pt idx="224">
                  <c:v>2.2399999999999962</c:v>
                </c:pt>
                <c:pt idx="225">
                  <c:v>2.249999999999996</c:v>
                </c:pt>
                <c:pt idx="226">
                  <c:v>2.2599999999999958</c:v>
                </c:pt>
                <c:pt idx="227">
                  <c:v>2.2699999999999956</c:v>
                </c:pt>
                <c:pt idx="228">
                  <c:v>2.2799999999999954</c:v>
                </c:pt>
                <c:pt idx="229">
                  <c:v>2.2899999999999952</c:v>
                </c:pt>
                <c:pt idx="230">
                  <c:v>2.2999999999999949</c:v>
                </c:pt>
                <c:pt idx="231">
                  <c:v>2.3099999999999947</c:v>
                </c:pt>
                <c:pt idx="232">
                  <c:v>2.3199999999999945</c:v>
                </c:pt>
                <c:pt idx="233">
                  <c:v>2.3299999999999943</c:v>
                </c:pt>
                <c:pt idx="234">
                  <c:v>2.3399999999999941</c:v>
                </c:pt>
                <c:pt idx="235">
                  <c:v>2.3499999999999939</c:v>
                </c:pt>
                <c:pt idx="236">
                  <c:v>2.3599999999999937</c:v>
                </c:pt>
                <c:pt idx="237">
                  <c:v>2.3699999999999934</c:v>
                </c:pt>
                <c:pt idx="238">
                  <c:v>2.3799999999999932</c:v>
                </c:pt>
                <c:pt idx="239">
                  <c:v>2.389999999999993</c:v>
                </c:pt>
                <c:pt idx="240">
                  <c:v>2.3999999999999928</c:v>
                </c:pt>
                <c:pt idx="241">
                  <c:v>2.4099999999999926</c:v>
                </c:pt>
                <c:pt idx="242">
                  <c:v>2.4199999999999924</c:v>
                </c:pt>
                <c:pt idx="243">
                  <c:v>2.4299999999999922</c:v>
                </c:pt>
                <c:pt idx="244">
                  <c:v>2.439999999999992</c:v>
                </c:pt>
                <c:pt idx="245">
                  <c:v>2.4499999999999917</c:v>
                </c:pt>
                <c:pt idx="246">
                  <c:v>2.4599999999999915</c:v>
                </c:pt>
                <c:pt idx="247">
                  <c:v>2.4699999999999913</c:v>
                </c:pt>
                <c:pt idx="248">
                  <c:v>2.4799999999999911</c:v>
                </c:pt>
                <c:pt idx="249">
                  <c:v>2.4899999999999909</c:v>
                </c:pt>
                <c:pt idx="250">
                  <c:v>2.4999999999999907</c:v>
                </c:pt>
                <c:pt idx="251">
                  <c:v>2.5099999999999905</c:v>
                </c:pt>
                <c:pt idx="252">
                  <c:v>2.5199999999999902</c:v>
                </c:pt>
                <c:pt idx="253">
                  <c:v>2.52999999999999</c:v>
                </c:pt>
                <c:pt idx="254">
                  <c:v>2.5399999999999898</c:v>
                </c:pt>
                <c:pt idx="255">
                  <c:v>2.5499999999999896</c:v>
                </c:pt>
                <c:pt idx="256">
                  <c:v>2.5599999999999894</c:v>
                </c:pt>
                <c:pt idx="257">
                  <c:v>2.5699999999999892</c:v>
                </c:pt>
                <c:pt idx="258">
                  <c:v>2.579999999999989</c:v>
                </c:pt>
                <c:pt idx="259">
                  <c:v>2.5899999999999888</c:v>
                </c:pt>
                <c:pt idx="260">
                  <c:v>2.5999999999999885</c:v>
                </c:pt>
                <c:pt idx="261">
                  <c:v>2.6099999999999883</c:v>
                </c:pt>
                <c:pt idx="262">
                  <c:v>2.6199999999999881</c:v>
                </c:pt>
                <c:pt idx="263">
                  <c:v>2.6299999999999879</c:v>
                </c:pt>
                <c:pt idx="264">
                  <c:v>2.6399999999999877</c:v>
                </c:pt>
                <c:pt idx="265">
                  <c:v>2.6499999999999875</c:v>
                </c:pt>
                <c:pt idx="266">
                  <c:v>2.6599999999999873</c:v>
                </c:pt>
                <c:pt idx="267">
                  <c:v>2.6699999999999871</c:v>
                </c:pt>
                <c:pt idx="268">
                  <c:v>2.6799999999999868</c:v>
                </c:pt>
                <c:pt idx="269">
                  <c:v>2.6899999999999866</c:v>
                </c:pt>
                <c:pt idx="270">
                  <c:v>2.6999999999999864</c:v>
                </c:pt>
                <c:pt idx="271">
                  <c:v>2.7099999999999862</c:v>
                </c:pt>
                <c:pt idx="272">
                  <c:v>2.719999999999986</c:v>
                </c:pt>
                <c:pt idx="273">
                  <c:v>2.7299999999999858</c:v>
                </c:pt>
                <c:pt idx="274">
                  <c:v>2.7399999999999856</c:v>
                </c:pt>
                <c:pt idx="275">
                  <c:v>2.7499999999999853</c:v>
                </c:pt>
                <c:pt idx="276">
                  <c:v>2.7599999999999851</c:v>
                </c:pt>
                <c:pt idx="277">
                  <c:v>2.7699999999999849</c:v>
                </c:pt>
                <c:pt idx="278">
                  <c:v>2.7799999999999847</c:v>
                </c:pt>
                <c:pt idx="279">
                  <c:v>2.7899999999999845</c:v>
                </c:pt>
                <c:pt idx="280">
                  <c:v>2.7999999999999843</c:v>
                </c:pt>
                <c:pt idx="281">
                  <c:v>2.8099999999999841</c:v>
                </c:pt>
                <c:pt idx="282">
                  <c:v>2.8199999999999839</c:v>
                </c:pt>
                <c:pt idx="283">
                  <c:v>2.8299999999999836</c:v>
                </c:pt>
                <c:pt idx="284">
                  <c:v>2.8399999999999834</c:v>
                </c:pt>
                <c:pt idx="285">
                  <c:v>2.8499999999999832</c:v>
                </c:pt>
                <c:pt idx="286">
                  <c:v>2.859999999999983</c:v>
                </c:pt>
                <c:pt idx="287">
                  <c:v>2.8699999999999828</c:v>
                </c:pt>
                <c:pt idx="288">
                  <c:v>2.8799999999999826</c:v>
                </c:pt>
                <c:pt idx="289">
                  <c:v>2.8899999999999824</c:v>
                </c:pt>
                <c:pt idx="290">
                  <c:v>2.8999999999999821</c:v>
                </c:pt>
                <c:pt idx="291">
                  <c:v>2.9099999999999819</c:v>
                </c:pt>
                <c:pt idx="292">
                  <c:v>2.9199999999999817</c:v>
                </c:pt>
                <c:pt idx="293">
                  <c:v>2.9299999999999815</c:v>
                </c:pt>
                <c:pt idx="294">
                  <c:v>2.9399999999999813</c:v>
                </c:pt>
                <c:pt idx="295">
                  <c:v>2.9499999999999811</c:v>
                </c:pt>
                <c:pt idx="296">
                  <c:v>2.9599999999999809</c:v>
                </c:pt>
                <c:pt idx="297">
                  <c:v>2.9699999999999807</c:v>
                </c:pt>
                <c:pt idx="298">
                  <c:v>2.9799999999999804</c:v>
                </c:pt>
                <c:pt idx="299">
                  <c:v>2.9899999999999802</c:v>
                </c:pt>
                <c:pt idx="300">
                  <c:v>2.99999999999998</c:v>
                </c:pt>
                <c:pt idx="301">
                  <c:v>3.0099999999999798</c:v>
                </c:pt>
                <c:pt idx="302">
                  <c:v>3.0199999999999796</c:v>
                </c:pt>
                <c:pt idx="303">
                  <c:v>3.0299999999999794</c:v>
                </c:pt>
                <c:pt idx="304">
                  <c:v>3.0399999999999792</c:v>
                </c:pt>
                <c:pt idx="305">
                  <c:v>3.049999999999979</c:v>
                </c:pt>
                <c:pt idx="306">
                  <c:v>3.0599999999999787</c:v>
                </c:pt>
                <c:pt idx="307">
                  <c:v>3.0699999999999785</c:v>
                </c:pt>
                <c:pt idx="308">
                  <c:v>3.0799999999999783</c:v>
                </c:pt>
                <c:pt idx="309">
                  <c:v>3.0899999999999781</c:v>
                </c:pt>
                <c:pt idx="310">
                  <c:v>3.0999999999999779</c:v>
                </c:pt>
                <c:pt idx="311">
                  <c:v>3.1099999999999777</c:v>
                </c:pt>
                <c:pt idx="312">
                  <c:v>3.1199999999999775</c:v>
                </c:pt>
                <c:pt idx="313">
                  <c:v>3.1299999999999772</c:v>
                </c:pt>
                <c:pt idx="314">
                  <c:v>3.139999999999977</c:v>
                </c:pt>
                <c:pt idx="315">
                  <c:v>3.1499999999999768</c:v>
                </c:pt>
                <c:pt idx="316">
                  <c:v>3.1599999999999766</c:v>
                </c:pt>
                <c:pt idx="317">
                  <c:v>3.1699999999999764</c:v>
                </c:pt>
                <c:pt idx="318">
                  <c:v>3.1799999999999762</c:v>
                </c:pt>
                <c:pt idx="319">
                  <c:v>3.189999999999976</c:v>
                </c:pt>
                <c:pt idx="320">
                  <c:v>3.1999999999999758</c:v>
                </c:pt>
                <c:pt idx="321">
                  <c:v>3.2099999999999755</c:v>
                </c:pt>
                <c:pt idx="322">
                  <c:v>3.2199999999999753</c:v>
                </c:pt>
                <c:pt idx="323">
                  <c:v>3.2299999999999751</c:v>
                </c:pt>
                <c:pt idx="324">
                  <c:v>3.2399999999999749</c:v>
                </c:pt>
                <c:pt idx="325">
                  <c:v>3.2499999999999747</c:v>
                </c:pt>
                <c:pt idx="326">
                  <c:v>3.2599999999999745</c:v>
                </c:pt>
                <c:pt idx="327">
                  <c:v>3.2699999999999743</c:v>
                </c:pt>
                <c:pt idx="328">
                  <c:v>3.279999999999974</c:v>
                </c:pt>
                <c:pt idx="329">
                  <c:v>3.2899999999999738</c:v>
                </c:pt>
                <c:pt idx="330">
                  <c:v>3.2999999999999736</c:v>
                </c:pt>
                <c:pt idx="331">
                  <c:v>3.3099999999999734</c:v>
                </c:pt>
                <c:pt idx="332">
                  <c:v>3.3199999999999732</c:v>
                </c:pt>
                <c:pt idx="333">
                  <c:v>3.329999999999973</c:v>
                </c:pt>
                <c:pt idx="334">
                  <c:v>3.3399999999999728</c:v>
                </c:pt>
                <c:pt idx="335">
                  <c:v>3.3499999999999726</c:v>
                </c:pt>
                <c:pt idx="336">
                  <c:v>3.3599999999999723</c:v>
                </c:pt>
                <c:pt idx="337">
                  <c:v>3.3699999999999721</c:v>
                </c:pt>
                <c:pt idx="338">
                  <c:v>3.3799999999999719</c:v>
                </c:pt>
                <c:pt idx="339">
                  <c:v>3.3899999999999717</c:v>
                </c:pt>
                <c:pt idx="340">
                  <c:v>3.3999999999999715</c:v>
                </c:pt>
                <c:pt idx="341">
                  <c:v>3.4099999999999713</c:v>
                </c:pt>
                <c:pt idx="342">
                  <c:v>3.4199999999999711</c:v>
                </c:pt>
                <c:pt idx="343">
                  <c:v>3.4299999999999708</c:v>
                </c:pt>
                <c:pt idx="344">
                  <c:v>3.4399999999999706</c:v>
                </c:pt>
                <c:pt idx="345">
                  <c:v>3.4499999999999704</c:v>
                </c:pt>
                <c:pt idx="346">
                  <c:v>3.4599999999999702</c:v>
                </c:pt>
                <c:pt idx="347">
                  <c:v>3.46999999999997</c:v>
                </c:pt>
                <c:pt idx="348">
                  <c:v>3.4799999999999698</c:v>
                </c:pt>
                <c:pt idx="349">
                  <c:v>3.4899999999999696</c:v>
                </c:pt>
                <c:pt idx="350">
                  <c:v>3.4999999999999694</c:v>
                </c:pt>
                <c:pt idx="351">
                  <c:v>3.5099999999999691</c:v>
                </c:pt>
                <c:pt idx="352">
                  <c:v>3.5199999999999689</c:v>
                </c:pt>
                <c:pt idx="353">
                  <c:v>3.5299999999999687</c:v>
                </c:pt>
                <c:pt idx="354">
                  <c:v>3.5399999999999685</c:v>
                </c:pt>
                <c:pt idx="355">
                  <c:v>3.5499999999999683</c:v>
                </c:pt>
                <c:pt idx="356">
                  <c:v>3.5599999999999681</c:v>
                </c:pt>
                <c:pt idx="357">
                  <c:v>3.5699999999999679</c:v>
                </c:pt>
                <c:pt idx="358">
                  <c:v>3.5799999999999677</c:v>
                </c:pt>
                <c:pt idx="359">
                  <c:v>3.5899999999999674</c:v>
                </c:pt>
                <c:pt idx="360">
                  <c:v>3.5999999999999672</c:v>
                </c:pt>
                <c:pt idx="361">
                  <c:v>3.609999999999967</c:v>
                </c:pt>
                <c:pt idx="362">
                  <c:v>3.6199999999999668</c:v>
                </c:pt>
                <c:pt idx="363">
                  <c:v>3.6299999999999666</c:v>
                </c:pt>
                <c:pt idx="364">
                  <c:v>3.6399999999999664</c:v>
                </c:pt>
                <c:pt idx="365">
                  <c:v>3.6499999999999662</c:v>
                </c:pt>
                <c:pt idx="366">
                  <c:v>3.6599999999999659</c:v>
                </c:pt>
                <c:pt idx="367">
                  <c:v>3.6699999999999657</c:v>
                </c:pt>
                <c:pt idx="368">
                  <c:v>3.6799999999999655</c:v>
                </c:pt>
                <c:pt idx="369">
                  <c:v>3.6899999999999653</c:v>
                </c:pt>
                <c:pt idx="370">
                  <c:v>3.6999999999999651</c:v>
                </c:pt>
                <c:pt idx="371">
                  <c:v>3.7099999999999649</c:v>
                </c:pt>
                <c:pt idx="372">
                  <c:v>3.7199999999999647</c:v>
                </c:pt>
                <c:pt idx="373">
                  <c:v>3.7299999999999645</c:v>
                </c:pt>
                <c:pt idx="374">
                  <c:v>3.7399999999999642</c:v>
                </c:pt>
                <c:pt idx="375">
                  <c:v>3.749999999999964</c:v>
                </c:pt>
                <c:pt idx="376">
                  <c:v>3.7599999999999638</c:v>
                </c:pt>
                <c:pt idx="377">
                  <c:v>3.7699999999999636</c:v>
                </c:pt>
                <c:pt idx="378">
                  <c:v>3.7799999999999634</c:v>
                </c:pt>
                <c:pt idx="379">
                  <c:v>3.7899999999999632</c:v>
                </c:pt>
                <c:pt idx="380">
                  <c:v>3.799999999999963</c:v>
                </c:pt>
                <c:pt idx="381">
                  <c:v>3.8099999999999627</c:v>
                </c:pt>
                <c:pt idx="382">
                  <c:v>3.8199999999999625</c:v>
                </c:pt>
                <c:pt idx="383">
                  <c:v>3.8299999999999623</c:v>
                </c:pt>
                <c:pt idx="384">
                  <c:v>3.8399999999999621</c:v>
                </c:pt>
                <c:pt idx="385">
                  <c:v>3.8499999999999619</c:v>
                </c:pt>
                <c:pt idx="386">
                  <c:v>3.8599999999999617</c:v>
                </c:pt>
                <c:pt idx="387">
                  <c:v>3.8699999999999615</c:v>
                </c:pt>
                <c:pt idx="388">
                  <c:v>3.8799999999999613</c:v>
                </c:pt>
                <c:pt idx="389">
                  <c:v>3.889999999999961</c:v>
                </c:pt>
                <c:pt idx="390">
                  <c:v>3.8999999999999608</c:v>
                </c:pt>
                <c:pt idx="391">
                  <c:v>3.9099999999999606</c:v>
                </c:pt>
                <c:pt idx="392">
                  <c:v>3.9199999999999604</c:v>
                </c:pt>
                <c:pt idx="393">
                  <c:v>3.9299999999999602</c:v>
                </c:pt>
                <c:pt idx="394">
                  <c:v>3.93999999999996</c:v>
                </c:pt>
                <c:pt idx="395">
                  <c:v>3.9499999999999598</c:v>
                </c:pt>
                <c:pt idx="396">
                  <c:v>3.9599999999999596</c:v>
                </c:pt>
                <c:pt idx="397">
                  <c:v>3.9699999999999593</c:v>
                </c:pt>
                <c:pt idx="398">
                  <c:v>3.9799999999999591</c:v>
                </c:pt>
                <c:pt idx="399">
                  <c:v>3.9899999999999589</c:v>
                </c:pt>
                <c:pt idx="400">
                  <c:v>3.9999999999999587</c:v>
                </c:pt>
                <c:pt idx="401">
                  <c:v>4.0099999999999589</c:v>
                </c:pt>
                <c:pt idx="402">
                  <c:v>4.0199999999999587</c:v>
                </c:pt>
                <c:pt idx="403">
                  <c:v>4.0299999999999585</c:v>
                </c:pt>
                <c:pt idx="404">
                  <c:v>4.0399999999999583</c:v>
                </c:pt>
                <c:pt idx="405">
                  <c:v>4.0499999999999581</c:v>
                </c:pt>
                <c:pt idx="406">
                  <c:v>4.0599999999999579</c:v>
                </c:pt>
                <c:pt idx="407">
                  <c:v>4.0699999999999577</c:v>
                </c:pt>
                <c:pt idx="408">
                  <c:v>4.0799999999999574</c:v>
                </c:pt>
                <c:pt idx="409">
                  <c:v>4.0899999999999572</c:v>
                </c:pt>
                <c:pt idx="410">
                  <c:v>4.099999999999957</c:v>
                </c:pt>
                <c:pt idx="411">
                  <c:v>4.1099999999999568</c:v>
                </c:pt>
                <c:pt idx="412">
                  <c:v>4.1199999999999566</c:v>
                </c:pt>
                <c:pt idx="413">
                  <c:v>4.1299999999999564</c:v>
                </c:pt>
                <c:pt idx="414">
                  <c:v>4.1399999999999562</c:v>
                </c:pt>
                <c:pt idx="415">
                  <c:v>4.1499999999999559</c:v>
                </c:pt>
                <c:pt idx="416">
                  <c:v>4.1599999999999557</c:v>
                </c:pt>
                <c:pt idx="417">
                  <c:v>4.1699999999999555</c:v>
                </c:pt>
                <c:pt idx="418">
                  <c:v>4.1799999999999553</c:v>
                </c:pt>
                <c:pt idx="419">
                  <c:v>4.1899999999999551</c:v>
                </c:pt>
                <c:pt idx="420">
                  <c:v>4.1999999999999549</c:v>
                </c:pt>
                <c:pt idx="421">
                  <c:v>4.2099999999999547</c:v>
                </c:pt>
                <c:pt idx="422">
                  <c:v>4.2199999999999545</c:v>
                </c:pt>
                <c:pt idx="423">
                  <c:v>4.2299999999999542</c:v>
                </c:pt>
                <c:pt idx="424">
                  <c:v>4.239999999999954</c:v>
                </c:pt>
                <c:pt idx="425">
                  <c:v>4.2499999999999538</c:v>
                </c:pt>
                <c:pt idx="426">
                  <c:v>4.2599999999999536</c:v>
                </c:pt>
                <c:pt idx="427">
                  <c:v>4.2699999999999534</c:v>
                </c:pt>
                <c:pt idx="428">
                  <c:v>4.2799999999999532</c:v>
                </c:pt>
                <c:pt idx="429">
                  <c:v>4.289999999999953</c:v>
                </c:pt>
                <c:pt idx="430">
                  <c:v>4.2999999999999527</c:v>
                </c:pt>
                <c:pt idx="431">
                  <c:v>4.3099999999999525</c:v>
                </c:pt>
                <c:pt idx="432">
                  <c:v>4.3199999999999523</c:v>
                </c:pt>
                <c:pt idx="433">
                  <c:v>4.3299999999999521</c:v>
                </c:pt>
                <c:pt idx="434">
                  <c:v>4.3399999999999519</c:v>
                </c:pt>
                <c:pt idx="435">
                  <c:v>4.3499999999999517</c:v>
                </c:pt>
                <c:pt idx="436">
                  <c:v>4.3599999999999515</c:v>
                </c:pt>
                <c:pt idx="437">
                  <c:v>4.3699999999999513</c:v>
                </c:pt>
                <c:pt idx="438">
                  <c:v>4.379999999999951</c:v>
                </c:pt>
                <c:pt idx="439">
                  <c:v>4.3899999999999508</c:v>
                </c:pt>
                <c:pt idx="440">
                  <c:v>4.3999999999999506</c:v>
                </c:pt>
                <c:pt idx="441">
                  <c:v>4.4099999999999504</c:v>
                </c:pt>
                <c:pt idx="442">
                  <c:v>4.4199999999999502</c:v>
                </c:pt>
                <c:pt idx="443">
                  <c:v>4.42999999999995</c:v>
                </c:pt>
                <c:pt idx="444">
                  <c:v>4.4399999999999498</c:v>
                </c:pt>
                <c:pt idx="445">
                  <c:v>4.4499999999999496</c:v>
                </c:pt>
                <c:pt idx="446">
                  <c:v>4.4599999999999493</c:v>
                </c:pt>
                <c:pt idx="447">
                  <c:v>4.4699999999999491</c:v>
                </c:pt>
                <c:pt idx="448">
                  <c:v>4.4799999999999489</c:v>
                </c:pt>
                <c:pt idx="449">
                  <c:v>4.4899999999999487</c:v>
                </c:pt>
                <c:pt idx="450">
                  <c:v>4.4999999999999485</c:v>
                </c:pt>
                <c:pt idx="451">
                  <c:v>4.5099999999999483</c:v>
                </c:pt>
                <c:pt idx="452">
                  <c:v>4.5199999999999481</c:v>
                </c:pt>
                <c:pt idx="453">
                  <c:v>4.5299999999999478</c:v>
                </c:pt>
                <c:pt idx="454">
                  <c:v>4.5399999999999476</c:v>
                </c:pt>
                <c:pt idx="455">
                  <c:v>4.5499999999999474</c:v>
                </c:pt>
                <c:pt idx="456">
                  <c:v>4.5599999999999472</c:v>
                </c:pt>
                <c:pt idx="457">
                  <c:v>4.569999999999947</c:v>
                </c:pt>
                <c:pt idx="458">
                  <c:v>4.5799999999999468</c:v>
                </c:pt>
                <c:pt idx="459">
                  <c:v>4.5899999999999466</c:v>
                </c:pt>
                <c:pt idx="460">
                  <c:v>4.5999999999999464</c:v>
                </c:pt>
                <c:pt idx="461">
                  <c:v>4.6099999999999461</c:v>
                </c:pt>
                <c:pt idx="462">
                  <c:v>4.6199999999999459</c:v>
                </c:pt>
                <c:pt idx="463">
                  <c:v>4.6299999999999457</c:v>
                </c:pt>
                <c:pt idx="464">
                  <c:v>4.6399999999999455</c:v>
                </c:pt>
                <c:pt idx="465">
                  <c:v>4.6499999999999453</c:v>
                </c:pt>
                <c:pt idx="466">
                  <c:v>4.6599999999999451</c:v>
                </c:pt>
                <c:pt idx="467">
                  <c:v>4.6699999999999449</c:v>
                </c:pt>
                <c:pt idx="468">
                  <c:v>4.6799999999999446</c:v>
                </c:pt>
                <c:pt idx="469">
                  <c:v>4.6899999999999444</c:v>
                </c:pt>
                <c:pt idx="470">
                  <c:v>4.6999999999999442</c:v>
                </c:pt>
                <c:pt idx="471">
                  <c:v>4.709999999999944</c:v>
                </c:pt>
                <c:pt idx="472">
                  <c:v>4.7199999999999438</c:v>
                </c:pt>
                <c:pt idx="473">
                  <c:v>4.7299999999999436</c:v>
                </c:pt>
                <c:pt idx="474">
                  <c:v>4.7399999999999434</c:v>
                </c:pt>
                <c:pt idx="475">
                  <c:v>4.7499999999999432</c:v>
                </c:pt>
                <c:pt idx="476">
                  <c:v>4.7599999999999429</c:v>
                </c:pt>
                <c:pt idx="477">
                  <c:v>4.7699999999999427</c:v>
                </c:pt>
                <c:pt idx="478">
                  <c:v>4.7799999999999425</c:v>
                </c:pt>
                <c:pt idx="479">
                  <c:v>4.7899999999999423</c:v>
                </c:pt>
                <c:pt idx="480">
                  <c:v>4.7999999999999421</c:v>
                </c:pt>
                <c:pt idx="481">
                  <c:v>4.8099999999999419</c:v>
                </c:pt>
                <c:pt idx="482">
                  <c:v>4.8199999999999417</c:v>
                </c:pt>
                <c:pt idx="483">
                  <c:v>4.8299999999999415</c:v>
                </c:pt>
                <c:pt idx="484">
                  <c:v>4.8399999999999412</c:v>
                </c:pt>
                <c:pt idx="485">
                  <c:v>4.849999999999941</c:v>
                </c:pt>
                <c:pt idx="486">
                  <c:v>4.8599999999999408</c:v>
                </c:pt>
                <c:pt idx="487">
                  <c:v>4.8699999999999406</c:v>
                </c:pt>
                <c:pt idx="488">
                  <c:v>4.8799999999999404</c:v>
                </c:pt>
                <c:pt idx="489">
                  <c:v>4.8899999999999402</c:v>
                </c:pt>
                <c:pt idx="490">
                  <c:v>4.89999999999994</c:v>
                </c:pt>
                <c:pt idx="491">
                  <c:v>4.9099999999999397</c:v>
                </c:pt>
                <c:pt idx="492">
                  <c:v>4.9199999999999395</c:v>
                </c:pt>
                <c:pt idx="493">
                  <c:v>4.9299999999999393</c:v>
                </c:pt>
                <c:pt idx="494">
                  <c:v>4.9399999999999391</c:v>
                </c:pt>
                <c:pt idx="495">
                  <c:v>4.9499999999999389</c:v>
                </c:pt>
                <c:pt idx="496">
                  <c:v>4.9599999999999387</c:v>
                </c:pt>
                <c:pt idx="497">
                  <c:v>4.9699999999999385</c:v>
                </c:pt>
                <c:pt idx="498">
                  <c:v>4.9799999999999383</c:v>
                </c:pt>
                <c:pt idx="499">
                  <c:v>4.989999999999938</c:v>
                </c:pt>
                <c:pt idx="500">
                  <c:v>4.9999999999999378</c:v>
                </c:pt>
                <c:pt idx="501">
                  <c:v>5.0999999999999375</c:v>
                </c:pt>
                <c:pt idx="502">
                  <c:v>5.1999999999999371</c:v>
                </c:pt>
                <c:pt idx="503">
                  <c:v>5.2999999999999368</c:v>
                </c:pt>
                <c:pt idx="504">
                  <c:v>5.3999999999999364</c:v>
                </c:pt>
                <c:pt idx="505">
                  <c:v>5.4999999999999361</c:v>
                </c:pt>
                <c:pt idx="506">
                  <c:v>5.5999999999999357</c:v>
                </c:pt>
                <c:pt idx="507">
                  <c:v>5.6999999999999353</c:v>
                </c:pt>
                <c:pt idx="508">
                  <c:v>5.799999999999935</c:v>
                </c:pt>
                <c:pt idx="509">
                  <c:v>5.8999999999999346</c:v>
                </c:pt>
                <c:pt idx="510">
                  <c:v>5.9999999999999343</c:v>
                </c:pt>
                <c:pt idx="511">
                  <c:v>6.0999999999999339</c:v>
                </c:pt>
                <c:pt idx="512">
                  <c:v>6.1999999999999336</c:v>
                </c:pt>
                <c:pt idx="513">
                  <c:v>6.2999999999999332</c:v>
                </c:pt>
                <c:pt idx="514">
                  <c:v>6.3999999999999329</c:v>
                </c:pt>
                <c:pt idx="515">
                  <c:v>6.4999999999999325</c:v>
                </c:pt>
                <c:pt idx="516">
                  <c:v>6.5999999999999321</c:v>
                </c:pt>
                <c:pt idx="517">
                  <c:v>6.6999999999999318</c:v>
                </c:pt>
                <c:pt idx="518">
                  <c:v>6.7999999999999314</c:v>
                </c:pt>
                <c:pt idx="519">
                  <c:v>6.8999999999999311</c:v>
                </c:pt>
                <c:pt idx="520">
                  <c:v>6.9999999999999307</c:v>
                </c:pt>
                <c:pt idx="521">
                  <c:v>7.0999999999999304</c:v>
                </c:pt>
                <c:pt idx="522">
                  <c:v>7.19999999999993</c:v>
                </c:pt>
                <c:pt idx="523">
                  <c:v>7.2999999999999297</c:v>
                </c:pt>
                <c:pt idx="524">
                  <c:v>7.3999999999999293</c:v>
                </c:pt>
                <c:pt idx="525">
                  <c:v>7.4999999999999289</c:v>
                </c:pt>
                <c:pt idx="526">
                  <c:v>7.5999999999999286</c:v>
                </c:pt>
                <c:pt idx="527">
                  <c:v>7.6999999999999282</c:v>
                </c:pt>
                <c:pt idx="528">
                  <c:v>7.7999999999999279</c:v>
                </c:pt>
                <c:pt idx="529">
                  <c:v>7.8999999999999275</c:v>
                </c:pt>
                <c:pt idx="530">
                  <c:v>7.9999999999999272</c:v>
                </c:pt>
                <c:pt idx="531">
                  <c:v>8.0999999999999268</c:v>
                </c:pt>
                <c:pt idx="532">
                  <c:v>8.1999999999999265</c:v>
                </c:pt>
                <c:pt idx="533">
                  <c:v>8.2999999999999261</c:v>
                </c:pt>
                <c:pt idx="534">
                  <c:v>8.3999999999999257</c:v>
                </c:pt>
                <c:pt idx="535">
                  <c:v>8.4999999999999254</c:v>
                </c:pt>
                <c:pt idx="536">
                  <c:v>8.599999999999925</c:v>
                </c:pt>
                <c:pt idx="537">
                  <c:v>8.6999999999999247</c:v>
                </c:pt>
                <c:pt idx="538">
                  <c:v>8.7999999999999243</c:v>
                </c:pt>
                <c:pt idx="539">
                  <c:v>8.899999999999924</c:v>
                </c:pt>
                <c:pt idx="540">
                  <c:v>8.9999999999999236</c:v>
                </c:pt>
                <c:pt idx="541">
                  <c:v>9.0999999999999233</c:v>
                </c:pt>
                <c:pt idx="542">
                  <c:v>9.1999999999999229</c:v>
                </c:pt>
                <c:pt idx="543">
                  <c:v>9.2999999999999226</c:v>
                </c:pt>
                <c:pt idx="544">
                  <c:v>9.3999999999999222</c:v>
                </c:pt>
                <c:pt idx="545">
                  <c:v>9.4999999999999218</c:v>
                </c:pt>
                <c:pt idx="546">
                  <c:v>9.5999999999999215</c:v>
                </c:pt>
                <c:pt idx="547">
                  <c:v>9.6999999999999211</c:v>
                </c:pt>
                <c:pt idx="548">
                  <c:v>9.7999999999999208</c:v>
                </c:pt>
                <c:pt idx="549">
                  <c:v>9.8999999999999204</c:v>
                </c:pt>
                <c:pt idx="550">
                  <c:v>9.9999999999999201</c:v>
                </c:pt>
                <c:pt idx="551">
                  <c:v>10.09999999999992</c:v>
                </c:pt>
                <c:pt idx="552">
                  <c:v>10.199999999999919</c:v>
                </c:pt>
                <c:pt idx="553">
                  <c:v>10.299999999999919</c:v>
                </c:pt>
                <c:pt idx="554">
                  <c:v>10.399999999999919</c:v>
                </c:pt>
                <c:pt idx="555">
                  <c:v>10.499999999999918</c:v>
                </c:pt>
                <c:pt idx="556">
                  <c:v>10.599999999999918</c:v>
                </c:pt>
                <c:pt idx="557">
                  <c:v>10.699999999999918</c:v>
                </c:pt>
                <c:pt idx="558">
                  <c:v>10.799999999999917</c:v>
                </c:pt>
                <c:pt idx="559">
                  <c:v>10.899999999999917</c:v>
                </c:pt>
                <c:pt idx="560">
                  <c:v>10.999999999999917</c:v>
                </c:pt>
                <c:pt idx="561">
                  <c:v>11.099999999999916</c:v>
                </c:pt>
                <c:pt idx="562">
                  <c:v>11.199999999999916</c:v>
                </c:pt>
                <c:pt idx="563">
                  <c:v>11.299999999999915</c:v>
                </c:pt>
                <c:pt idx="564">
                  <c:v>11.399999999999915</c:v>
                </c:pt>
                <c:pt idx="565">
                  <c:v>11.499999999999915</c:v>
                </c:pt>
                <c:pt idx="566">
                  <c:v>11.599999999999914</c:v>
                </c:pt>
                <c:pt idx="567">
                  <c:v>11.699999999999914</c:v>
                </c:pt>
                <c:pt idx="568">
                  <c:v>11.799999999999914</c:v>
                </c:pt>
                <c:pt idx="569">
                  <c:v>11.899999999999913</c:v>
                </c:pt>
                <c:pt idx="570">
                  <c:v>11.999999999999913</c:v>
                </c:pt>
                <c:pt idx="571">
                  <c:v>12.099999999999913</c:v>
                </c:pt>
                <c:pt idx="572">
                  <c:v>12.199999999999912</c:v>
                </c:pt>
                <c:pt idx="573">
                  <c:v>12.299999999999912</c:v>
                </c:pt>
                <c:pt idx="574">
                  <c:v>12.399999999999912</c:v>
                </c:pt>
                <c:pt idx="575">
                  <c:v>12.499999999999911</c:v>
                </c:pt>
                <c:pt idx="576">
                  <c:v>12.599999999999911</c:v>
                </c:pt>
                <c:pt idx="577">
                  <c:v>12.69999999999991</c:v>
                </c:pt>
                <c:pt idx="578">
                  <c:v>12.79999999999991</c:v>
                </c:pt>
                <c:pt idx="579">
                  <c:v>12.89999999999991</c:v>
                </c:pt>
                <c:pt idx="580">
                  <c:v>12.999999999999909</c:v>
                </c:pt>
                <c:pt idx="581">
                  <c:v>13.099999999999909</c:v>
                </c:pt>
                <c:pt idx="582">
                  <c:v>13.199999999999909</c:v>
                </c:pt>
                <c:pt idx="583">
                  <c:v>13.299999999999908</c:v>
                </c:pt>
                <c:pt idx="584">
                  <c:v>13.399999999999908</c:v>
                </c:pt>
                <c:pt idx="585">
                  <c:v>13.499999999999908</c:v>
                </c:pt>
                <c:pt idx="586">
                  <c:v>13.599999999999907</c:v>
                </c:pt>
                <c:pt idx="587">
                  <c:v>13.699999999999907</c:v>
                </c:pt>
                <c:pt idx="588">
                  <c:v>13.799999999999907</c:v>
                </c:pt>
                <c:pt idx="589">
                  <c:v>13.899999999999906</c:v>
                </c:pt>
                <c:pt idx="590">
                  <c:v>13.999999999999906</c:v>
                </c:pt>
                <c:pt idx="591">
                  <c:v>14.099999999999905</c:v>
                </c:pt>
                <c:pt idx="592">
                  <c:v>14.199999999999905</c:v>
                </c:pt>
                <c:pt idx="593">
                  <c:v>14.299999999999905</c:v>
                </c:pt>
                <c:pt idx="594">
                  <c:v>14.399999999999904</c:v>
                </c:pt>
                <c:pt idx="595">
                  <c:v>14.499999999999904</c:v>
                </c:pt>
                <c:pt idx="596">
                  <c:v>14.599999999999904</c:v>
                </c:pt>
                <c:pt idx="597">
                  <c:v>14.699999999999903</c:v>
                </c:pt>
                <c:pt idx="598">
                  <c:v>14.799999999999903</c:v>
                </c:pt>
                <c:pt idx="599">
                  <c:v>14.899999999999903</c:v>
                </c:pt>
                <c:pt idx="600">
                  <c:v>14.999999999999902</c:v>
                </c:pt>
                <c:pt idx="601">
                  <c:v>15.099999999999902</c:v>
                </c:pt>
                <c:pt idx="602">
                  <c:v>15.199999999999902</c:v>
                </c:pt>
                <c:pt idx="603">
                  <c:v>15.299999999999901</c:v>
                </c:pt>
                <c:pt idx="604">
                  <c:v>15.399999999999901</c:v>
                </c:pt>
                <c:pt idx="605">
                  <c:v>15.499999999999901</c:v>
                </c:pt>
                <c:pt idx="606">
                  <c:v>15.5999999999999</c:v>
                </c:pt>
                <c:pt idx="607">
                  <c:v>15.6999999999999</c:v>
                </c:pt>
                <c:pt idx="608">
                  <c:v>15.799999999999899</c:v>
                </c:pt>
                <c:pt idx="609">
                  <c:v>15.899999999999899</c:v>
                </c:pt>
                <c:pt idx="610">
                  <c:v>15.999999999999899</c:v>
                </c:pt>
                <c:pt idx="611">
                  <c:v>16.099999999999898</c:v>
                </c:pt>
                <c:pt idx="612">
                  <c:v>16.1999999999999</c:v>
                </c:pt>
                <c:pt idx="613">
                  <c:v>16.299999999999901</c:v>
                </c:pt>
                <c:pt idx="614">
                  <c:v>16.399999999999903</c:v>
                </c:pt>
                <c:pt idx="615">
                  <c:v>16.499999999999904</c:v>
                </c:pt>
                <c:pt idx="616">
                  <c:v>16.599999999999905</c:v>
                </c:pt>
                <c:pt idx="617">
                  <c:v>16.699999999999907</c:v>
                </c:pt>
                <c:pt idx="618">
                  <c:v>16.799999999999908</c:v>
                </c:pt>
                <c:pt idx="619">
                  <c:v>16.89999999999991</c:v>
                </c:pt>
                <c:pt idx="620">
                  <c:v>16.999999999999911</c:v>
                </c:pt>
                <c:pt idx="621">
                  <c:v>17.099999999999913</c:v>
                </c:pt>
                <c:pt idx="622">
                  <c:v>17.199999999999914</c:v>
                </c:pt>
                <c:pt idx="623">
                  <c:v>17.299999999999915</c:v>
                </c:pt>
                <c:pt idx="624">
                  <c:v>17.399999999999917</c:v>
                </c:pt>
                <c:pt idx="625">
                  <c:v>17.499999999999918</c:v>
                </c:pt>
                <c:pt idx="626">
                  <c:v>17.59999999999992</c:v>
                </c:pt>
                <c:pt idx="627">
                  <c:v>17.699999999999921</c:v>
                </c:pt>
                <c:pt idx="628">
                  <c:v>17.799999999999923</c:v>
                </c:pt>
                <c:pt idx="629">
                  <c:v>17.899999999999924</c:v>
                </c:pt>
                <c:pt idx="630">
                  <c:v>17.999999999999925</c:v>
                </c:pt>
                <c:pt idx="631">
                  <c:v>18.099999999999927</c:v>
                </c:pt>
                <c:pt idx="632">
                  <c:v>18.199999999999928</c:v>
                </c:pt>
                <c:pt idx="633">
                  <c:v>18.29999999999993</c:v>
                </c:pt>
                <c:pt idx="634">
                  <c:v>18.399999999999931</c:v>
                </c:pt>
                <c:pt idx="635">
                  <c:v>18.499999999999932</c:v>
                </c:pt>
                <c:pt idx="636">
                  <c:v>18.599999999999934</c:v>
                </c:pt>
                <c:pt idx="637">
                  <c:v>18.699999999999935</c:v>
                </c:pt>
                <c:pt idx="638">
                  <c:v>18.799999999999937</c:v>
                </c:pt>
                <c:pt idx="639">
                  <c:v>18.899999999999938</c:v>
                </c:pt>
                <c:pt idx="640">
                  <c:v>18.99999999999994</c:v>
                </c:pt>
                <c:pt idx="641">
                  <c:v>19.099999999999941</c:v>
                </c:pt>
                <c:pt idx="642">
                  <c:v>19.199999999999942</c:v>
                </c:pt>
                <c:pt idx="643">
                  <c:v>19.299999999999944</c:v>
                </c:pt>
                <c:pt idx="644">
                  <c:v>19.399999999999945</c:v>
                </c:pt>
                <c:pt idx="645">
                  <c:v>19.499999999999947</c:v>
                </c:pt>
                <c:pt idx="646">
                  <c:v>19.599999999999948</c:v>
                </c:pt>
                <c:pt idx="647">
                  <c:v>19.69999999999995</c:v>
                </c:pt>
                <c:pt idx="648">
                  <c:v>19.799999999999951</c:v>
                </c:pt>
                <c:pt idx="649">
                  <c:v>19.899999999999952</c:v>
                </c:pt>
                <c:pt idx="650">
                  <c:v>19.999999999999954</c:v>
                </c:pt>
                <c:pt idx="651">
                  <c:v>20.099999999999955</c:v>
                </c:pt>
                <c:pt idx="652">
                  <c:v>20.199999999999957</c:v>
                </c:pt>
                <c:pt idx="653">
                  <c:v>20.299999999999958</c:v>
                </c:pt>
                <c:pt idx="654">
                  <c:v>20.399999999999959</c:v>
                </c:pt>
                <c:pt idx="655">
                  <c:v>20.499999999999961</c:v>
                </c:pt>
                <c:pt idx="656">
                  <c:v>20.599999999999962</c:v>
                </c:pt>
                <c:pt idx="657">
                  <c:v>20.699999999999964</c:v>
                </c:pt>
                <c:pt idx="658">
                  <c:v>20.799999999999965</c:v>
                </c:pt>
                <c:pt idx="659">
                  <c:v>20.899999999999967</c:v>
                </c:pt>
                <c:pt idx="660">
                  <c:v>20.999999999999968</c:v>
                </c:pt>
                <c:pt idx="661">
                  <c:v>21.099999999999969</c:v>
                </c:pt>
                <c:pt idx="662">
                  <c:v>21.199999999999971</c:v>
                </c:pt>
                <c:pt idx="663">
                  <c:v>21.299999999999972</c:v>
                </c:pt>
                <c:pt idx="664">
                  <c:v>21.399999999999974</c:v>
                </c:pt>
                <c:pt idx="665">
                  <c:v>21.499999999999975</c:v>
                </c:pt>
                <c:pt idx="666">
                  <c:v>21.599999999999977</c:v>
                </c:pt>
                <c:pt idx="667">
                  <c:v>21.699999999999978</c:v>
                </c:pt>
                <c:pt idx="668">
                  <c:v>21.799999999999979</c:v>
                </c:pt>
                <c:pt idx="669">
                  <c:v>21.899999999999981</c:v>
                </c:pt>
                <c:pt idx="670">
                  <c:v>21.999999999999982</c:v>
                </c:pt>
                <c:pt idx="671">
                  <c:v>22.099999999999984</c:v>
                </c:pt>
                <c:pt idx="672">
                  <c:v>22.199999999999985</c:v>
                </c:pt>
                <c:pt idx="673">
                  <c:v>22.299999999999986</c:v>
                </c:pt>
                <c:pt idx="674">
                  <c:v>22.399999999999988</c:v>
                </c:pt>
                <c:pt idx="675">
                  <c:v>22.499999999999989</c:v>
                </c:pt>
                <c:pt idx="676">
                  <c:v>22.599999999999991</c:v>
                </c:pt>
                <c:pt idx="677">
                  <c:v>22.699999999999992</c:v>
                </c:pt>
                <c:pt idx="678">
                  <c:v>22.799999999999994</c:v>
                </c:pt>
                <c:pt idx="679">
                  <c:v>22.899999999999995</c:v>
                </c:pt>
                <c:pt idx="680">
                  <c:v>22.999999999999996</c:v>
                </c:pt>
                <c:pt idx="681">
                  <c:v>23.099999999999998</c:v>
                </c:pt>
                <c:pt idx="682">
                  <c:v>23.2</c:v>
                </c:pt>
                <c:pt idx="683">
                  <c:v>23.3</c:v>
                </c:pt>
                <c:pt idx="684">
                  <c:v>23.400000000000002</c:v>
                </c:pt>
                <c:pt idx="685">
                  <c:v>23.500000000000004</c:v>
                </c:pt>
                <c:pt idx="686">
                  <c:v>23.600000000000005</c:v>
                </c:pt>
                <c:pt idx="687">
                  <c:v>23.700000000000006</c:v>
                </c:pt>
                <c:pt idx="688">
                  <c:v>23.800000000000008</c:v>
                </c:pt>
                <c:pt idx="689">
                  <c:v>23.900000000000009</c:v>
                </c:pt>
                <c:pt idx="690">
                  <c:v>24.000000000000011</c:v>
                </c:pt>
                <c:pt idx="691">
                  <c:v>24.100000000000012</c:v>
                </c:pt>
                <c:pt idx="692">
                  <c:v>24.200000000000014</c:v>
                </c:pt>
                <c:pt idx="693">
                  <c:v>24.300000000000015</c:v>
                </c:pt>
                <c:pt idx="694">
                  <c:v>24.400000000000016</c:v>
                </c:pt>
                <c:pt idx="695">
                  <c:v>24.500000000000018</c:v>
                </c:pt>
                <c:pt idx="696">
                  <c:v>24.600000000000019</c:v>
                </c:pt>
                <c:pt idx="697">
                  <c:v>24.700000000000021</c:v>
                </c:pt>
                <c:pt idx="698">
                  <c:v>24.800000000000022</c:v>
                </c:pt>
                <c:pt idx="699">
                  <c:v>24.900000000000023</c:v>
                </c:pt>
                <c:pt idx="700">
                  <c:v>25.000000000000025</c:v>
                </c:pt>
                <c:pt idx="701">
                  <c:v>25.100000000000026</c:v>
                </c:pt>
                <c:pt idx="702">
                  <c:v>25.200000000000028</c:v>
                </c:pt>
                <c:pt idx="703">
                  <c:v>25.300000000000029</c:v>
                </c:pt>
                <c:pt idx="704">
                  <c:v>25.400000000000031</c:v>
                </c:pt>
                <c:pt idx="705">
                  <c:v>25.500000000000032</c:v>
                </c:pt>
                <c:pt idx="706">
                  <c:v>25.600000000000033</c:v>
                </c:pt>
                <c:pt idx="707">
                  <c:v>25.700000000000035</c:v>
                </c:pt>
                <c:pt idx="708">
                  <c:v>25.800000000000036</c:v>
                </c:pt>
                <c:pt idx="709">
                  <c:v>25.900000000000038</c:v>
                </c:pt>
                <c:pt idx="710">
                  <c:v>26.000000000000039</c:v>
                </c:pt>
                <c:pt idx="711">
                  <c:v>26.100000000000041</c:v>
                </c:pt>
                <c:pt idx="712">
                  <c:v>26.200000000000042</c:v>
                </c:pt>
                <c:pt idx="713">
                  <c:v>26.300000000000043</c:v>
                </c:pt>
                <c:pt idx="714">
                  <c:v>26.400000000000045</c:v>
                </c:pt>
                <c:pt idx="715">
                  <c:v>26.500000000000046</c:v>
                </c:pt>
                <c:pt idx="716">
                  <c:v>26.600000000000048</c:v>
                </c:pt>
                <c:pt idx="717">
                  <c:v>26.700000000000049</c:v>
                </c:pt>
                <c:pt idx="718">
                  <c:v>26.80000000000005</c:v>
                </c:pt>
                <c:pt idx="719">
                  <c:v>26.900000000000052</c:v>
                </c:pt>
                <c:pt idx="720">
                  <c:v>27.000000000000053</c:v>
                </c:pt>
                <c:pt idx="721">
                  <c:v>27.100000000000055</c:v>
                </c:pt>
                <c:pt idx="722">
                  <c:v>27.200000000000056</c:v>
                </c:pt>
                <c:pt idx="723">
                  <c:v>27.300000000000058</c:v>
                </c:pt>
                <c:pt idx="724">
                  <c:v>27.400000000000059</c:v>
                </c:pt>
                <c:pt idx="725">
                  <c:v>27.50000000000006</c:v>
                </c:pt>
                <c:pt idx="726">
                  <c:v>27.600000000000062</c:v>
                </c:pt>
                <c:pt idx="727">
                  <c:v>27.700000000000063</c:v>
                </c:pt>
                <c:pt idx="728">
                  <c:v>27.800000000000065</c:v>
                </c:pt>
                <c:pt idx="729">
                  <c:v>27.900000000000066</c:v>
                </c:pt>
                <c:pt idx="730">
                  <c:v>28.000000000000068</c:v>
                </c:pt>
                <c:pt idx="731">
                  <c:v>28.100000000000069</c:v>
                </c:pt>
                <c:pt idx="732">
                  <c:v>28.20000000000007</c:v>
                </c:pt>
                <c:pt idx="733">
                  <c:v>28.300000000000072</c:v>
                </c:pt>
                <c:pt idx="734">
                  <c:v>28.400000000000073</c:v>
                </c:pt>
                <c:pt idx="735">
                  <c:v>28.500000000000075</c:v>
                </c:pt>
                <c:pt idx="736">
                  <c:v>28.600000000000076</c:v>
                </c:pt>
                <c:pt idx="737">
                  <c:v>28.700000000000077</c:v>
                </c:pt>
                <c:pt idx="738">
                  <c:v>28.800000000000079</c:v>
                </c:pt>
                <c:pt idx="739">
                  <c:v>28.90000000000008</c:v>
                </c:pt>
                <c:pt idx="740">
                  <c:v>29.000000000000082</c:v>
                </c:pt>
                <c:pt idx="741">
                  <c:v>29.100000000000083</c:v>
                </c:pt>
                <c:pt idx="742">
                  <c:v>29.200000000000085</c:v>
                </c:pt>
                <c:pt idx="743">
                  <c:v>29.300000000000086</c:v>
                </c:pt>
                <c:pt idx="744">
                  <c:v>29.400000000000087</c:v>
                </c:pt>
                <c:pt idx="745">
                  <c:v>29.500000000000089</c:v>
                </c:pt>
                <c:pt idx="746">
                  <c:v>29.60000000000009</c:v>
                </c:pt>
                <c:pt idx="747">
                  <c:v>29.700000000000092</c:v>
                </c:pt>
                <c:pt idx="748">
                  <c:v>29.800000000000093</c:v>
                </c:pt>
                <c:pt idx="749">
                  <c:v>29.900000000000095</c:v>
                </c:pt>
                <c:pt idx="750">
                  <c:v>30.000000000000096</c:v>
                </c:pt>
                <c:pt idx="751">
                  <c:v>30.100000000000097</c:v>
                </c:pt>
                <c:pt idx="752">
                  <c:v>30.200000000000099</c:v>
                </c:pt>
                <c:pt idx="753">
                  <c:v>30.3000000000001</c:v>
                </c:pt>
                <c:pt idx="754">
                  <c:v>30.400000000000102</c:v>
                </c:pt>
                <c:pt idx="755">
                  <c:v>30.500000000000103</c:v>
                </c:pt>
                <c:pt idx="756">
                  <c:v>30.600000000000104</c:v>
                </c:pt>
                <c:pt idx="757">
                  <c:v>30.700000000000106</c:v>
                </c:pt>
                <c:pt idx="758">
                  <c:v>30.800000000000107</c:v>
                </c:pt>
                <c:pt idx="759">
                  <c:v>30.900000000000109</c:v>
                </c:pt>
                <c:pt idx="760">
                  <c:v>31.00000000000011</c:v>
                </c:pt>
                <c:pt idx="761">
                  <c:v>31.100000000000112</c:v>
                </c:pt>
                <c:pt idx="762">
                  <c:v>31.200000000000113</c:v>
                </c:pt>
                <c:pt idx="763">
                  <c:v>31.300000000000114</c:v>
                </c:pt>
                <c:pt idx="764">
                  <c:v>31.400000000000116</c:v>
                </c:pt>
                <c:pt idx="765">
                  <c:v>31.500000000000117</c:v>
                </c:pt>
                <c:pt idx="766">
                  <c:v>31.600000000000119</c:v>
                </c:pt>
                <c:pt idx="767">
                  <c:v>31.70000000000012</c:v>
                </c:pt>
                <c:pt idx="768">
                  <c:v>31.800000000000122</c:v>
                </c:pt>
                <c:pt idx="769">
                  <c:v>31.900000000000123</c:v>
                </c:pt>
                <c:pt idx="770">
                  <c:v>32.000000000000121</c:v>
                </c:pt>
                <c:pt idx="771">
                  <c:v>32.100000000000122</c:v>
                </c:pt>
                <c:pt idx="772">
                  <c:v>32.200000000000124</c:v>
                </c:pt>
                <c:pt idx="773">
                  <c:v>32.300000000000125</c:v>
                </c:pt>
                <c:pt idx="774">
                  <c:v>32.400000000000126</c:v>
                </c:pt>
                <c:pt idx="775">
                  <c:v>32.500000000000128</c:v>
                </c:pt>
                <c:pt idx="776">
                  <c:v>32.600000000000129</c:v>
                </c:pt>
                <c:pt idx="777">
                  <c:v>32.700000000000131</c:v>
                </c:pt>
                <c:pt idx="778">
                  <c:v>32.800000000000132</c:v>
                </c:pt>
                <c:pt idx="779">
                  <c:v>32.900000000000134</c:v>
                </c:pt>
                <c:pt idx="780">
                  <c:v>33.000000000000135</c:v>
                </c:pt>
                <c:pt idx="781">
                  <c:v>33.100000000000136</c:v>
                </c:pt>
                <c:pt idx="782">
                  <c:v>33.200000000000138</c:v>
                </c:pt>
                <c:pt idx="783">
                  <c:v>33.300000000000139</c:v>
                </c:pt>
                <c:pt idx="784">
                  <c:v>33.400000000000141</c:v>
                </c:pt>
                <c:pt idx="785">
                  <c:v>33.500000000000142</c:v>
                </c:pt>
                <c:pt idx="786">
                  <c:v>33.600000000000144</c:v>
                </c:pt>
                <c:pt idx="787">
                  <c:v>33.700000000000145</c:v>
                </c:pt>
                <c:pt idx="788">
                  <c:v>33.800000000000146</c:v>
                </c:pt>
                <c:pt idx="789">
                  <c:v>33.900000000000148</c:v>
                </c:pt>
                <c:pt idx="790">
                  <c:v>34.000000000000149</c:v>
                </c:pt>
                <c:pt idx="791">
                  <c:v>34.100000000000151</c:v>
                </c:pt>
                <c:pt idx="792">
                  <c:v>34.200000000000152</c:v>
                </c:pt>
                <c:pt idx="793">
                  <c:v>34.300000000000153</c:v>
                </c:pt>
                <c:pt idx="794">
                  <c:v>34.400000000000155</c:v>
                </c:pt>
                <c:pt idx="795">
                  <c:v>34.500000000000156</c:v>
                </c:pt>
                <c:pt idx="796">
                  <c:v>34.600000000000158</c:v>
                </c:pt>
                <c:pt idx="797">
                  <c:v>34.700000000000159</c:v>
                </c:pt>
                <c:pt idx="798">
                  <c:v>34.800000000000161</c:v>
                </c:pt>
                <c:pt idx="799">
                  <c:v>34.900000000000162</c:v>
                </c:pt>
                <c:pt idx="800">
                  <c:v>35.000000000000163</c:v>
                </c:pt>
                <c:pt idx="801">
                  <c:v>35.100000000000165</c:v>
                </c:pt>
                <c:pt idx="802">
                  <c:v>35.200000000000166</c:v>
                </c:pt>
                <c:pt idx="803">
                  <c:v>35.300000000000168</c:v>
                </c:pt>
                <c:pt idx="804">
                  <c:v>35.400000000000169</c:v>
                </c:pt>
                <c:pt idx="805">
                  <c:v>35.500000000000171</c:v>
                </c:pt>
                <c:pt idx="806">
                  <c:v>35.600000000000172</c:v>
                </c:pt>
                <c:pt idx="807">
                  <c:v>35.700000000000173</c:v>
                </c:pt>
                <c:pt idx="808">
                  <c:v>35.800000000000175</c:v>
                </c:pt>
                <c:pt idx="809">
                  <c:v>35.900000000000176</c:v>
                </c:pt>
                <c:pt idx="810">
                  <c:v>36.000000000000178</c:v>
                </c:pt>
                <c:pt idx="811">
                  <c:v>36.100000000000179</c:v>
                </c:pt>
                <c:pt idx="812">
                  <c:v>36.20000000000018</c:v>
                </c:pt>
                <c:pt idx="813">
                  <c:v>36.300000000000182</c:v>
                </c:pt>
                <c:pt idx="814">
                  <c:v>36.400000000000183</c:v>
                </c:pt>
                <c:pt idx="815">
                  <c:v>36.500000000000185</c:v>
                </c:pt>
                <c:pt idx="816">
                  <c:v>36.600000000000186</c:v>
                </c:pt>
                <c:pt idx="817">
                  <c:v>36.700000000000188</c:v>
                </c:pt>
                <c:pt idx="818">
                  <c:v>36.800000000000189</c:v>
                </c:pt>
                <c:pt idx="819">
                  <c:v>36.90000000000019</c:v>
                </c:pt>
                <c:pt idx="820">
                  <c:v>37.000000000000192</c:v>
                </c:pt>
                <c:pt idx="821">
                  <c:v>37.100000000000193</c:v>
                </c:pt>
                <c:pt idx="822">
                  <c:v>37.200000000000195</c:v>
                </c:pt>
                <c:pt idx="823">
                  <c:v>37.300000000000196</c:v>
                </c:pt>
                <c:pt idx="824">
                  <c:v>37.400000000000198</c:v>
                </c:pt>
                <c:pt idx="825">
                  <c:v>37.500000000000199</c:v>
                </c:pt>
                <c:pt idx="826">
                  <c:v>37.6000000000002</c:v>
                </c:pt>
                <c:pt idx="827">
                  <c:v>37.700000000000202</c:v>
                </c:pt>
                <c:pt idx="828">
                  <c:v>37.800000000000203</c:v>
                </c:pt>
                <c:pt idx="829">
                  <c:v>37.900000000000205</c:v>
                </c:pt>
                <c:pt idx="830">
                  <c:v>38.000000000000206</c:v>
                </c:pt>
                <c:pt idx="831">
                  <c:v>38.100000000000207</c:v>
                </c:pt>
                <c:pt idx="832">
                  <c:v>38.200000000000209</c:v>
                </c:pt>
                <c:pt idx="833">
                  <c:v>38.30000000000021</c:v>
                </c:pt>
                <c:pt idx="834">
                  <c:v>38.400000000000212</c:v>
                </c:pt>
                <c:pt idx="835">
                  <c:v>38.500000000000213</c:v>
                </c:pt>
                <c:pt idx="836">
                  <c:v>38.600000000000215</c:v>
                </c:pt>
                <c:pt idx="837">
                  <c:v>38.700000000000216</c:v>
                </c:pt>
                <c:pt idx="838">
                  <c:v>38.800000000000217</c:v>
                </c:pt>
                <c:pt idx="839">
                  <c:v>38.900000000000219</c:v>
                </c:pt>
                <c:pt idx="840">
                  <c:v>39.00000000000022</c:v>
                </c:pt>
                <c:pt idx="841">
                  <c:v>39.100000000000222</c:v>
                </c:pt>
                <c:pt idx="842">
                  <c:v>39.200000000000223</c:v>
                </c:pt>
                <c:pt idx="843">
                  <c:v>39.300000000000225</c:v>
                </c:pt>
                <c:pt idx="844">
                  <c:v>39.400000000000226</c:v>
                </c:pt>
                <c:pt idx="845">
                  <c:v>39.500000000000227</c:v>
                </c:pt>
                <c:pt idx="846">
                  <c:v>39.600000000000229</c:v>
                </c:pt>
                <c:pt idx="847">
                  <c:v>39.70000000000023</c:v>
                </c:pt>
                <c:pt idx="848">
                  <c:v>39.800000000000232</c:v>
                </c:pt>
                <c:pt idx="849">
                  <c:v>39.900000000000233</c:v>
                </c:pt>
                <c:pt idx="850">
                  <c:v>40.000000000000234</c:v>
                </c:pt>
                <c:pt idx="851">
                  <c:v>40.100000000000236</c:v>
                </c:pt>
                <c:pt idx="852">
                  <c:v>40.200000000000237</c:v>
                </c:pt>
                <c:pt idx="853">
                  <c:v>40.300000000000239</c:v>
                </c:pt>
                <c:pt idx="854">
                  <c:v>40.40000000000024</c:v>
                </c:pt>
                <c:pt idx="855">
                  <c:v>40.500000000000242</c:v>
                </c:pt>
                <c:pt idx="856">
                  <c:v>40.600000000000243</c:v>
                </c:pt>
                <c:pt idx="857">
                  <c:v>40.700000000000244</c:v>
                </c:pt>
                <c:pt idx="858">
                  <c:v>40.800000000000246</c:v>
                </c:pt>
                <c:pt idx="859">
                  <c:v>40.900000000000247</c:v>
                </c:pt>
                <c:pt idx="860">
                  <c:v>41.000000000000249</c:v>
                </c:pt>
                <c:pt idx="861">
                  <c:v>41.10000000000025</c:v>
                </c:pt>
                <c:pt idx="862">
                  <c:v>41.200000000000252</c:v>
                </c:pt>
                <c:pt idx="863">
                  <c:v>41.300000000000253</c:v>
                </c:pt>
                <c:pt idx="864">
                  <c:v>41.400000000000254</c:v>
                </c:pt>
                <c:pt idx="865">
                  <c:v>41.500000000000256</c:v>
                </c:pt>
                <c:pt idx="866">
                  <c:v>41.600000000000257</c:v>
                </c:pt>
                <c:pt idx="867">
                  <c:v>41.700000000000259</c:v>
                </c:pt>
                <c:pt idx="868">
                  <c:v>41.80000000000026</c:v>
                </c:pt>
                <c:pt idx="869">
                  <c:v>41.900000000000261</c:v>
                </c:pt>
                <c:pt idx="870">
                  <c:v>42.000000000000263</c:v>
                </c:pt>
                <c:pt idx="871">
                  <c:v>42.100000000000264</c:v>
                </c:pt>
                <c:pt idx="872">
                  <c:v>42.200000000000266</c:v>
                </c:pt>
                <c:pt idx="873">
                  <c:v>42.300000000000267</c:v>
                </c:pt>
                <c:pt idx="874">
                  <c:v>42.400000000000269</c:v>
                </c:pt>
                <c:pt idx="875">
                  <c:v>42.50000000000027</c:v>
                </c:pt>
                <c:pt idx="876">
                  <c:v>42.600000000000271</c:v>
                </c:pt>
                <c:pt idx="877">
                  <c:v>42.700000000000273</c:v>
                </c:pt>
                <c:pt idx="878">
                  <c:v>42.800000000000274</c:v>
                </c:pt>
                <c:pt idx="879">
                  <c:v>42.900000000000276</c:v>
                </c:pt>
                <c:pt idx="880">
                  <c:v>43.000000000000277</c:v>
                </c:pt>
                <c:pt idx="881">
                  <c:v>43.100000000000279</c:v>
                </c:pt>
                <c:pt idx="882">
                  <c:v>43.20000000000028</c:v>
                </c:pt>
                <c:pt idx="883">
                  <c:v>43.300000000000281</c:v>
                </c:pt>
                <c:pt idx="884">
                  <c:v>43.400000000000283</c:v>
                </c:pt>
                <c:pt idx="885">
                  <c:v>43.500000000000284</c:v>
                </c:pt>
                <c:pt idx="886">
                  <c:v>43.600000000000286</c:v>
                </c:pt>
                <c:pt idx="887">
                  <c:v>43.700000000000287</c:v>
                </c:pt>
                <c:pt idx="888">
                  <c:v>43.800000000000288</c:v>
                </c:pt>
                <c:pt idx="889">
                  <c:v>43.90000000000029</c:v>
                </c:pt>
                <c:pt idx="890">
                  <c:v>44.000000000000291</c:v>
                </c:pt>
                <c:pt idx="891">
                  <c:v>44.100000000000293</c:v>
                </c:pt>
                <c:pt idx="892">
                  <c:v>44.200000000000294</c:v>
                </c:pt>
                <c:pt idx="893">
                  <c:v>44.300000000000296</c:v>
                </c:pt>
                <c:pt idx="894">
                  <c:v>44.400000000000297</c:v>
                </c:pt>
                <c:pt idx="895">
                  <c:v>44.500000000000298</c:v>
                </c:pt>
                <c:pt idx="896">
                  <c:v>44.6000000000003</c:v>
                </c:pt>
                <c:pt idx="897">
                  <c:v>44.700000000000301</c:v>
                </c:pt>
                <c:pt idx="898">
                  <c:v>44.800000000000303</c:v>
                </c:pt>
                <c:pt idx="899">
                  <c:v>44.900000000000304</c:v>
                </c:pt>
                <c:pt idx="900">
                  <c:v>45.000000000000306</c:v>
                </c:pt>
                <c:pt idx="901">
                  <c:v>45.100000000000307</c:v>
                </c:pt>
                <c:pt idx="902">
                  <c:v>45.200000000000308</c:v>
                </c:pt>
                <c:pt idx="903">
                  <c:v>45.30000000000031</c:v>
                </c:pt>
                <c:pt idx="904">
                  <c:v>45.400000000000311</c:v>
                </c:pt>
                <c:pt idx="905">
                  <c:v>45.500000000000313</c:v>
                </c:pt>
                <c:pt idx="906">
                  <c:v>45.600000000000314</c:v>
                </c:pt>
                <c:pt idx="907">
                  <c:v>45.700000000000315</c:v>
                </c:pt>
                <c:pt idx="908">
                  <c:v>45.800000000000317</c:v>
                </c:pt>
                <c:pt idx="909">
                  <c:v>45.900000000000318</c:v>
                </c:pt>
                <c:pt idx="910">
                  <c:v>46.00000000000032</c:v>
                </c:pt>
                <c:pt idx="911">
                  <c:v>46.100000000000321</c:v>
                </c:pt>
                <c:pt idx="912">
                  <c:v>46.200000000000323</c:v>
                </c:pt>
                <c:pt idx="913">
                  <c:v>46.300000000000324</c:v>
                </c:pt>
                <c:pt idx="914">
                  <c:v>46.400000000000325</c:v>
                </c:pt>
                <c:pt idx="915">
                  <c:v>46.500000000000327</c:v>
                </c:pt>
                <c:pt idx="916">
                  <c:v>46.600000000000328</c:v>
                </c:pt>
                <c:pt idx="917">
                  <c:v>46.70000000000033</c:v>
                </c:pt>
                <c:pt idx="918">
                  <c:v>46.800000000000331</c:v>
                </c:pt>
                <c:pt idx="919">
                  <c:v>46.900000000000333</c:v>
                </c:pt>
                <c:pt idx="920">
                  <c:v>47.000000000000334</c:v>
                </c:pt>
                <c:pt idx="921">
                  <c:v>47.100000000000335</c:v>
                </c:pt>
                <c:pt idx="922">
                  <c:v>47.200000000000337</c:v>
                </c:pt>
                <c:pt idx="923">
                  <c:v>47.300000000000338</c:v>
                </c:pt>
                <c:pt idx="924">
                  <c:v>47.40000000000034</c:v>
                </c:pt>
                <c:pt idx="925">
                  <c:v>47.500000000000341</c:v>
                </c:pt>
                <c:pt idx="926">
                  <c:v>47.600000000000342</c:v>
                </c:pt>
                <c:pt idx="927">
                  <c:v>47.700000000000344</c:v>
                </c:pt>
                <c:pt idx="928">
                  <c:v>47.800000000000345</c:v>
                </c:pt>
                <c:pt idx="929">
                  <c:v>47.900000000000347</c:v>
                </c:pt>
                <c:pt idx="930">
                  <c:v>48.000000000000348</c:v>
                </c:pt>
                <c:pt idx="931">
                  <c:v>48.10000000000035</c:v>
                </c:pt>
                <c:pt idx="932">
                  <c:v>48.200000000000351</c:v>
                </c:pt>
                <c:pt idx="933">
                  <c:v>48.300000000000352</c:v>
                </c:pt>
                <c:pt idx="934">
                  <c:v>48.400000000000354</c:v>
                </c:pt>
                <c:pt idx="935">
                  <c:v>48.500000000000355</c:v>
                </c:pt>
                <c:pt idx="936">
                  <c:v>48.600000000000357</c:v>
                </c:pt>
                <c:pt idx="937">
                  <c:v>48.700000000000358</c:v>
                </c:pt>
                <c:pt idx="938">
                  <c:v>48.80000000000036</c:v>
                </c:pt>
                <c:pt idx="939">
                  <c:v>48.900000000000361</c:v>
                </c:pt>
                <c:pt idx="940">
                  <c:v>49.000000000000362</c:v>
                </c:pt>
                <c:pt idx="941">
                  <c:v>49.100000000000364</c:v>
                </c:pt>
                <c:pt idx="942">
                  <c:v>49.200000000000365</c:v>
                </c:pt>
                <c:pt idx="943">
                  <c:v>49.300000000000367</c:v>
                </c:pt>
                <c:pt idx="944">
                  <c:v>49.30010000000037</c:v>
                </c:pt>
                <c:pt idx="945">
                  <c:v>49.300200000000373</c:v>
                </c:pt>
                <c:pt idx="946">
                  <c:v>49.300300000000377</c:v>
                </c:pt>
                <c:pt idx="947">
                  <c:v>49.30040000000038</c:v>
                </c:pt>
                <c:pt idx="948">
                  <c:v>49.300500000000383</c:v>
                </c:pt>
                <c:pt idx="949">
                  <c:v>49.300600000000387</c:v>
                </c:pt>
                <c:pt idx="950">
                  <c:v>49.30070000000039</c:v>
                </c:pt>
                <c:pt idx="951">
                  <c:v>49.300800000000393</c:v>
                </c:pt>
                <c:pt idx="952">
                  <c:v>49.300900000000397</c:v>
                </c:pt>
                <c:pt idx="953">
                  <c:v>49.3010000000004</c:v>
                </c:pt>
                <c:pt idx="954">
                  <c:v>49.301100000000403</c:v>
                </c:pt>
                <c:pt idx="955">
                  <c:v>49.301200000000406</c:v>
                </c:pt>
                <c:pt idx="956">
                  <c:v>49.30130000000041</c:v>
                </c:pt>
                <c:pt idx="957">
                  <c:v>49.301400000000413</c:v>
                </c:pt>
                <c:pt idx="958">
                  <c:v>49.301500000000416</c:v>
                </c:pt>
                <c:pt idx="959">
                  <c:v>49.30160000000042</c:v>
                </c:pt>
                <c:pt idx="960">
                  <c:v>49.301700000000423</c:v>
                </c:pt>
                <c:pt idx="961">
                  <c:v>49.301800000000426</c:v>
                </c:pt>
                <c:pt idx="962">
                  <c:v>49.30190000000043</c:v>
                </c:pt>
                <c:pt idx="963">
                  <c:v>49.302000000000433</c:v>
                </c:pt>
                <c:pt idx="964">
                  <c:v>49.302100000000436</c:v>
                </c:pt>
                <c:pt idx="965">
                  <c:v>49.30220000000044</c:v>
                </c:pt>
                <c:pt idx="966">
                  <c:v>49.302300000000443</c:v>
                </c:pt>
                <c:pt idx="967">
                  <c:v>49.302400000000446</c:v>
                </c:pt>
                <c:pt idx="968">
                  <c:v>49.30250000000045</c:v>
                </c:pt>
                <c:pt idx="969">
                  <c:v>49.302600000000453</c:v>
                </c:pt>
                <c:pt idx="970">
                  <c:v>49.302700000000456</c:v>
                </c:pt>
                <c:pt idx="971">
                  <c:v>49.30280000000046</c:v>
                </c:pt>
                <c:pt idx="972">
                  <c:v>49.302900000000463</c:v>
                </c:pt>
                <c:pt idx="973">
                  <c:v>49.303000000000466</c:v>
                </c:pt>
                <c:pt idx="974">
                  <c:v>49.30310000000047</c:v>
                </c:pt>
                <c:pt idx="975">
                  <c:v>49.303200000000473</c:v>
                </c:pt>
                <c:pt idx="976">
                  <c:v>49.303300000000476</c:v>
                </c:pt>
                <c:pt idx="977">
                  <c:v>49.30340000000048</c:v>
                </c:pt>
                <c:pt idx="978">
                  <c:v>49.303500000000483</c:v>
                </c:pt>
                <c:pt idx="979">
                  <c:v>49.303600000000486</c:v>
                </c:pt>
                <c:pt idx="980">
                  <c:v>49.303700000000489</c:v>
                </c:pt>
                <c:pt idx="981">
                  <c:v>49.303800000000493</c:v>
                </c:pt>
                <c:pt idx="982">
                  <c:v>49.303900000000496</c:v>
                </c:pt>
                <c:pt idx="983">
                  <c:v>49.304000000000499</c:v>
                </c:pt>
                <c:pt idx="984">
                  <c:v>49.304100000000503</c:v>
                </c:pt>
                <c:pt idx="985">
                  <c:v>49.304200000000506</c:v>
                </c:pt>
                <c:pt idx="986">
                  <c:v>49.304300000000509</c:v>
                </c:pt>
                <c:pt idx="987">
                  <c:v>49.304400000000513</c:v>
                </c:pt>
                <c:pt idx="988">
                  <c:v>49.304500000000516</c:v>
                </c:pt>
                <c:pt idx="989">
                  <c:v>49.304600000000519</c:v>
                </c:pt>
                <c:pt idx="990">
                  <c:v>49.304700000000523</c:v>
                </c:pt>
                <c:pt idx="991">
                  <c:v>49.304800000000526</c:v>
                </c:pt>
                <c:pt idx="992">
                  <c:v>49.304900000000529</c:v>
                </c:pt>
                <c:pt idx="993">
                  <c:v>49.305000000000533</c:v>
                </c:pt>
                <c:pt idx="994">
                  <c:v>49.305100000000536</c:v>
                </c:pt>
                <c:pt idx="995">
                  <c:v>49.305200000000539</c:v>
                </c:pt>
                <c:pt idx="996">
                  <c:v>49.305300000000543</c:v>
                </c:pt>
                <c:pt idx="997">
                  <c:v>49.305400000000546</c:v>
                </c:pt>
                <c:pt idx="998">
                  <c:v>49.305500000000549</c:v>
                </c:pt>
                <c:pt idx="999">
                  <c:v>49.305600000000553</c:v>
                </c:pt>
                <c:pt idx="1000">
                  <c:v>49.305700000000556</c:v>
                </c:pt>
              </c:numCache>
            </c:numRef>
          </c:xVal>
          <c:yVal>
            <c:numRef>
              <c:f>Calculs!$AH$4:$AH$1004</c:f>
              <c:numCache>
                <c:formatCode>0.00</c:formatCode>
                <c:ptCount val="1001"/>
                <c:pt idx="0">
                  <c:v>0</c:v>
                </c:pt>
                <c:pt idx="1">
                  <c:v>18.65346727766773</c:v>
                </c:pt>
                <c:pt idx="2">
                  <c:v>39.233758631136119</c:v>
                </c:pt>
                <c:pt idx="3">
                  <c:v>47.776669574099891</c:v>
                </c:pt>
                <c:pt idx="4">
                  <c:v>56.326007001277311</c:v>
                </c:pt>
                <c:pt idx="5">
                  <c:v>64.882826251421321</c:v>
                </c:pt>
                <c:pt idx="6">
                  <c:v>73.448175225548439</c:v>
                </c:pt>
                <c:pt idx="7">
                  <c:v>82.023094781172304</c:v>
                </c:pt>
                <c:pt idx="8">
                  <c:v>90.608619116597907</c:v>
                </c:pt>
                <c:pt idx="9">
                  <c:v>99.205776145668111</c:v>
                </c:pt>
                <c:pt idx="10">
                  <c:v>107.81558786333882</c:v>
                </c:pt>
                <c:pt idx="11">
                  <c:v>111.52241186606565</c:v>
                </c:pt>
                <c:pt idx="12">
                  <c:v>110.31555254543575</c:v>
                </c:pt>
                <c:pt idx="13">
                  <c:v>109.0687692728151</c:v>
                </c:pt>
                <c:pt idx="14">
                  <c:v>107.78202017380251</c:v>
                </c:pt>
                <c:pt idx="15">
                  <c:v>106.49274700651767</c:v>
                </c:pt>
                <c:pt idx="16">
                  <c:v>105.20099027524471</c:v>
                </c:pt>
                <c:pt idx="17">
                  <c:v>103.90679047539997</c:v>
                </c:pt>
                <c:pt idx="18">
                  <c:v>102.610188088059</c:v>
                </c:pt>
                <c:pt idx="19">
                  <c:v>101.31122357451108</c:v>
                </c:pt>
                <c:pt idx="20">
                  <c:v>100.00993737084214</c:v>
                </c:pt>
                <c:pt idx="21">
                  <c:v>98.706369882547904</c:v>
                </c:pt>
                <c:pt idx="22">
                  <c:v>97.400561479177611</c:v>
                </c:pt>
                <c:pt idx="23">
                  <c:v>96.092552489010259</c:v>
                </c:pt>
                <c:pt idx="24">
                  <c:v>94.78238319376355</c:v>
                </c:pt>
                <c:pt idx="25">
                  <c:v>93.47009382333745</c:v>
                </c:pt>
                <c:pt idx="26">
                  <c:v>92.155724550593007</c:v>
                </c:pt>
                <c:pt idx="27">
                  <c:v>91.500102439557523</c:v>
                </c:pt>
                <c:pt idx="28">
                  <c:v>91.504391540184585</c:v>
                </c:pt>
                <c:pt idx="29">
                  <c:v>91.508344327223213</c:v>
                </c:pt>
                <c:pt idx="30">
                  <c:v>91.511960364230646</c:v>
                </c:pt>
                <c:pt idx="31">
                  <c:v>91.515239221268033</c:v>
                </c:pt>
                <c:pt idx="32">
                  <c:v>91.518180474923611</c:v>
                </c:pt>
                <c:pt idx="33">
                  <c:v>91.520783708335657</c:v>
                </c:pt>
                <c:pt idx="34">
                  <c:v>91.523048511215549</c:v>
                </c:pt>
                <c:pt idx="35">
                  <c:v>91.524974410726941</c:v>
                </c:pt>
                <c:pt idx="36">
                  <c:v>91.526560929212906</c:v>
                </c:pt>
                <c:pt idx="37">
                  <c:v>91.527807666506206</c:v>
                </c:pt>
                <c:pt idx="38">
                  <c:v>91.528714229284844</c:v>
                </c:pt>
                <c:pt idx="39">
                  <c:v>91.529280231084797</c:v>
                </c:pt>
                <c:pt idx="40">
                  <c:v>91.529505292312408</c:v>
                </c:pt>
                <c:pt idx="41">
                  <c:v>91.52938904025693</c:v>
                </c:pt>
                <c:pt idx="42">
                  <c:v>91.528931109103723</c:v>
                </c:pt>
                <c:pt idx="43">
                  <c:v>91.52813113994759</c:v>
                </c:pt>
                <c:pt idx="44">
                  <c:v>91.526988780806178</c:v>
                </c:pt>
                <c:pt idx="45">
                  <c:v>91.52550368663384</c:v>
                </c:pt>
                <c:pt idx="46">
                  <c:v>91.523675519335384</c:v>
                </c:pt>
                <c:pt idx="47">
                  <c:v>91.521503947779891</c:v>
                </c:pt>
                <c:pt idx="48">
                  <c:v>91.518988647814837</c:v>
                </c:pt>
                <c:pt idx="49">
                  <c:v>91.516129302280049</c:v>
                </c:pt>
                <c:pt idx="50">
                  <c:v>91.512925601021621</c:v>
                </c:pt>
                <c:pt idx="51">
                  <c:v>91.50937724090592</c:v>
                </c:pt>
                <c:pt idx="52">
                  <c:v>91.505483925833587</c:v>
                </c:pt>
                <c:pt idx="53">
                  <c:v>91.501245366753224</c:v>
                </c:pt>
                <c:pt idx="54">
                  <c:v>91.496661281675316</c:v>
                </c:pt>
                <c:pt idx="55">
                  <c:v>91.491731395685875</c:v>
                </c:pt>
                <c:pt idx="56">
                  <c:v>91.486455440959858</c:v>
                </c:pt>
                <c:pt idx="57">
                  <c:v>91.480833156774779</c:v>
                </c:pt>
                <c:pt idx="58">
                  <c:v>91.474864289523822</c:v>
                </c:pt>
                <c:pt idx="59">
                  <c:v>91.468548592729078</c:v>
                </c:pt>
                <c:pt idx="60">
                  <c:v>91.46188582705436</c:v>
                </c:pt>
                <c:pt idx="61">
                  <c:v>91.45487576031816</c:v>
                </c:pt>
                <c:pt idx="62">
                  <c:v>91.447518167506132</c:v>
                </c:pt>
                <c:pt idx="63">
                  <c:v>91.439812830783396</c:v>
                </c:pt>
                <c:pt idx="64">
                  <c:v>91.431759539506942</c:v>
                </c:pt>
                <c:pt idx="65">
                  <c:v>91.423358090237414</c:v>
                </c:pt>
                <c:pt idx="66">
                  <c:v>91.414608286750948</c:v>
                </c:pt>
                <c:pt idx="67">
                  <c:v>91.40550994005082</c:v>
                </c:pt>
                <c:pt idx="68">
                  <c:v>91.396062868378493</c:v>
                </c:pt>
                <c:pt idx="69">
                  <c:v>91.386266897224871</c:v>
                </c:pt>
                <c:pt idx="70">
                  <c:v>91.376121859341168</c:v>
                </c:pt>
                <c:pt idx="71">
                  <c:v>91.365627594749299</c:v>
                </c:pt>
                <c:pt idx="72">
                  <c:v>91.347221314390708</c:v>
                </c:pt>
                <c:pt idx="73">
                  <c:v>91.320891128324106</c:v>
                </c:pt>
                <c:pt idx="74">
                  <c:v>91.29419489009409</c:v>
                </c:pt>
                <c:pt idx="75">
                  <c:v>91.267132647726726</c:v>
                </c:pt>
                <c:pt idx="76">
                  <c:v>91.239704457124432</c:v>
                </c:pt>
                <c:pt idx="77">
                  <c:v>91.21191038206716</c:v>
                </c:pt>
                <c:pt idx="78">
                  <c:v>91.183750494213299</c:v>
                </c:pt>
                <c:pt idx="79">
                  <c:v>91.155224873100352</c:v>
                </c:pt>
                <c:pt idx="80">
                  <c:v>91.126333606145124</c:v>
                </c:pt>
                <c:pt idx="81">
                  <c:v>91.097076788643761</c:v>
                </c:pt>
                <c:pt idx="82">
                  <c:v>91.067454523771332</c:v>
                </c:pt>
                <c:pt idx="83">
                  <c:v>91.037466922581118</c:v>
                </c:pt>
                <c:pt idx="84">
                  <c:v>91.007114104003577</c:v>
                </c:pt>
                <c:pt idx="85">
                  <c:v>90.97639619484498</c:v>
                </c:pt>
                <c:pt idx="86">
                  <c:v>90.945313329785733</c:v>
                </c:pt>
                <c:pt idx="87">
                  <c:v>90.913865651378302</c:v>
                </c:pt>
                <c:pt idx="88">
                  <c:v>90.88205331004481</c:v>
                </c:pt>
                <c:pt idx="89">
                  <c:v>90.849876464074399</c:v>
                </c:pt>
                <c:pt idx="90">
                  <c:v>90.817335279620053</c:v>
                </c:pt>
                <c:pt idx="91">
                  <c:v>90.784429930695268</c:v>
                </c:pt>
                <c:pt idx="92">
                  <c:v>90.751160599170305</c:v>
                </c:pt>
                <c:pt idx="93">
                  <c:v>90.717527474768062</c:v>
                </c:pt>
                <c:pt idx="94">
                  <c:v>90.683530755059635</c:v>
                </c:pt>
                <c:pt idx="95">
                  <c:v>90.649170645459577</c:v>
                </c:pt>
                <c:pt idx="96">
                  <c:v>90.614447359220719</c:v>
                </c:pt>
                <c:pt idx="97">
                  <c:v>90.579361117428689</c:v>
                </c:pt>
                <c:pt idx="98">
                  <c:v>90.5439121489961</c:v>
                </c:pt>
                <c:pt idx="99">
                  <c:v>90.508100690656377</c:v>
                </c:pt>
                <c:pt idx="100">
                  <c:v>90.4719269869572</c:v>
                </c:pt>
                <c:pt idx="101">
                  <c:v>90.435391290253648</c:v>
                </c:pt>
                <c:pt idx="102">
                  <c:v>90.398493860700952</c:v>
                </c:pt>
                <c:pt idx="103">
                  <c:v>90.361234966246911</c:v>
                </c:pt>
                <c:pt idx="104">
                  <c:v>90.323614882624014</c:v>
                </c:pt>
                <c:pt idx="105">
                  <c:v>90.285633893341071</c:v>
                </c:pt>
                <c:pt idx="106">
                  <c:v>90.247292289674618</c:v>
                </c:pt>
                <c:pt idx="107">
                  <c:v>90.208590370659948</c:v>
                </c:pt>
                <c:pt idx="108">
                  <c:v>90.169528443081731</c:v>
                </c:pt>
                <c:pt idx="109">
                  <c:v>90.130106821464395</c:v>
                </c:pt>
                <c:pt idx="110">
                  <c:v>90.090325828061978</c:v>
                </c:pt>
                <c:pt idx="111">
                  <c:v>90.050185792847856</c:v>
                </c:pt>
                <c:pt idx="112">
                  <c:v>90.009687053503839</c:v>
                </c:pt>
                <c:pt idx="113">
                  <c:v>89.968829955409319</c:v>
                </c:pt>
                <c:pt idx="114">
                  <c:v>89.927614851629556</c:v>
                </c:pt>
                <c:pt idx="115">
                  <c:v>89.886042102904042</c:v>
                </c:pt>
                <c:pt idx="116">
                  <c:v>89.844112077634321</c:v>
                </c:pt>
                <c:pt idx="117">
                  <c:v>89.801825151871483</c:v>
                </c:pt>
                <c:pt idx="118">
                  <c:v>89.759181709303363</c:v>
                </c:pt>
                <c:pt idx="119">
                  <c:v>89.716182141241205</c:v>
                </c:pt>
                <c:pt idx="120">
                  <c:v>89.672826846606355</c:v>
                </c:pt>
                <c:pt idx="121">
                  <c:v>89.629116231916129</c:v>
                </c:pt>
                <c:pt idx="122">
                  <c:v>89.585050711269716</c:v>
                </c:pt>
                <c:pt idx="123">
                  <c:v>89.54063070633363</c:v>
                </c:pt>
                <c:pt idx="124">
                  <c:v>89.495856646326601</c:v>
                </c:pt>
                <c:pt idx="125">
                  <c:v>89.450728968004469</c:v>
                </c:pt>
                <c:pt idx="126">
                  <c:v>89.40524811564454</c:v>
                </c:pt>
                <c:pt idx="127">
                  <c:v>89.359414541029537</c:v>
                </c:pt>
                <c:pt idx="128">
                  <c:v>89.313228703431378</c:v>
                </c:pt>
                <c:pt idx="129">
                  <c:v>89.231748956800203</c:v>
                </c:pt>
                <c:pt idx="130">
                  <c:v>89.114930445778171</c:v>
                </c:pt>
                <c:pt idx="131">
                  <c:v>88.997703229539624</c:v>
                </c:pt>
                <c:pt idx="132">
                  <c:v>88.880068754669608</c:v>
                </c:pt>
                <c:pt idx="133">
                  <c:v>88.762028475850784</c:v>
                </c:pt>
                <c:pt idx="134">
                  <c:v>88.643583855796223</c:v>
                </c:pt>
                <c:pt idx="135">
                  <c:v>88.524736365181866</c:v>
                </c:pt>
                <c:pt idx="136">
                  <c:v>88.405487482578607</c:v>
                </c:pt>
                <c:pt idx="137">
                  <c:v>88.285838694384111</c:v>
                </c:pt>
                <c:pt idx="138">
                  <c:v>88.165791494754345</c:v>
                </c:pt>
                <c:pt idx="139">
                  <c:v>88.045347385534612</c:v>
                </c:pt>
                <c:pt idx="140">
                  <c:v>87.924507876190603</c:v>
                </c:pt>
                <c:pt idx="141">
                  <c:v>87.803274483738818</c:v>
                </c:pt>
                <c:pt idx="142">
                  <c:v>87.681648732676905</c:v>
                </c:pt>
                <c:pt idx="143">
                  <c:v>87.559632154913587</c:v>
                </c:pt>
                <c:pt idx="144">
                  <c:v>87.437226289698415</c:v>
                </c:pt>
                <c:pt idx="145">
                  <c:v>87.314432683551175</c:v>
                </c:pt>
                <c:pt idx="146">
                  <c:v>87.191252890191009</c:v>
                </c:pt>
                <c:pt idx="147">
                  <c:v>87.067688470465285</c:v>
                </c:pt>
                <c:pt idx="148">
                  <c:v>86.943740992278251</c:v>
                </c:pt>
                <c:pt idx="149">
                  <c:v>86.819412030519345</c:v>
                </c:pt>
                <c:pt idx="150">
                  <c:v>86.694703166991388</c:v>
                </c:pt>
                <c:pt idx="151">
                  <c:v>86.56961599033832</c:v>
                </c:pt>
                <c:pt idx="152">
                  <c:v>86.444152095972939</c:v>
                </c:pt>
                <c:pt idx="153">
                  <c:v>86.318313086004267</c:v>
                </c:pt>
                <c:pt idx="154">
                  <c:v>86.192100569164609</c:v>
                </c:pt>
                <c:pt idx="155">
                  <c:v>86.065516160736692</c:v>
                </c:pt>
                <c:pt idx="156">
                  <c:v>85.93856148248021</c:v>
                </c:pt>
                <c:pt idx="157">
                  <c:v>85.811238162558411</c:v>
                </c:pt>
                <c:pt idx="158">
                  <c:v>85.683547835464452</c:v>
                </c:pt>
                <c:pt idx="159">
                  <c:v>85.555492141947397</c:v>
                </c:pt>
                <c:pt idx="160">
                  <c:v>85.427072728938228</c:v>
                </c:pt>
                <c:pt idx="161">
                  <c:v>85.29829124947554</c:v>
                </c:pt>
                <c:pt idx="162">
                  <c:v>85.169149362631089</c:v>
                </c:pt>
                <c:pt idx="163">
                  <c:v>85.039648733435186</c:v>
                </c:pt>
                <c:pt idx="164">
                  <c:v>84.909791032801834</c:v>
                </c:pt>
                <c:pt idx="165">
                  <c:v>84.779577937453823</c:v>
                </c:pt>
                <c:pt idx="166">
                  <c:v>84.64901112984758</c:v>
                </c:pt>
                <c:pt idx="167">
                  <c:v>84.518092298097955</c:v>
                </c:pt>
                <c:pt idx="168">
                  <c:v>84.386823135902688</c:v>
                </c:pt>
                <c:pt idx="169">
                  <c:v>84.255205342466894</c:v>
                </c:pt>
                <c:pt idx="170">
                  <c:v>84.123240622427403</c:v>
                </c:pt>
                <c:pt idx="171">
                  <c:v>83.990930685776917</c:v>
                </c:pt>
                <c:pt idx="172">
                  <c:v>83.85827724778801</c:v>
                </c:pt>
                <c:pt idx="173">
                  <c:v>83.725282028937073</c:v>
                </c:pt>
                <c:pt idx="174">
                  <c:v>83.591946754828115</c:v>
                </c:pt>
                <c:pt idx="175">
                  <c:v>83.458273156116576</c:v>
                </c:pt>
                <c:pt idx="176">
                  <c:v>83.324262968432777</c:v>
                </c:pt>
                <c:pt idx="177">
                  <c:v>83.189917932305491</c:v>
                </c:pt>
                <c:pt idx="178">
                  <c:v>83.055239793085477</c:v>
                </c:pt>
                <c:pt idx="179">
                  <c:v>82.920230300868582</c:v>
                </c:pt>
                <c:pt idx="180">
                  <c:v>82.784891210419246</c:v>
                </c:pt>
                <c:pt idx="181">
                  <c:v>82.649224281093538</c:v>
                </c:pt>
                <c:pt idx="182">
                  <c:v>82.513231276762326</c:v>
                </c:pt>
                <c:pt idx="183">
                  <c:v>82.376913965734346</c:v>
                </c:pt>
                <c:pt idx="184">
                  <c:v>82.240274120679189</c:v>
                </c:pt>
                <c:pt idx="185">
                  <c:v>82.103313518550237</c:v>
                </c:pt>
                <c:pt idx="186">
                  <c:v>81.966033940507643</c:v>
                </c:pt>
                <c:pt idx="187">
                  <c:v>81.828437171841102</c:v>
                </c:pt>
                <c:pt idx="188">
                  <c:v>81.690525001892823</c:v>
                </c:pt>
                <c:pt idx="189">
                  <c:v>81.552299223980185</c:v>
                </c:pt>
                <c:pt idx="190">
                  <c:v>81.413761635318664</c:v>
                </c:pt>
                <c:pt idx="191">
                  <c:v>81.27491403694458</c:v>
                </c:pt>
                <c:pt idx="192">
                  <c:v>81.135758233637787</c:v>
                </c:pt>
                <c:pt idx="193">
                  <c:v>80.996296033844544</c:v>
                </c:pt>
                <c:pt idx="194">
                  <c:v>80.856529249600214</c:v>
                </c:pt>
                <c:pt idx="195">
                  <c:v>80.716459696452034</c:v>
                </c:pt>
                <c:pt idx="196">
                  <c:v>80.576089193381932</c:v>
                </c:pt>
                <c:pt idx="197">
                  <c:v>80.43541956272928</c:v>
                </c:pt>
                <c:pt idx="198">
                  <c:v>80.294452630113781</c:v>
                </c:pt>
                <c:pt idx="199">
                  <c:v>80.153190224358269</c:v>
                </c:pt>
                <c:pt idx="200">
                  <c:v>80.011634177411594</c:v>
                </c:pt>
                <c:pt idx="201">
                  <c:v>79.869786324271587</c:v>
                </c:pt>
                <c:pt idx="202">
                  <c:v>79.727648502907996</c:v>
                </c:pt>
                <c:pt idx="203">
                  <c:v>79.585222554185535</c:v>
                </c:pt>
                <c:pt idx="204">
                  <c:v>79.442510321786898</c:v>
                </c:pt>
                <c:pt idx="205">
                  <c:v>79.299513652135971</c:v>
                </c:pt>
                <c:pt idx="206">
                  <c:v>79.147688120402634</c:v>
                </c:pt>
                <c:pt idx="207">
                  <c:v>78.987028390473128</c:v>
                </c:pt>
                <c:pt idx="208">
                  <c:v>78.82608290607044</c:v>
                </c:pt>
                <c:pt idx="209">
                  <c:v>78.66485376996647</c:v>
                </c:pt>
                <c:pt idx="210">
                  <c:v>78.503343086738255</c:v>
                </c:pt>
                <c:pt idx="211">
                  <c:v>78.341552962679913</c:v>
                </c:pt>
                <c:pt idx="212">
                  <c:v>78.17948550571441</c:v>
                </c:pt>
                <c:pt idx="213">
                  <c:v>78.017142825305882</c:v>
                </c:pt>
                <c:pt idx="214">
                  <c:v>77.854527032371848</c:v>
                </c:pt>
                <c:pt idx="215">
                  <c:v>77.69164023919582</c:v>
                </c:pt>
                <c:pt idx="216">
                  <c:v>77.528484559340001</c:v>
                </c:pt>
                <c:pt idx="217">
                  <c:v>77.365062107558188</c:v>
                </c:pt>
                <c:pt idx="218">
                  <c:v>77.201374999708975</c:v>
                </c:pt>
                <c:pt idx="219">
                  <c:v>77.037425352669089</c:v>
                </c:pt>
                <c:pt idx="220">
                  <c:v>76.873215284246996</c:v>
                </c:pt>
                <c:pt idx="221">
                  <c:v>76.708746913096732</c:v>
                </c:pt>
                <c:pt idx="222">
                  <c:v>76.544022358631878</c:v>
                </c:pt>
                <c:pt idx="223">
                  <c:v>76.379043740939977</c:v>
                </c:pt>
                <c:pt idx="224">
                  <c:v>76.213813180696988</c:v>
                </c:pt>
                <c:pt idx="225">
                  <c:v>76.048332799082061</c:v>
                </c:pt>
                <c:pt idx="226">
                  <c:v>75.882604717692672</c:v>
                </c:pt>
                <c:pt idx="227">
                  <c:v>75.716631058459853</c:v>
                </c:pt>
                <c:pt idx="228">
                  <c:v>75.550413943563825</c:v>
                </c:pt>
                <c:pt idx="229">
                  <c:v>75.383955495349767</c:v>
                </c:pt>
                <c:pt idx="230">
                  <c:v>75.217257836244016</c:v>
                </c:pt>
                <c:pt idx="231">
                  <c:v>75.050323088670481</c:v>
                </c:pt>
                <c:pt idx="232">
                  <c:v>74.883153374967236</c:v>
                </c:pt>
                <c:pt idx="233">
                  <c:v>74.715750817303615</c:v>
                </c:pt>
                <c:pt idx="234">
                  <c:v>74.548117537597463</c:v>
                </c:pt>
                <c:pt idx="235">
                  <c:v>74.380255657432713</c:v>
                </c:pt>
                <c:pt idx="236">
                  <c:v>74.212167297977274</c:v>
                </c:pt>
                <c:pt idx="237">
                  <c:v>74.043854579901307</c:v>
                </c:pt>
                <c:pt idx="238">
                  <c:v>73.875319623295582</c:v>
                </c:pt>
                <c:pt idx="239">
                  <c:v>73.706564547590574</c:v>
                </c:pt>
                <c:pt idx="240">
                  <c:v>73.53759147147538</c:v>
                </c:pt>
                <c:pt idx="241">
                  <c:v>73.368402512817426</c:v>
                </c:pt>
                <c:pt idx="242">
                  <c:v>73.169402714413593</c:v>
                </c:pt>
                <c:pt idx="243">
                  <c:v>72.940575836458052</c:v>
                </c:pt>
                <c:pt idx="244">
                  <c:v>72.711527593695934</c:v>
                </c:pt>
                <c:pt idx="245">
                  <c:v>72.48226097727887</c:v>
                </c:pt>
                <c:pt idx="246">
                  <c:v>72.252778973790811</c:v>
                </c:pt>
                <c:pt idx="247">
                  <c:v>72.023084565130802</c:v>
                </c:pt>
                <c:pt idx="248">
                  <c:v>71.793180728396848</c:v>
                </c:pt>
                <c:pt idx="249">
                  <c:v>71.563070435770271</c:v>
                </c:pt>
                <c:pt idx="250">
                  <c:v>71.332756654401066</c:v>
                </c:pt>
                <c:pt idx="251">
                  <c:v>71.102242346294048</c:v>
                </c:pt>
                <c:pt idx="252">
                  <c:v>70.871530468195814</c:v>
                </c:pt>
                <c:pt idx="253">
                  <c:v>70.640623971482441</c:v>
                </c:pt>
                <c:pt idx="254">
                  <c:v>70.409525802048194</c:v>
                </c:pt>
                <c:pt idx="255">
                  <c:v>70.178238900194927</c:v>
                </c:pt>
                <c:pt idx="256">
                  <c:v>69.946766200522418</c:v>
                </c:pt>
                <c:pt idx="257">
                  <c:v>69.715110631819385</c:v>
                </c:pt>
                <c:pt idx="258">
                  <c:v>69.483275116955681</c:v>
                </c:pt>
                <c:pt idx="259">
                  <c:v>69.251262572774948</c:v>
                </c:pt>
                <c:pt idx="260">
                  <c:v>69.019075909988501</c:v>
                </c:pt>
                <c:pt idx="261">
                  <c:v>68.786718033069775</c:v>
                </c:pt>
                <c:pt idx="262">
                  <c:v>68.554191840149812</c:v>
                </c:pt>
                <c:pt idx="263">
                  <c:v>68.321500222913627</c:v>
                </c:pt>
                <c:pt idx="264">
                  <c:v>68.088646066497418</c:v>
                </c:pt>
                <c:pt idx="265">
                  <c:v>67.855632249386545</c:v>
                </c:pt>
                <c:pt idx="266">
                  <c:v>67.622461643314594</c:v>
                </c:pt>
                <c:pt idx="267">
                  <c:v>67.389137113163272</c:v>
                </c:pt>
                <c:pt idx="268">
                  <c:v>67.155661516863034</c:v>
                </c:pt>
                <c:pt idx="269">
                  <c:v>66.922037705294898</c:v>
                </c:pt>
                <c:pt idx="270">
                  <c:v>66.688268522192843</c:v>
                </c:pt>
                <c:pt idx="271">
                  <c:v>66.454356804047336</c:v>
                </c:pt>
                <c:pt idx="272">
                  <c:v>66.220305380009734</c:v>
                </c:pt>
                <c:pt idx="273">
                  <c:v>65.98611707179748</c:v>
                </c:pt>
                <c:pt idx="274">
                  <c:v>65.751794693600345</c:v>
                </c:pt>
                <c:pt idx="275">
                  <c:v>65.517341051987458</c:v>
                </c:pt>
                <c:pt idx="276">
                  <c:v>65.282758945815402</c:v>
                </c:pt>
                <c:pt idx="277">
                  <c:v>65.048051166137142</c:v>
                </c:pt>
                <c:pt idx="278">
                  <c:v>64.813220496111811</c:v>
                </c:pt>
                <c:pt idx="279">
                  <c:v>64.578269710915549</c:v>
                </c:pt>
                <c:pt idx="280">
                  <c:v>64.343201577653204</c:v>
                </c:pt>
                <c:pt idx="281">
                  <c:v>64.108018855270998</c:v>
                </c:pt>
                <c:pt idx="282">
                  <c:v>63.872724294470068</c:v>
                </c:pt>
                <c:pt idx="283">
                  <c:v>63.637320637620931</c:v>
                </c:pt>
                <c:pt idx="284">
                  <c:v>63.436627604677469</c:v>
                </c:pt>
                <c:pt idx="285">
                  <c:v>63.270659266555704</c:v>
                </c:pt>
                <c:pt idx="286">
                  <c:v>63.104585978714283</c:v>
                </c:pt>
                <c:pt idx="287">
                  <c:v>62.938409529576262</c:v>
                </c:pt>
                <c:pt idx="288">
                  <c:v>62.772131703650025</c:v>
                </c:pt>
                <c:pt idx="289">
                  <c:v>62.605754281479044</c:v>
                </c:pt>
                <c:pt idx="290">
                  <c:v>62.439279039592023</c:v>
                </c:pt>
                <c:pt idx="291">
                  <c:v>62.272707750453471</c:v>
                </c:pt>
                <c:pt idx="292">
                  <c:v>62.106042182414726</c:v>
                </c:pt>
                <c:pt idx="293">
                  <c:v>61.939284099665343</c:v>
                </c:pt>
                <c:pt idx="294">
                  <c:v>61.772435262185006</c:v>
                </c:pt>
                <c:pt idx="295">
                  <c:v>61.605497425695773</c:v>
                </c:pt>
                <c:pt idx="296">
                  <c:v>61.438472341614798</c:v>
                </c:pt>
                <c:pt idx="297">
                  <c:v>61.271361757007455</c:v>
                </c:pt>
                <c:pt idx="298">
                  <c:v>61.10416741454096</c:v>
                </c:pt>
                <c:pt idx="299">
                  <c:v>60.936891052438341</c:v>
                </c:pt>
                <c:pt idx="300">
                  <c:v>60.769534404432875</c:v>
                </c:pt>
                <c:pt idx="301">
                  <c:v>60.602099199722957</c:v>
                </c:pt>
                <c:pt idx="302">
                  <c:v>60.43458716292745</c:v>
                </c:pt>
                <c:pt idx="303">
                  <c:v>60.267000014041393</c:v>
                </c:pt>
                <c:pt idx="304">
                  <c:v>60.099339468392174</c:v>
                </c:pt>
                <c:pt idx="305">
                  <c:v>59.93160723659615</c:v>
                </c:pt>
                <c:pt idx="306">
                  <c:v>59.763805024515754</c:v>
                </c:pt>
                <c:pt idx="307">
                  <c:v>59.59593453321687</c:v>
                </c:pt>
                <c:pt idx="308">
                  <c:v>59.427997458926896</c:v>
                </c:pt>
                <c:pt idx="309">
                  <c:v>59.259995492993021</c:v>
                </c:pt>
                <c:pt idx="310">
                  <c:v>59.091930321841069</c:v>
                </c:pt>
                <c:pt idx="311">
                  <c:v>58.923803626934728</c:v>
                </c:pt>
                <c:pt idx="312">
                  <c:v>58.75561708473527</c:v>
                </c:pt>
                <c:pt idx="313">
                  <c:v>58.587372366661626</c:v>
                </c:pt>
                <c:pt idx="314">
                  <c:v>58.419071139051049</c:v>
                </c:pt>
                <c:pt idx="315">
                  <c:v>58.250715063120026</c:v>
                </c:pt>
                <c:pt idx="316">
                  <c:v>58.08230579492578</c:v>
                </c:pt>
                <c:pt idx="317">
                  <c:v>57.913844985328183</c:v>
                </c:pt>
                <c:pt idx="318">
                  <c:v>57.745334279952004</c:v>
                </c:pt>
                <c:pt idx="319">
                  <c:v>57.576775319149839</c:v>
                </c:pt>
                <c:pt idx="320">
                  <c:v>57.408169737965196</c:v>
                </c:pt>
                <c:pt idx="321">
                  <c:v>57.239519166096187</c:v>
                </c:pt>
                <c:pt idx="322">
                  <c:v>57.070825227859672</c:v>
                </c:pt>
                <c:pt idx="323">
                  <c:v>56.902089542155792</c:v>
                </c:pt>
                <c:pt idx="324">
                  <c:v>56.733313722432932</c:v>
                </c:pt>
                <c:pt idx="325">
                  <c:v>56.564499376653217</c:v>
                </c:pt>
                <c:pt idx="326">
                  <c:v>56.397790723744123</c:v>
                </c:pt>
                <c:pt idx="327">
                  <c:v>56.233189586227176</c:v>
                </c:pt>
                <c:pt idx="328">
                  <c:v>56.068553621195527</c:v>
                </c:pt>
                <c:pt idx="329">
                  <c:v>55.903884367657362</c:v>
                </c:pt>
                <c:pt idx="330">
                  <c:v>55.739183359249473</c:v>
                </c:pt>
                <c:pt idx="331">
                  <c:v>55.574452124206232</c:v>
                </c:pt>
                <c:pt idx="332">
                  <c:v>55.409692185328993</c:v>
                </c:pt>
                <c:pt idx="333">
                  <c:v>55.244905059956039</c:v>
                </c:pt>
                <c:pt idx="334">
                  <c:v>55.08009225993284</c:v>
                </c:pt>
                <c:pt idx="335">
                  <c:v>54.915255291582689</c:v>
                </c:pt>
                <c:pt idx="336">
                  <c:v>54.750395655677885</c:v>
                </c:pt>
                <c:pt idx="337">
                  <c:v>54.585514847411211</c:v>
                </c:pt>
                <c:pt idx="338">
                  <c:v>54.420614356367807</c:v>
                </c:pt>
                <c:pt idx="339">
                  <c:v>54.255695666497665</c:v>
                </c:pt>
                <c:pt idx="340">
                  <c:v>54.090760256088188</c:v>
                </c:pt>
                <c:pt idx="341">
                  <c:v>53.92580959773759</c:v>
                </c:pt>
                <c:pt idx="342">
                  <c:v>53.760845158328294</c:v>
                </c:pt>
                <c:pt idx="343">
                  <c:v>53.595868399000992</c:v>
                </c:pt>
                <c:pt idx="344">
                  <c:v>53.430880775129047</c:v>
                </c:pt>
                <c:pt idx="345">
                  <c:v>53.265883736293283</c:v>
                </c:pt>
                <c:pt idx="346">
                  <c:v>53.100878726257257</c:v>
                </c:pt>
                <c:pt idx="347">
                  <c:v>52.935867182942793</c:v>
                </c:pt>
                <c:pt idx="348">
                  <c:v>52.770850538406094</c:v>
                </c:pt>
                <c:pt idx="349">
                  <c:v>52.605830218814184</c:v>
                </c:pt>
                <c:pt idx="350">
                  <c:v>52.440807644421653</c:v>
                </c:pt>
                <c:pt idx="351">
                  <c:v>52.27578422954803</c:v>
                </c:pt>
                <c:pt idx="352">
                  <c:v>52.110761382555367</c:v>
                </c:pt>
                <c:pt idx="353">
                  <c:v>51.945740505826279</c:v>
                </c:pt>
                <c:pt idx="354">
                  <c:v>51.780722995742451</c:v>
                </c:pt>
                <c:pt idx="355">
                  <c:v>51.615710242663461</c:v>
                </c:pt>
                <c:pt idx="356">
                  <c:v>51.450703630906006</c:v>
                </c:pt>
                <c:pt idx="357">
                  <c:v>51.285704538723621</c:v>
                </c:pt>
                <c:pt idx="358">
                  <c:v>51.120714338286668</c:v>
                </c:pt>
                <c:pt idx="359">
                  <c:v>50.955734395662802</c:v>
                </c:pt>
                <c:pt idx="360">
                  <c:v>50.790766070797808</c:v>
                </c:pt>
                <c:pt idx="361">
                  <c:v>50.625810717496869</c:v>
                </c:pt>
                <c:pt idx="362">
                  <c:v>50.460869683406145</c:v>
                </c:pt>
                <c:pt idx="363">
                  <c:v>50.295944309994773</c:v>
                </c:pt>
                <c:pt idx="364">
                  <c:v>50.131035932537337</c:v>
                </c:pt>
                <c:pt idx="365">
                  <c:v>49.966145880096633</c:v>
                </c:pt>
                <c:pt idx="366">
                  <c:v>49.855675060906783</c:v>
                </c:pt>
                <c:pt idx="367">
                  <c:v>49.799619993503036</c:v>
                </c:pt>
                <c:pt idx="368">
                  <c:v>49.743540907420538</c:v>
                </c:pt>
                <c:pt idx="369">
                  <c:v>49.687438240062242</c:v>
                </c:pt>
                <c:pt idx="370">
                  <c:v>49.631312428018859</c:v>
                </c:pt>
                <c:pt idx="371">
                  <c:v>49.575163907062525</c:v>
                </c:pt>
                <c:pt idx="372">
                  <c:v>49.518993112140429</c:v>
                </c:pt>
                <c:pt idx="373">
                  <c:v>49.46280047736861</c:v>
                </c:pt>
                <c:pt idx="374">
                  <c:v>49.406586436025577</c:v>
                </c:pt>
                <c:pt idx="375">
                  <c:v>49.350351420546296</c:v>
                </c:pt>
                <c:pt idx="376">
                  <c:v>49.294095862515952</c:v>
                </c:pt>
                <c:pt idx="377">
                  <c:v>49.237820192663868</c:v>
                </c:pt>
                <c:pt idx="378">
                  <c:v>49.181524840857428</c:v>
                </c:pt>
                <c:pt idx="379">
                  <c:v>49.125210236096159</c:v>
                </c:pt>
                <c:pt idx="380">
                  <c:v>49.068876806505699</c:v>
                </c:pt>
                <c:pt idx="381">
                  <c:v>48.953778827629506</c:v>
                </c:pt>
                <c:pt idx="382">
                  <c:v>48.779924164811902</c:v>
                </c:pt>
                <c:pt idx="383">
                  <c:v>48.606106446003665</c:v>
                </c:pt>
                <c:pt idx="384">
                  <c:v>48.432327022558574</c:v>
                </c:pt>
                <c:pt idx="385">
                  <c:v>48.258587238725191</c:v>
                </c:pt>
                <c:pt idx="386">
                  <c:v>48.08488843163412</c:v>
                </c:pt>
                <c:pt idx="387">
                  <c:v>47.911231931285698</c:v>
                </c:pt>
                <c:pt idx="388">
                  <c:v>47.737619060537959</c:v>
                </c:pt>
                <c:pt idx="389">
                  <c:v>47.564051135095333</c:v>
                </c:pt>
                <c:pt idx="390">
                  <c:v>47.390529463497337</c:v>
                </c:pt>
                <c:pt idx="391">
                  <c:v>47.217055347107987</c:v>
                </c:pt>
                <c:pt idx="392">
                  <c:v>47.043630080105537</c:v>
                </c:pt>
                <c:pt idx="393">
                  <c:v>46.870254949472567</c:v>
                </c:pt>
                <c:pt idx="394">
                  <c:v>46.696931234986515</c:v>
                </c:pt>
                <c:pt idx="395">
                  <c:v>46.523660209210604</c:v>
                </c:pt>
                <c:pt idx="396">
                  <c:v>46.350443137485208</c:v>
                </c:pt>
                <c:pt idx="397">
                  <c:v>46.177281277919533</c:v>
                </c:pt>
                <c:pt idx="398">
                  <c:v>46.004175881383745</c:v>
                </c:pt>
                <c:pt idx="399">
                  <c:v>45.831128191501563</c:v>
                </c:pt>
                <c:pt idx="400">
                  <c:v>45.658139444643041</c:v>
                </c:pt>
                <c:pt idx="401">
                  <c:v>45.439069637300683</c:v>
                </c:pt>
                <c:pt idx="402">
                  <c:v>45.173930470353959</c:v>
                </c:pt>
                <c:pt idx="403">
                  <c:v>44.90890492964823</c:v>
                </c:pt>
                <c:pt idx="404">
                  <c:v>44.64399517172977</c:v>
                </c:pt>
                <c:pt idx="405">
                  <c:v>44.379203337462037</c:v>
                </c:pt>
                <c:pt idx="406">
                  <c:v>44.114531552019606</c:v>
                </c:pt>
                <c:pt idx="407">
                  <c:v>43.849981924883274</c:v>
                </c:pt>
                <c:pt idx="408">
                  <c:v>43.585556549835907</c:v>
                </c:pt>
                <c:pt idx="409">
                  <c:v>43.321257504959483</c:v>
                </c:pt>
                <c:pt idx="410">
                  <c:v>43.057086852633027</c:v>
                </c:pt>
                <c:pt idx="411">
                  <c:v>42.538304192748882</c:v>
                </c:pt>
                <c:pt idx="412">
                  <c:v>41.764989361343289</c:v>
                </c:pt>
                <c:pt idx="413">
                  <c:v>40.992126448794174</c:v>
                </c:pt>
                <c:pt idx="414">
                  <c:v>40.219726951911873</c:v>
                </c:pt>
                <c:pt idx="415">
                  <c:v>39.447802248962383</c:v>
                </c:pt>
                <c:pt idx="416">
                  <c:v>38.676363599560219</c:v>
                </c:pt>
                <c:pt idx="417">
                  <c:v>37.905422144576548</c:v>
                </c:pt>
                <c:pt idx="418">
                  <c:v>37.134988906062077</c:v>
                </c:pt>
                <c:pt idx="419">
                  <c:v>36.365074787184767</c:v>
                </c:pt>
                <c:pt idx="420">
                  <c:v>35.450890585898016</c:v>
                </c:pt>
                <c:pt idx="421">
                  <c:v>34.392515180299789</c:v>
                </c:pt>
                <c:pt idx="422">
                  <c:v>33.334910682147338</c:v>
                </c:pt>
                <c:pt idx="423">
                  <c:v>32.278095942987008</c:v>
                </c:pt>
                <c:pt idx="424">
                  <c:v>31.222089592198728</c:v>
                </c:pt>
                <c:pt idx="425">
                  <c:v>30.166910036824589</c:v>
                </c:pt>
                <c:pt idx="426">
                  <c:v>29.112575461431728</c:v>
                </c:pt>
                <c:pt idx="427">
                  <c:v>28.059103828008833</c:v>
                </c:pt>
                <c:pt idx="428">
                  <c:v>27.006512875895975</c:v>
                </c:pt>
                <c:pt idx="429">
                  <c:v>25.954820121747431</c:v>
                </c:pt>
                <c:pt idx="430">
                  <c:v>24.904042859526999</c:v>
                </c:pt>
                <c:pt idx="431">
                  <c:v>23.854198160535383</c:v>
                </c:pt>
                <c:pt idx="432">
                  <c:v>22.572191518989928</c:v>
                </c:pt>
                <c:pt idx="433">
                  <c:v>21.058213944271287</c:v>
                </c:pt>
                <c:pt idx="434">
                  <c:v>19.54567403521019</c:v>
                </c:pt>
                <c:pt idx="435">
                  <c:v>18.034605556302282</c:v>
                </c:pt>
                <c:pt idx="436">
                  <c:v>16.525041809216191</c:v>
                </c:pt>
                <c:pt idx="437">
                  <c:v>15.017015632506318</c:v>
                </c:pt>
                <c:pt idx="438">
                  <c:v>13.510559401415078</c:v>
                </c:pt>
                <c:pt idx="439">
                  <c:v>12.00570502776338</c:v>
                </c:pt>
                <c:pt idx="440">
                  <c:v>10.502483959928188</c:v>
                </c:pt>
                <c:pt idx="441">
                  <c:v>9.0009271829060182</c:v>
                </c:pt>
                <c:pt idx="442">
                  <c:v>7.6425486514441596</c:v>
                </c:pt>
                <c:pt idx="443">
                  <c:v>6.4272293045921112</c:v>
                </c:pt>
                <c:pt idx="444">
                  <c:v>5.2133231436677461</c:v>
                </c:pt>
                <c:pt idx="445">
                  <c:v>4.0008487483335893</c:v>
                </c:pt>
                <c:pt idx="446">
                  <c:v>2.7898243965232212</c:v>
                </c:pt>
                <c:pt idx="447">
                  <c:v>1.5802680650835816</c:v>
                </c:pt>
                <c:pt idx="448">
                  <c:v>0.37219743045653758</c:v>
                </c:pt>
                <c:pt idx="449">
                  <c:v>-0.83437013060114362</c:v>
                </c:pt>
                <c:pt idx="450">
                  <c:v>-2.0394175402596648</c:v>
                </c:pt>
                <c:pt idx="451">
                  <c:v>-3.2429280188212295</c:v>
                </c:pt>
                <c:pt idx="452">
                  <c:v>-4.4448850838884582</c:v>
                </c:pt>
                <c:pt idx="453">
                  <c:v>-5.4427832406082137</c:v>
                </c:pt>
                <c:pt idx="454">
                  <c:v>-6.2368695947356318</c:v>
                </c:pt>
                <c:pt idx="455">
                  <c:v>-7.0299130772097005</c:v>
                </c:pt>
                <c:pt idx="456">
                  <c:v>-7.8219082546639749</c:v>
                </c:pt>
                <c:pt idx="457">
                  <c:v>-8.612849817102223</c:v>
                </c:pt>
                <c:pt idx="458">
                  <c:v>-9.4027325772933583</c:v>
                </c:pt>
                <c:pt idx="459">
                  <c:v>-10.191551470159613</c:v>
                </c:pt>
                <c:pt idx="460">
                  <c:v>-10.979301552158246</c:v>
                </c:pt>
                <c:pt idx="461">
                  <c:v>-11.583802359028113</c:v>
                </c:pt>
                <c:pt idx="462">
                  <c:v>-12.005304455512626</c:v>
                </c:pt>
                <c:pt idx="463">
                  <c:v>-12.426249499439209</c:v>
                </c:pt>
                <c:pt idx="464">
                  <c:v>-12.846637302323318</c:v>
                </c:pt>
                <c:pt idx="465">
                  <c:v>-13.26646770534972</c:v>
                </c:pt>
                <c:pt idx="466">
                  <c:v>-13.838765048917798</c:v>
                </c:pt>
                <c:pt idx="467">
                  <c:v>-14.563309331341397</c:v>
                </c:pt>
                <c:pt idx="468">
                  <c:v>-16.990908141452419</c:v>
                </c:pt>
                <c:pt idx="469">
                  <c:v>-19.0336469272697</c:v>
                </c:pt>
                <c:pt idx="470">
                  <c:v>-18.988047185213681</c:v>
                </c:pt>
                <c:pt idx="471">
                  <c:v>-18.942583726648948</c:v>
                </c:pt>
                <c:pt idx="472">
                  <c:v>-18.897256010133461</c:v>
                </c:pt>
                <c:pt idx="473">
                  <c:v>-18.852063496946084</c:v>
                </c:pt>
                <c:pt idx="474">
                  <c:v>-18.807005651070028</c:v>
                </c:pt>
                <c:pt idx="475">
                  <c:v>-18.762081939176586</c:v>
                </c:pt>
                <c:pt idx="476">
                  <c:v>-18.717291830608794</c:v>
                </c:pt>
                <c:pt idx="477">
                  <c:v>-18.672634797365337</c:v>
                </c:pt>
                <c:pt idx="478">
                  <c:v>-18.628110314084562</c:v>
                </c:pt>
                <c:pt idx="479">
                  <c:v>-18.583717858028475</c:v>
                </c:pt>
                <c:pt idx="480">
                  <c:v>-18.539456909067091</c:v>
                </c:pt>
                <c:pt idx="481">
                  <c:v>-18.495326949662623</c:v>
                </c:pt>
                <c:pt idx="482">
                  <c:v>-18.451327464853943</c:v>
                </c:pt>
                <c:pt idx="483">
                  <c:v>-18.407457942241166</c:v>
                </c:pt>
                <c:pt idx="484">
                  <c:v>-18.363717871970287</c:v>
                </c:pt>
                <c:pt idx="485">
                  <c:v>-18.320106746717862</c:v>
                </c:pt>
                <c:pt idx="486">
                  <c:v>-18.276624061675967</c:v>
                </c:pt>
                <c:pt idx="487">
                  <c:v>-18.233269314537072</c:v>
                </c:pt>
                <c:pt idx="488">
                  <c:v>-18.190042005479206</c:v>
                </c:pt>
                <c:pt idx="489">
                  <c:v>-18.14694163715108</c:v>
                </c:pt>
                <c:pt idx="490">
                  <c:v>-18.103967714657344</c:v>
                </c:pt>
                <c:pt idx="491">
                  <c:v>-18.061119745544033</c:v>
                </c:pt>
                <c:pt idx="492">
                  <c:v>-18.018397239784019</c:v>
                </c:pt>
                <c:pt idx="493">
                  <c:v>-17.975799709762576</c:v>
                </c:pt>
                <c:pt idx="494">
                  <c:v>-17.933326670263092</c:v>
                </c:pt>
                <c:pt idx="495">
                  <c:v>-17.89097763845287</c:v>
                </c:pt>
                <c:pt idx="496">
                  <c:v>-17.848752133868967</c:v>
                </c:pt>
                <c:pt idx="497">
                  <c:v>-17.806649678404202</c:v>
                </c:pt>
                <c:pt idx="498">
                  <c:v>-17.764669796293258</c:v>
                </c:pt>
                <c:pt idx="499">
                  <c:v>-17.722812014098789</c:v>
                </c:pt>
                <c:pt idx="500">
                  <c:v>-17.681075860697792</c:v>
                </c:pt>
                <c:pt idx="501">
                  <c:v>-17.639460867267843</c:v>
                </c:pt>
                <c:pt idx="502">
                  <c:v>-17.227375266052672</c:v>
                </c:pt>
                <c:pt idx="503">
                  <c:v>-16.827077255799654</c:v>
                </c:pt>
                <c:pt idx="504">
                  <c:v>-16.438123030527375</c:v>
                </c:pt>
                <c:pt idx="505">
                  <c:v>-16.060089779922897</c:v>
                </c:pt>
                <c:pt idx="506">
                  <c:v>-15.692574501430794</c:v>
                </c:pt>
                <c:pt idx="507">
                  <c:v>-15.335192890426981</c:v>
                </c:pt>
                <c:pt idx="508">
                  <c:v>-14.98757830264463</c:v>
                </c:pt>
                <c:pt idx="509">
                  <c:v>-14.649380783505842</c:v>
                </c:pt>
                <c:pt idx="510">
                  <c:v>-14.320266159455631</c:v>
                </c:pt>
                <c:pt idx="511">
                  <c:v>-13.999915186796192</c:v>
                </c:pt>
                <c:pt idx="512">
                  <c:v>-13.688022753885118</c:v>
                </c:pt>
                <c:pt idx="513">
                  <c:v>-13.384297132893956</c:v>
                </c:pt>
                <c:pt idx="514">
                  <c:v>-13.08845927762667</c:v>
                </c:pt>
                <c:pt idx="515">
                  <c:v>-12.800242164174124</c:v>
                </c:pt>
                <c:pt idx="516">
                  <c:v>-12.519390171433075</c:v>
                </c:pt>
                <c:pt idx="517">
                  <c:v>-12.245658498748801</c:v>
                </c:pt>
                <c:pt idx="518">
                  <c:v>-11.978812618151236</c:v>
                </c:pt>
                <c:pt idx="519">
                  <c:v>-11.718627758847463</c:v>
                </c:pt>
                <c:pt idx="520">
                  <c:v>-11.464888421810079</c:v>
                </c:pt>
                <c:pt idx="521">
                  <c:v>-11.217387922462827</c:v>
                </c:pt>
                <c:pt idx="522">
                  <c:v>-10.97592795961352</c:v>
                </c:pt>
                <c:pt idx="523">
                  <c:v>-10.740318208920387</c:v>
                </c:pt>
                <c:pt idx="524">
                  <c:v>-10.510375939303499</c:v>
                </c:pt>
                <c:pt idx="525">
                  <c:v>-10.285925650827791</c:v>
                </c:pt>
                <c:pt idx="526">
                  <c:v>-10.066798732690266</c:v>
                </c:pt>
                <c:pt idx="527">
                  <c:v>-9.8528331400413194</c:v>
                </c:pt>
                <c:pt idx="528">
                  <c:v>-9.6438730884601451</c:v>
                </c:pt>
                <c:pt idx="529">
                  <c:v>-9.4397687649866988</c:v>
                </c:pt>
                <c:pt idx="530">
                  <c:v>-9.2403760546892979</c:v>
                </c:pt>
                <c:pt idx="531">
                  <c:v>-9.04555628181736</c:v>
                </c:pt>
                <c:pt idx="532">
                  <c:v>-8.8551759646538617</c:v>
                </c:pt>
                <c:pt idx="533">
                  <c:v>-8.6691065832423622</c:v>
                </c:pt>
                <c:pt idx="534">
                  <c:v>-8.4872243592189971</c:v>
                </c:pt>
                <c:pt idx="535">
                  <c:v>-8.3094100470315571</c:v>
                </c:pt>
                <c:pt idx="536">
                  <c:v>-8.1355487358751652</c:v>
                </c:pt>
                <c:pt idx="537">
                  <c:v>-7.9655296617186622</c:v>
                </c:pt>
                <c:pt idx="538">
                  <c:v>-7.7992460288363423</c:v>
                </c:pt>
                <c:pt idx="539">
                  <c:v>-7.636594840298085</c:v>
                </c:pt>
                <c:pt idx="540">
                  <c:v>-7.4774767369059969</c:v>
                </c:pt>
                <c:pt idx="541">
                  <c:v>-7.3217958440984425</c:v>
                </c:pt>
                <c:pt idx="542">
                  <c:v>-7.1694596263729116</c:v>
                </c:pt>
                <c:pt idx="543">
                  <c:v>-7.0203787488073761</c:v>
                </c:pt>
                <c:pt idx="544">
                  <c:v>-6.8744669452861187</c:v>
                </c:pt>
                <c:pt idx="545">
                  <c:v>-6.7316408930606064</c:v>
                </c:pt>
                <c:pt idx="546">
                  <c:v>-6.5918200932987192</c:v>
                </c:pt>
                <c:pt idx="547">
                  <c:v>-6.454926757296958</c:v>
                </c:pt>
                <c:pt idx="548">
                  <c:v>-6.3208856980500192</c:v>
                </c:pt>
                <c:pt idx="549">
                  <c:v>-6.1896242268907038</c:v>
                </c:pt>
                <c:pt idx="550">
                  <c:v>-6.0610720549302322</c:v>
                </c:pt>
                <c:pt idx="551">
                  <c:v>-5.935161199045317</c:v>
                </c:pt>
                <c:pt idx="552">
                  <c:v>-5.8118258921732435</c:v>
                </c:pt>
                <c:pt idx="553">
                  <c:v>-5.6910024976902776</c:v>
                </c:pt>
                <c:pt idx="554">
                  <c:v>-5.572629427661929</c:v>
                </c:pt>
                <c:pt idx="555">
                  <c:v>-5.4566470647658658</c:v>
                </c:pt>
                <c:pt idx="556">
                  <c:v>-5.342997687699647</c:v>
                </c:pt>
                <c:pt idx="557">
                  <c:v>-5.2316253998964601</c:v>
                </c:pt>
                <c:pt idx="558">
                  <c:v>-5.1224760613818132</c:v>
                </c:pt>
                <c:pt idx="559">
                  <c:v>-5.0154972236138988</c:v>
                </c:pt>
                <c:pt idx="560">
                  <c:v>-4.9106380671588976</c:v>
                </c:pt>
                <c:pt idx="561">
                  <c:v>-4.8078493420610711</c:v>
                </c:pt>
                <c:pt idx="562">
                  <c:v>-4.7070833107750385</c:v>
                </c:pt>
                <c:pt idx="563">
                  <c:v>-4.6082936935351286</c:v>
                </c:pt>
                <c:pt idx="564">
                  <c:v>-4.5114356160434328</c:v>
                </c:pt>
                <c:pt idx="565">
                  <c:v>-4.4164655593647453</c:v>
                </c:pt>
                <c:pt idx="566">
                  <c:v>-4.3233413119225226</c:v>
                </c:pt>
                <c:pt idx="567">
                  <c:v>-4.2320219234957719</c:v>
                </c:pt>
                <c:pt idx="568">
                  <c:v>-4.1424676611221045</c:v>
                </c:pt>
                <c:pt idx="569">
                  <c:v>-4.0546399668172164</c:v>
                </c:pt>
                <c:pt idx="570">
                  <c:v>-3.9685014170258412</c:v>
                </c:pt>
                <c:pt idx="571">
                  <c:v>-3.884015683723645</c:v>
                </c:pt>
                <c:pt idx="572">
                  <c:v>-3.8011474970937442</c:v>
                </c:pt>
                <c:pt idx="573">
                  <c:v>-3.7198626097055123</c:v>
                </c:pt>
                <c:pt idx="574">
                  <c:v>-3.6401277621270505</c:v>
                </c:pt>
                <c:pt idx="575">
                  <c:v>-3.5619106499062489</c:v>
                </c:pt>
                <c:pt idx="576">
                  <c:v>-3.4851798918586367</c:v>
                </c:pt>
                <c:pt idx="577">
                  <c:v>-3.4099049996033943</c:v>
                </c:pt>
                <c:pt idx="578">
                  <c:v>-3.3360563482918617</c:v>
                </c:pt>
                <c:pt idx="579">
                  <c:v>-3.263605148475619</c:v>
                </c:pt>
                <c:pt idx="580">
                  <c:v>-3.1925234190639085</c:v>
                </c:pt>
                <c:pt idx="581">
                  <c:v>-3.1227839613226331</c:v>
                </c:pt>
                <c:pt idx="582">
                  <c:v>-3.054360333869512</c:v>
                </c:pt>
                <c:pt idx="583">
                  <c:v>-2.9872268286222119</c:v>
                </c:pt>
                <c:pt idx="584">
                  <c:v>-2.921358447658394</c:v>
                </c:pt>
                <c:pt idx="585">
                  <c:v>-2.8567308809485543</c:v>
                </c:pt>
                <c:pt idx="586">
                  <c:v>-2.7933204849244841</c:v>
                </c:pt>
                <c:pt idx="587">
                  <c:v>-2.7311042618479138</c:v>
                </c:pt>
                <c:pt idx="588">
                  <c:v>-2.6700598399456097</c:v>
                </c:pt>
                <c:pt idx="589">
                  <c:v>-2.6101654542787851</c:v>
                </c:pt>
                <c:pt idx="590">
                  <c:v>-2.5513999283162194</c:v>
                </c:pt>
                <c:pt idx="591">
                  <c:v>-2.4937426561818783</c:v>
                </c:pt>
                <c:pt idx="592">
                  <c:v>-2.4371735855492314</c:v>
                </c:pt>
                <c:pt idx="593">
                  <c:v>-2.3816732011557158</c:v>
                </c:pt>
                <c:pt idx="594">
                  <c:v>-2.3272225089120422</c:v>
                </c:pt>
                <c:pt idx="595">
                  <c:v>-2.2738030205821893</c:v>
                </c:pt>
                <c:pt idx="596">
                  <c:v>-2.221396739011031</c:v>
                </c:pt>
                <c:pt idx="597">
                  <c:v>-2.1699861438775869</c:v>
                </c:pt>
                <c:pt idx="598">
                  <c:v>-2.1195541779528977</c:v>
                </c:pt>
                <c:pt idx="599">
                  <c:v>-2.0700842338424095</c:v>
                </c:pt>
                <c:pt idx="600">
                  <c:v>-2.0215601411937416</c:v>
                </c:pt>
                <c:pt idx="601">
                  <c:v>-1.9739661543514506</c:v>
                </c:pt>
                <c:pt idx="602">
                  <c:v>-1.9272869404412996</c:v>
                </c:pt>
                <c:pt idx="603">
                  <c:v>-1.8815075678672595</c:v>
                </c:pt>
                <c:pt idx="604">
                  <c:v>-1.8366134952052025</c:v>
                </c:pt>
                <c:pt idx="605">
                  <c:v>-1.7925905604779599</c:v>
                </c:pt>
                <c:pt idx="606">
                  <c:v>-1.7494249707970482</c:v>
                </c:pt>
                <c:pt idx="607">
                  <c:v>-1.707103292357014</c:v>
                </c:pt>
                <c:pt idx="608">
                  <c:v>-1.6656124407689177</c:v>
                </c:pt>
                <c:pt idx="609">
                  <c:v>-1.6249396717200704</c:v>
                </c:pt>
                <c:pt idx="610">
                  <c:v>-1.5850725719476471</c:v>
                </c:pt>
                <c:pt idx="611">
                  <c:v>-1.5459990505143226</c:v>
                </c:pt>
                <c:pt idx="612">
                  <c:v>-1.5077073303745665</c:v>
                </c:pt>
                <c:pt idx="613">
                  <c:v>-1.4701859402206749</c:v>
                </c:pt>
                <c:pt idx="614">
                  <c:v>-1.4334237065980648</c:v>
                </c:pt>
                <c:pt idx="615">
                  <c:v>-1.3974097462797974</c:v>
                </c:pt>
                <c:pt idx="616">
                  <c:v>-1.3621334588906222</c:v>
                </c:pt>
                <c:pt idx="617">
                  <c:v>-1.3275845197712979</c:v>
                </c:pt>
                <c:pt idx="618">
                  <c:v>-1.2937528730742158</c:v>
                </c:pt>
                <c:pt idx="619">
                  <c:v>-1.2606287250817543</c:v>
                </c:pt>
                <c:pt idx="620">
                  <c:v>-1.2282025377390706</c:v>
                </c:pt>
                <c:pt idx="621">
                  <c:v>-1.1964650223933513</c:v>
                </c:pt>
                <c:pt idx="622">
                  <c:v>-1.1654071337318344</c:v>
                </c:pt>
                <c:pt idx="623">
                  <c:v>-1.1350200639111685</c:v>
                </c:pt>
                <c:pt idx="624">
                  <c:v>-1.1052952368709508</c:v>
                </c:pt>
                <c:pt idx="625">
                  <c:v>-1.0762243028244978</c:v>
                </c:pt>
                <c:pt idx="626">
                  <c:v>-1.0477991329201555</c:v>
                </c:pt>
                <c:pt idx="627">
                  <c:v>-1.0200118140666405</c:v>
                </c:pt>
                <c:pt idx="628">
                  <c:v>-0.9928546439161241</c:v>
                </c:pt>
                <c:pt idx="629">
                  <c:v>-0.96632012599893358</c:v>
                </c:pt>
                <c:pt idx="630">
                  <c:v>-0.94040096500393378</c:v>
                </c:pt>
                <c:pt idx="631">
                  <c:v>-0.91509006219879496</c:v>
                </c:pt>
                <c:pt idx="632">
                  <c:v>-0.8903805109845141</c:v>
                </c:pt>
                <c:pt idx="633">
                  <c:v>-0.86626559257867686</c:v>
                </c:pt>
                <c:pt idx="634">
                  <c:v>-0.84273877182207135</c:v>
                </c:pt>
                <c:pt idx="635">
                  <c:v>-0.8197936931033879</c:v>
                </c:pt>
                <c:pt idx="636">
                  <c:v>-0.79742417639681529</c:v>
                </c:pt>
                <c:pt idx="637">
                  <c:v>-0.77562421340744814</c:v>
                </c:pt>
                <c:pt idx="638">
                  <c:v>-0.75438796381949014</c:v>
                </c:pt>
                <c:pt idx="639">
                  <c:v>-0.73370975164229935</c:v>
                </c:pt>
                <c:pt idx="640">
                  <c:v>-0.71358406164938348</c:v>
                </c:pt>
                <c:pt idx="641">
                  <c:v>-0.69400553590548442</c:v>
                </c:pt>
                <c:pt idx="642">
                  <c:v>-0.67496897037694503</c:v>
                </c:pt>
                <c:pt idx="643">
                  <c:v>-0.65646931162055377</c:v>
                </c:pt>
                <c:pt idx="644">
                  <c:v>-0.63850165354609267</c:v>
                </c:pt>
                <c:pt idx="645">
                  <c:v>-0.62106123424781723</c:v>
                </c:pt>
                <c:pt idx="646">
                  <c:v>-0.60414343290009875</c:v>
                </c:pt>
                <c:pt idx="647">
                  <c:v>-0.58774376671244288</c:v>
                </c:pt>
                <c:pt idx="648">
                  <c:v>-0.57185788793910519</c:v>
                </c:pt>
                <c:pt idx="649">
                  <c:v>-0.55648158093848676</c:v>
                </c:pt>
                <c:pt idx="650">
                  <c:v>-0.54161075927748648</c:v>
                </c:pt>
                <c:pt idx="651">
                  <c:v>-0.5272414628759684</c:v>
                </c:pt>
                <c:pt idx="652">
                  <c:v>-0.51336985518647515</c:v>
                </c:pt>
                <c:pt idx="653">
                  <c:v>-0.49999222040430696</c:v>
                </c:pt>
                <c:pt idx="654">
                  <c:v>-0.48710496070308812</c:v>
                </c:pt>
                <c:pt idx="655">
                  <c:v>-0.47470459349092375</c:v>
                </c:pt>
                <c:pt idx="656">
                  <c:v>-0.46278774868228584</c:v>
                </c:pt>
                <c:pt idx="657">
                  <c:v>-0.45135116598078356</c:v>
                </c:pt>
                <c:pt idx="658">
                  <c:v>-0.44039169216803176</c:v>
                </c:pt>
                <c:pt idx="659">
                  <c:v>-0.42990627839390999</c:v>
                </c:pt>
                <c:pt idx="660">
                  <c:v>-0.41989197746360857</c:v>
                </c:pt>
                <c:pt idx="661">
                  <c:v>-0.4103459411170019</c:v>
                </c:pt>
                <c:pt idx="662">
                  <c:v>-0.40126541729607329</c:v>
                </c:pt>
                <c:pt idx="663">
                  <c:v>-0.39264774739633568</c:v>
                </c:pt>
                <c:pt idx="664">
                  <c:v>-0.3844903634984756</c:v>
                </c:pt>
                <c:pt idx="665">
                  <c:v>-0.37679078557676488</c:v>
                </c:pt>
                <c:pt idx="666">
                  <c:v>-0.36954661868117533</c:v>
                </c:pt>
                <c:pt idx="667">
                  <c:v>-0.36275555009056526</c:v>
                </c:pt>
                <c:pt idx="668">
                  <c:v>-0.35641534643481226</c:v>
                </c:pt>
                <c:pt idx="669">
                  <c:v>-0.35052385078431569</c:v>
                </c:pt>
                <c:pt idx="670">
                  <c:v>-0.34507897970591672</c:v>
                </c:pt>
                <c:pt idx="671">
                  <c:v>-0.34007872028494074</c:v>
                </c:pt>
                <c:pt idx="672">
                  <c:v>-0.33552112711378168</c:v>
                </c:pt>
                <c:pt idx="673">
                  <c:v>-0.33140431924820224</c:v>
                </c:pt>
                <c:pt idx="674">
                  <c:v>-0.32772647713329306</c:v>
                </c:pt>
                <c:pt idx="675">
                  <c:v>-0.32448583950183063</c:v>
                </c:pt>
                <c:pt idx="676">
                  <c:v>-0.32168070024856438</c:v>
                </c:pt>
                <c:pt idx="677">
                  <c:v>-0.31930940528473944</c:v>
                </c:pt>
                <c:pt idx="678">
                  <c:v>-0.31737034937790354</c:v>
                </c:pt>
                <c:pt idx="679">
                  <c:v>-0.3158619729827411</c:v>
                </c:pt>
                <c:pt idx="680">
                  <c:v>-0.31478275906930653</c:v>
                </c:pt>
                <c:pt idx="681">
                  <c:v>-0.31413122995556447</c:v>
                </c:pt>
                <c:pt idx="682">
                  <c:v>-0.31390594415160056</c:v>
                </c:pt>
                <c:pt idx="683">
                  <c:v>-0.3141054932231927</c:v>
                </c:pt>
                <c:pt idx="684">
                  <c:v>-0.31472849868265557</c:v>
                </c:pt>
                <c:pt idx="685">
                  <c:v>-0.31577360891495643</c:v>
                </c:pt>
                <c:pt idx="686">
                  <c:v>-0.31723949614707558</c:v>
                </c:pt>
                <c:pt idx="687">
                  <c:v>-0.31912485346840741</c:v>
                </c:pt>
                <c:pt idx="688">
                  <c:v>-0.32142839190973399</c:v>
                </c:pt>
                <c:pt idx="689">
                  <c:v>-0.3241488375878962</c:v>
                </c:pt>
                <c:pt idx="690">
                  <c:v>-0.32728492892280781</c:v>
                </c:pt>
                <c:pt idx="691">
                  <c:v>-0.33083541393286925</c:v>
                </c:pt>
                <c:pt idx="692">
                  <c:v>-0.33479904761420248</c:v>
                </c:pt>
                <c:pt idx="693">
                  <c:v>-0.33917458940842493</c:v>
                </c:pt>
                <c:pt idx="694">
                  <c:v>-0.34396080076294921</c:v>
                </c:pt>
                <c:pt idx="695">
                  <c:v>-0.34915644278705027</c:v>
                </c:pt>
                <c:pt idx="696">
                  <c:v>-0.35476027400619126</c:v>
                </c:pt>
                <c:pt idx="697">
                  <c:v>-0.3607710482163623</c:v>
                </c:pt>
                <c:pt idx="698">
                  <c:v>-0.367187512439485</c:v>
                </c:pt>
                <c:pt idx="699">
                  <c:v>-0.374008404980261</c:v>
                </c:pt>
                <c:pt idx="700">
                  <c:v>-0.3812324535842283</c:v>
                </c:pt>
                <c:pt idx="701">
                  <c:v>-0.38885837369621534</c:v>
                </c:pt>
                <c:pt idx="702">
                  <c:v>-0.39688486681788027</c:v>
                </c:pt>
                <c:pt idx="703">
                  <c:v>-0.40531061896256754</c:v>
                </c:pt>
                <c:pt idx="704">
                  <c:v>-0.41413429920533923</c:v>
                </c:pt>
                <c:pt idx="705">
                  <c:v>-0.4233545583256963</c:v>
                </c:pt>
                <c:pt idx="706">
                  <c:v>-0.43297002754025454</c:v>
                </c:pt>
                <c:pt idx="707">
                  <c:v>-0.44297931732241741</c:v>
                </c:pt>
                <c:pt idx="708">
                  <c:v>-0.45338101630592897</c:v>
                </c:pt>
                <c:pt idx="709">
                  <c:v>-0.46417369026908434</c:v>
                </c:pt>
                <c:pt idx="710">
                  <c:v>-0.47535588119629274</c:v>
                </c:pt>
                <c:pt idx="711">
                  <c:v>-0.48692610641366529</c:v>
                </c:pt>
                <c:pt idx="712">
                  <c:v>-0.4988828577952964</c:v>
                </c:pt>
                <c:pt idx="713">
                  <c:v>-0.51122460103693179</c:v>
                </c:pt>
                <c:pt idx="714">
                  <c:v>-0.52394977499377349</c:v>
                </c:pt>
                <c:pt idx="715">
                  <c:v>-0.53705679107924309</c:v>
                </c:pt>
                <c:pt idx="716">
                  <c:v>-0.55054403272160723</c:v>
                </c:pt>
                <c:pt idx="717">
                  <c:v>-0.56440985487547457</c:v>
                </c:pt>
                <c:pt idx="718">
                  <c:v>-0.5786525835852826</c:v>
                </c:pt>
                <c:pt idx="719">
                  <c:v>-0.59327051559800359</c:v>
                </c:pt>
                <c:pt idx="720">
                  <c:v>-0.60826191802242724</c:v>
                </c:pt>
                <c:pt idx="721">
                  <c:v>-0.62362502803249564</c:v>
                </c:pt>
                <c:pt idx="722">
                  <c:v>-0.63935805261229017</c:v>
                </c:pt>
                <c:pt idx="723">
                  <c:v>-0.65545916834039586</c:v>
                </c:pt>
                <c:pt idx="724">
                  <c:v>-0.67192652121149143</c:v>
                </c:pt>
                <c:pt idx="725">
                  <c:v>-0.68875822649312402</c:v>
                </c:pt>
                <c:pt idx="726">
                  <c:v>-0.70595236861575517</c:v>
                </c:pt>
                <c:pt idx="727">
                  <c:v>-0.72350700109426158</c:v>
                </c:pt>
                <c:pt idx="728">
                  <c:v>-0.74142014647919963</c:v>
                </c:pt>
                <c:pt idx="729">
                  <c:v>-0.75968979633622413</c:v>
                </c:pt>
                <c:pt idx="730">
                  <c:v>-0.77831391125216443</c:v>
                </c:pt>
                <c:pt idx="731">
                  <c:v>-0.79729042086634982</c:v>
                </c:pt>
                <c:pt idx="732">
                  <c:v>-0.81661722392585856</c:v>
                </c:pt>
                <c:pt idx="733">
                  <c:v>-0.83629218836345398</c:v>
                </c:pt>
                <c:pt idx="734">
                  <c:v>-0.85631315139704567</c:v>
                </c:pt>
                <c:pt idx="735">
                  <c:v>-0.87667791964958452</c:v>
                </c:pt>
                <c:pt idx="736">
                  <c:v>-0.89738426928837789</c:v>
                </c:pt>
                <c:pt idx="737">
                  <c:v>-0.91842994618286067</c:v>
                </c:pt>
                <c:pt idx="738">
                  <c:v>-0.93981266607993563</c:v>
                </c:pt>
                <c:pt idx="739">
                  <c:v>-0.96153011479602868</c:v>
                </c:pt>
                <c:pt idx="740">
                  <c:v>-0.98357994842509111</c:v>
                </c:pt>
                <c:pt idx="741">
                  <c:v>-1.0059597935617897</c:v>
                </c:pt>
                <c:pt idx="742">
                  <c:v>-1.0286672475391974</c:v>
                </c:pt>
                <c:pt idx="743">
                  <c:v>-1.0516998786803404</c:v>
                </c:pt>
                <c:pt idx="744">
                  <c:v>-1.0750552265629698</c:v>
                </c:pt>
                <c:pt idx="745">
                  <c:v>-1.0987308022969975</c:v>
                </c:pt>
                <c:pt idx="746">
                  <c:v>-1.1227240888140391</c:v>
                </c:pt>
                <c:pt idx="747">
                  <c:v>-1.14703254116856</c:v>
                </c:pt>
                <c:pt idx="748">
                  <c:v>-1.1716535868501294</c:v>
                </c:pt>
                <c:pt idx="749">
                  <c:v>-1.1965846261063373</c:v>
                </c:pt>
                <c:pt idx="750">
                  <c:v>-1.2218230322759258</c:v>
                </c:pt>
                <c:pt idx="751">
                  <c:v>-1.2473661521317352</c:v>
                </c:pt>
                <c:pt idx="752">
                  <c:v>-1.2732113062330668</c:v>
                </c:pt>
                <c:pt idx="753">
                  <c:v>-1.2993557892871033</c:v>
                </c:pt>
                <c:pt idx="754">
                  <c:v>-1.3257968705190095</c:v>
                </c:pt>
                <c:pt idx="755">
                  <c:v>-1.3525317940504111</c:v>
                </c:pt>
                <c:pt idx="756">
                  <c:v>-1.3795577792858975</c:v>
                </c:pt>
                <c:pt idx="757">
                  <c:v>-1.4068720213072621</c:v>
                </c:pt>
                <c:pt idx="758">
                  <c:v>-1.4344716912751763</c:v>
                </c:pt>
                <c:pt idx="759">
                  <c:v>-1.4623539368380174</c:v>
                </c:pt>
                <c:pt idx="760">
                  <c:v>-1.4905158825475804</c:v>
                </c:pt>
                <c:pt idx="761">
                  <c:v>-1.518954630281407</c:v>
                </c:pt>
                <c:pt idx="762">
                  <c:v>-1.5476672596714813</c:v>
                </c:pt>
                <c:pt idx="763">
                  <c:v>-1.5766508285390559</c:v>
                </c:pt>
                <c:pt idx="764">
                  <c:v>-1.6059023733353601</c:v>
                </c:pt>
                <c:pt idx="765">
                  <c:v>-1.6354189095879668</c:v>
                </c:pt>
                <c:pt idx="766">
                  <c:v>-1.6651974323526029</c:v>
                </c:pt>
                <c:pt idx="767">
                  <c:v>-1.6952349166701766</c:v>
                </c:pt>
                <c:pt idx="768">
                  <c:v>-1.7255283180288115</c:v>
                </c:pt>
                <c:pt idx="769">
                  <c:v>-1.7560745728306981</c:v>
                </c:pt>
                <c:pt idx="770">
                  <c:v>-1.7868705988635365</c:v>
                </c:pt>
                <c:pt idx="771">
                  <c:v>-1.8179132957763937</c:v>
                </c:pt>
                <c:pt idx="772">
                  <c:v>-1.8491995455597887</c:v>
                </c:pt>
                <c:pt idx="773">
                  <c:v>-1.8807262130297777</c:v>
                </c:pt>
                <c:pt idx="774">
                  <c:v>-1.912490146315913</c:v>
                </c:pt>
                <c:pt idx="775">
                  <c:v>-1.9444881773528389</c:v>
                </c:pt>
                <c:pt idx="776">
                  <c:v>-1.9767171223753863</c:v>
                </c:pt>
                <c:pt idx="777">
                  <c:v>-2.0091737824169522</c:v>
                </c:pt>
                <c:pt idx="778">
                  <c:v>-2.0418549438110287</c:v>
                </c:pt>
                <c:pt idx="779">
                  <c:v>-2.0747573786956766</c:v>
                </c:pt>
                <c:pt idx="780">
                  <c:v>-2.1078778455207896</c:v>
                </c:pt>
                <c:pt idx="781">
                  <c:v>-2.1412130895579806</c:v>
                </c:pt>
                <c:pt idx="782">
                  <c:v>-2.1747598434129114</c:v>
                </c:pt>
                <c:pt idx="783">
                  <c:v>-2.2085148275399256</c:v>
                </c:pt>
                <c:pt idx="784">
                  <c:v>-2.2424747507587814</c:v>
                </c:pt>
                <c:pt idx="785">
                  <c:v>-2.2766363107733718</c:v>
                </c:pt>
                <c:pt idx="786">
                  <c:v>-2.3109961946922213</c:v>
                </c:pt>
                <c:pt idx="787">
                  <c:v>-2.3455510795506371</c:v>
                </c:pt>
                <c:pt idx="788">
                  <c:v>-2.3802976328343357</c:v>
                </c:pt>
                <c:pt idx="789">
                  <c:v>-2.4152325130044012</c:v>
                </c:pt>
                <c:pt idx="790">
                  <c:v>-2.450352370023392</c:v>
                </c:pt>
                <c:pt idx="791">
                  <c:v>-2.4856538458824766</c:v>
                </c:pt>
                <c:pt idx="792">
                  <c:v>-2.5211335751294217</c:v>
                </c:pt>
                <c:pt idx="793">
                  <c:v>-2.5567881853972656</c:v>
                </c:pt>
                <c:pt idx="794">
                  <c:v>-2.5926142979335722</c:v>
                </c:pt>
                <c:pt idx="795">
                  <c:v>-2.628608528130044</c:v>
                </c:pt>
                <c:pt idx="796">
                  <c:v>-2.664767486052408</c:v>
                </c:pt>
                <c:pt idx="797">
                  <c:v>-2.7010877769703785</c:v>
                </c:pt>
                <c:pt idx="798">
                  <c:v>-2.7375660018875725</c:v>
                </c:pt>
                <c:pt idx="799">
                  <c:v>-2.7741987580712113</c:v>
                </c:pt>
                <c:pt idx="800">
                  <c:v>-2.8109826395814732</c:v>
                </c:pt>
                <c:pt idx="801">
                  <c:v>-2.8479142378003388</c:v>
                </c:pt>
                <c:pt idx="802">
                  <c:v>-2.884990141959793</c:v>
                </c:pt>
                <c:pt idx="803">
                  <c:v>-2.9222069396692234</c:v>
                </c:pt>
                <c:pt idx="804">
                  <c:v>-2.9595612174418866</c:v>
                </c:pt>
                <c:pt idx="805">
                  <c:v>-2.9970495612202752</c:v>
                </c:pt>
                <c:pt idx="806">
                  <c:v>-3.0346685569002743</c:v>
                </c:pt>
                <c:pt idx="807">
                  <c:v>-3.0724147908539265</c:v>
                </c:pt>
                <c:pt idx="808">
                  <c:v>-3.1102848504506984</c:v>
                </c:pt>
                <c:pt idx="809">
                  <c:v>-3.1482753245770825</c:v>
                </c:pt>
                <c:pt idx="810">
                  <c:v>-3.1863828041544067</c:v>
                </c:pt>
                <c:pt idx="811">
                  <c:v>-3.2246038826547183</c:v>
                </c:pt>
                <c:pt idx="812">
                  <c:v>-3.2629351566145766</c:v>
                </c:pt>
                <c:pt idx="813">
                  <c:v>-3.3013732261466657</c:v>
                </c:pt>
                <c:pt idx="814">
                  <c:v>-3.3399146954490302</c:v>
                </c:pt>
                <c:pt idx="815">
                  <c:v>-3.3785561733118734</c:v>
                </c:pt>
                <c:pt idx="816">
                  <c:v>-3.4172942736216951</c:v>
                </c:pt>
                <c:pt idx="817">
                  <c:v>-3.4561256158627316</c:v>
                </c:pt>
                <c:pt idx="818">
                  <c:v>-3.4950468256154967</c:v>
                </c:pt>
                <c:pt idx="819">
                  <c:v>-3.5340545350523116</c:v>
                </c:pt>
                <c:pt idx="820">
                  <c:v>-3.5731453834297424</c:v>
                </c:pt>
                <c:pt idx="821">
                  <c:v>-3.6123160175777227</c:v>
                </c:pt>
                <c:pt idx="822">
                  <c:v>-3.6515630923853446</c:v>
                </c:pt>
                <c:pt idx="823">
                  <c:v>-3.6908832712831141</c:v>
                </c:pt>
                <c:pt idx="824">
                  <c:v>-3.7302732267215766</c:v>
                </c:pt>
                <c:pt idx="825">
                  <c:v>-3.7697296406462182</c:v>
                </c:pt>
                <c:pt idx="826">
                  <c:v>-3.809249204968463</c:v>
                </c:pt>
                <c:pt idx="827">
                  <c:v>-3.8488286220327148</c:v>
                </c:pt>
                <c:pt idx="828">
                  <c:v>-3.8884646050792786</c:v>
                </c:pt>
                <c:pt idx="829">
                  <c:v>-3.9281538787030801</c:v>
                </c:pt>
                <c:pt idx="830">
                  <c:v>-3.9678931793080494</c:v>
                </c:pt>
                <c:pt idx="831">
                  <c:v>-4.0076792555570684</c:v>
                </c:pt>
                <c:pt idx="832">
                  <c:v>-4.0475088688173768</c:v>
                </c:pt>
                <c:pt idx="833">
                  <c:v>-4.0873787936013404</c:v>
                </c:pt>
                <c:pt idx="834">
                  <c:v>-4.1272858180024263</c:v>
                </c:pt>
                <c:pt idx="835">
                  <c:v>-4.1672267441263546</c:v>
                </c:pt>
                <c:pt idx="836">
                  <c:v>-4.2071983885172797</c:v>
                </c:pt>
                <c:pt idx="837">
                  <c:v>-4.2471975825789228</c:v>
                </c:pt>
                <c:pt idx="838">
                  <c:v>-4.287221172990531</c:v>
                </c:pt>
                <c:pt idx="839">
                  <c:v>-4.3272660221176276</c:v>
                </c:pt>
                <c:pt idx="840">
                  <c:v>-4.3673290084173733</c:v>
                </c:pt>
                <c:pt idx="841">
                  <c:v>-4.4074070268385546</c:v>
                </c:pt>
                <c:pt idx="842">
                  <c:v>-4.4474969892160159</c:v>
                </c:pt>
                <c:pt idx="843">
                  <c:v>-4.4875958246595182</c:v>
                </c:pt>
                <c:pt idx="844">
                  <c:v>-4.5277004799369012</c:v>
                </c:pt>
                <c:pt idx="845">
                  <c:v>-4.5678079198514876</c:v>
                </c:pt>
                <c:pt idx="846">
                  <c:v>-4.6079151276136514</c:v>
                </c:pt>
                <c:pt idx="847">
                  <c:v>-4.6480191052064654</c:v>
                </c:pt>
                <c:pt idx="848">
                  <c:v>-4.6881168737453631</c:v>
                </c:pt>
                <c:pt idx="849">
                  <c:v>-4.7282054738317454</c:v>
                </c:pt>
                <c:pt idx="850">
                  <c:v>-4.7682819659004432</c:v>
                </c:pt>
                <c:pt idx="851">
                  <c:v>-4.808343430561016</c:v>
                </c:pt>
                <c:pt idx="852">
                  <c:v>-4.848386968932771</c:v>
                </c:pt>
                <c:pt idx="853">
                  <c:v>-4.8884097029734628</c:v>
                </c:pt>
                <c:pt idx="854">
                  <c:v>-4.9284087758016568</c:v>
                </c:pt>
                <c:pt idx="855">
                  <c:v>-4.9683813520126145</c:v>
                </c:pt>
                <c:pt idx="856">
                  <c:v>-5.0083246179877277</c:v>
                </c:pt>
                <c:pt idx="857">
                  <c:v>-5.0482357821974055</c:v>
                </c:pt>
                <c:pt idx="858">
                  <c:v>-5.0881120754974027</c:v>
                </c:pt>
                <c:pt idx="859">
                  <c:v>-5.1279507514184841</c:v>
                </c:pt>
                <c:pt idx="860">
                  <c:v>-5.1677490864494651</c:v>
                </c:pt>
                <c:pt idx="861">
                  <c:v>-5.2075043803135141</c:v>
                </c:pt>
                <c:pt idx="862">
                  <c:v>-5.2472139562377373</c:v>
                </c:pt>
                <c:pt idx="863">
                  <c:v>-5.2868751612159475</c:v>
                </c:pt>
                <c:pt idx="864">
                  <c:v>-5.3264853662646727</c:v>
                </c:pt>
                <c:pt idx="865">
                  <c:v>-5.3660419666722712</c:v>
                </c:pt>
                <c:pt idx="866">
                  <c:v>-5.4055423822412374</c:v>
                </c:pt>
                <c:pt idx="867">
                  <c:v>-5.4449840575235706</c:v>
                </c:pt>
                <c:pt idx="868">
                  <c:v>-5.4843644620492507</c:v>
                </c:pt>
                <c:pt idx="869">
                  <c:v>-5.5236810905478091</c:v>
                </c:pt>
                <c:pt idx="870">
                  <c:v>-5.5629314631629114</c:v>
                </c:pt>
                <c:pt idx="871">
                  <c:v>-5.6021131256600105</c:v>
                </c:pt>
                <c:pt idx="872">
                  <c:v>-5.6412236496270323</c:v>
                </c:pt>
                <c:pt idx="873">
                  <c:v>-5.6802606326680545</c:v>
                </c:pt>
                <c:pt idx="874">
                  <c:v>-5.719221698590057</c:v>
                </c:pt>
                <c:pt idx="875">
                  <c:v>-5.7581044975826314</c:v>
                </c:pt>
                <c:pt idx="876">
                  <c:v>-5.7969067063907396</c:v>
                </c:pt>
                <c:pt idx="877">
                  <c:v>-5.8356260284804833</c:v>
                </c:pt>
                <c:pt idx="878">
                  <c:v>-5.8742601941978787</c:v>
                </c:pt>
                <c:pt idx="879">
                  <c:v>-5.9128069609206877</c:v>
                </c:pt>
                <c:pt idx="880">
                  <c:v>-5.9512641132032718</c:v>
                </c:pt>
                <c:pt idx="881">
                  <c:v>-5.9896294629144933</c:v>
                </c:pt>
                <c:pt idx="882">
                  <c:v>-6.0279008493686854</c:v>
                </c:pt>
                <c:pt idx="883">
                  <c:v>-6.06607613944972</c:v>
                </c:pt>
                <c:pt idx="884">
                  <c:v>-6.10415322772816</c:v>
                </c:pt>
                <c:pt idx="885">
                  <c:v>-6.1421300365715386</c:v>
                </c:pt>
                <c:pt idx="886">
                  <c:v>-6.1800045162477941</c:v>
                </c:pt>
                <c:pt idx="887">
                  <c:v>-6.2177746450218772</c:v>
                </c:pt>
                <c:pt idx="888">
                  <c:v>-6.2554384292455518</c:v>
                </c:pt>
                <c:pt idx="889">
                  <c:v>-6.2929939034404505</c:v>
                </c:pt>
                <c:pt idx="890">
                  <c:v>-6.3304391303743799</c:v>
                </c:pt>
                <c:pt idx="891">
                  <c:v>-6.3677722011309381</c:v>
                </c:pt>
                <c:pt idx="892">
                  <c:v>-6.4049912351724618</c:v>
                </c:pt>
                <c:pt idx="893">
                  <c:v>-6.4420943803963704</c:v>
                </c:pt>
                <c:pt idx="894">
                  <c:v>-6.4790798131849368</c:v>
                </c:pt>
                <c:pt idx="895">
                  <c:v>-6.5159457384484716</c:v>
                </c:pt>
                <c:pt idx="896">
                  <c:v>-6.5526903896621045</c:v>
                </c:pt>
                <c:pt idx="897">
                  <c:v>-6.5893120288960514</c:v>
                </c:pt>
                <c:pt idx="898">
                  <c:v>-6.62580894683951</c:v>
                </c:pt>
                <c:pt idx="899">
                  <c:v>-6.6621794628182558</c:v>
                </c:pt>
                <c:pt idx="900">
                  <c:v>-6.6984219248058805</c:v>
                </c:pt>
                <c:pt idx="901">
                  <c:v>-6.7345347094288615</c:v>
                </c:pt>
                <c:pt idx="902">
                  <c:v>-6.7705162219654165</c:v>
                </c:pt>
                <c:pt idx="903">
                  <c:v>-6.8063648963382679</c:v>
                </c:pt>
                <c:pt idx="904">
                  <c:v>-6.8420791951013342</c:v>
                </c:pt>
                <c:pt idx="905">
                  <c:v>-6.877657609420436</c:v>
                </c:pt>
                <c:pt idx="906">
                  <c:v>-6.9130986590480576</c:v>
                </c:pt>
                <c:pt idx="907">
                  <c:v>-6.9484008922922689</c:v>
                </c:pt>
                <c:pt idx="908">
                  <c:v>-6.9835628859798149</c:v>
                </c:pt>
                <c:pt idx="909">
                  <c:v>-7.0185832454135104</c:v>
                </c:pt>
                <c:pt idx="910">
                  <c:v>-7.0534606043239245</c:v>
                </c:pt>
                <c:pt idx="911">
                  <c:v>-7.0881936248155188</c:v>
                </c:pt>
                <c:pt idx="912">
                  <c:v>-7.1227809973072391</c:v>
                </c:pt>
                <c:pt idx="913">
                  <c:v>-7.157221440467664</c:v>
                </c:pt>
                <c:pt idx="914">
                  <c:v>-7.1915137011447916</c:v>
                </c:pt>
                <c:pt idx="915">
                  <c:v>-7.225656554290512</c:v>
                </c:pt>
                <c:pt idx="916">
                  <c:v>-7.2596488028798607</c:v>
                </c:pt>
                <c:pt idx="917">
                  <c:v>-7.2934892778251488</c:v>
                </c:pt>
                <c:pt idx="918">
                  <c:v>-7.3271768378849966</c:v>
                </c:pt>
                <c:pt idx="919">
                  <c:v>-7.3607103695684044</c:v>
                </c:pt>
                <c:pt idx="920">
                  <c:v>-7.3940887870339163</c:v>
                </c:pt>
                <c:pt idx="921">
                  <c:v>-7.4273110319839537</c:v>
                </c:pt>
                <c:pt idx="922">
                  <c:v>-7.4603760735544027</c:v>
                </c:pt>
                <c:pt idx="923">
                  <c:v>-7.4932829081995482</c:v>
                </c:pt>
                <c:pt idx="924">
                  <c:v>-7.5260305595724466</c:v>
                </c:pt>
                <c:pt idx="925">
                  <c:v>-7.5586180784007704</c:v>
                </c:pt>
                <c:pt idx="926">
                  <c:v>-7.5910445423583006</c:v>
                </c:pt>
                <c:pt idx="927">
                  <c:v>-7.6233090559320473</c:v>
                </c:pt>
                <c:pt idx="928">
                  <c:v>-7.6554107502851609</c:v>
                </c:pt>
                <c:pt idx="929">
                  <c:v>-7.6873487831157004</c:v>
                </c:pt>
                <c:pt idx="930">
                  <c:v>-7.7191223385113208</c:v>
                </c:pt>
                <c:pt idx="931">
                  <c:v>-7.7507306268000153</c:v>
                </c:pt>
                <c:pt idx="932">
                  <c:v>-7.782172884396938</c:v>
                </c:pt>
                <c:pt idx="933">
                  <c:v>-7.8134483736474518</c:v>
                </c:pt>
                <c:pt idx="934">
                  <c:v>-7.8445563826664735</c:v>
                </c:pt>
                <c:pt idx="935">
                  <c:v>-7.8754962251741691</c:v>
                </c:pt>
                <c:pt idx="936">
                  <c:v>-7.906267240328134</c:v>
                </c:pt>
                <c:pt idx="937">
                  <c:v>-7.9368687925521559</c:v>
                </c:pt>
                <c:pt idx="938">
                  <c:v>-7.9673002713615615</c:v>
                </c:pt>
                <c:pt idx="939">
                  <c:v>-7.9975610911853696</c:v>
                </c:pt>
                <c:pt idx="940">
                  <c:v>-8.0276506911852081</c:v>
                </c:pt>
                <c:pt idx="941">
                  <c:v>-8.0575685350711748</c:v>
                </c:pt>
                <c:pt idx="942">
                  <c:v>-8.0873141109147042</c:v>
                </c:pt>
                <c:pt idx="943">
                  <c:v>-8.1168869309585006</c:v>
                </c:pt>
                <c:pt idx="944">
                  <c:v>-8.1462865314236783</c:v>
                </c:pt>
                <c:pt idx="945">
                  <c:v>-8.1463157022773931</c:v>
                </c:pt>
                <c:pt idx="946">
                  <c:v>-8.1463448729587746</c:v>
                </c:pt>
                <c:pt idx="947">
                  <c:v>-8.1463740434678265</c:v>
                </c:pt>
                <c:pt idx="948">
                  <c:v>-8.146403213804545</c:v>
                </c:pt>
                <c:pt idx="949">
                  <c:v>-8.1464323839689339</c:v>
                </c:pt>
                <c:pt idx="950">
                  <c:v>-8.1464615539609859</c:v>
                </c:pt>
                <c:pt idx="951">
                  <c:v>-8.1464907237807012</c:v>
                </c:pt>
                <c:pt idx="952">
                  <c:v>-8.1465198934280849</c:v>
                </c:pt>
                <c:pt idx="953">
                  <c:v>-8.1465490629031301</c:v>
                </c:pt>
                <c:pt idx="954">
                  <c:v>-8.1465782322058438</c:v>
                </c:pt>
                <c:pt idx="955">
                  <c:v>-8.1466074013362224</c:v>
                </c:pt>
                <c:pt idx="956">
                  <c:v>-8.1466365702942696</c:v>
                </c:pt>
                <c:pt idx="957">
                  <c:v>-8.1466657390799693</c:v>
                </c:pt>
                <c:pt idx="958">
                  <c:v>-8.1466949076933393</c:v>
                </c:pt>
                <c:pt idx="959">
                  <c:v>-8.1467240761343724</c:v>
                </c:pt>
                <c:pt idx="960">
                  <c:v>-8.1467532444030635</c:v>
                </c:pt>
                <c:pt idx="961">
                  <c:v>-8.1467824124994141</c:v>
                </c:pt>
                <c:pt idx="962">
                  <c:v>-8.1468115804234333</c:v>
                </c:pt>
                <c:pt idx="963">
                  <c:v>-8.1468407481751086</c:v>
                </c:pt>
                <c:pt idx="964">
                  <c:v>-8.1468699157544453</c:v>
                </c:pt>
                <c:pt idx="965">
                  <c:v>-8.1468990831614452</c:v>
                </c:pt>
                <c:pt idx="966">
                  <c:v>-8.1469282503961029</c:v>
                </c:pt>
                <c:pt idx="967">
                  <c:v>-8.1469574174584185</c:v>
                </c:pt>
                <c:pt idx="968">
                  <c:v>-8.1469865843483955</c:v>
                </c:pt>
                <c:pt idx="969">
                  <c:v>-8.1470157510660322</c:v>
                </c:pt>
                <c:pt idx="970">
                  <c:v>-8.1470449176113213</c:v>
                </c:pt>
                <c:pt idx="971">
                  <c:v>-8.1470740839842701</c:v>
                </c:pt>
                <c:pt idx="972">
                  <c:v>-8.1471032501848804</c:v>
                </c:pt>
                <c:pt idx="973">
                  <c:v>-8.1471324162131431</c:v>
                </c:pt>
                <c:pt idx="974">
                  <c:v>-8.1471615820690673</c:v>
                </c:pt>
                <c:pt idx="975">
                  <c:v>-8.1471907477526404</c:v>
                </c:pt>
                <c:pt idx="976">
                  <c:v>-8.1472199132638732</c:v>
                </c:pt>
                <c:pt idx="977">
                  <c:v>-8.1472490786027603</c:v>
                </c:pt>
                <c:pt idx="978">
                  <c:v>-8.1472782437693017</c:v>
                </c:pt>
                <c:pt idx="979">
                  <c:v>-8.1473074087634973</c:v>
                </c:pt>
                <c:pt idx="980">
                  <c:v>-8.1473365735853474</c:v>
                </c:pt>
                <c:pt idx="981">
                  <c:v>-8.1473657382348517</c:v>
                </c:pt>
                <c:pt idx="982">
                  <c:v>-8.1473949027120067</c:v>
                </c:pt>
                <c:pt idx="983">
                  <c:v>-8.1474240670168179</c:v>
                </c:pt>
                <c:pt idx="984">
                  <c:v>-8.1474532311492815</c:v>
                </c:pt>
                <c:pt idx="985">
                  <c:v>-8.1474823951093942</c:v>
                </c:pt>
                <c:pt idx="986">
                  <c:v>-8.1475115588971558</c:v>
                </c:pt>
                <c:pt idx="987">
                  <c:v>-8.1475407225125753</c:v>
                </c:pt>
                <c:pt idx="988">
                  <c:v>-8.147569885955642</c:v>
                </c:pt>
                <c:pt idx="989">
                  <c:v>-8.1475990492263577</c:v>
                </c:pt>
                <c:pt idx="990">
                  <c:v>-8.1476282123247223</c:v>
                </c:pt>
                <c:pt idx="991">
                  <c:v>-8.1476573752507413</c:v>
                </c:pt>
                <c:pt idx="992">
                  <c:v>-8.1476865380044039</c:v>
                </c:pt>
                <c:pt idx="993">
                  <c:v>-8.1477157005857173</c:v>
                </c:pt>
                <c:pt idx="994">
                  <c:v>-8.1477448629946796</c:v>
                </c:pt>
                <c:pt idx="995">
                  <c:v>-8.1477740252312891</c:v>
                </c:pt>
                <c:pt idx="996">
                  <c:v>-8.1478031872955423</c:v>
                </c:pt>
                <c:pt idx="997">
                  <c:v>-8.147832349187448</c:v>
                </c:pt>
                <c:pt idx="998">
                  <c:v>-8.1478615109069974</c:v>
                </c:pt>
                <c:pt idx="999">
                  <c:v>-8.1478906724541957</c:v>
                </c:pt>
                <c:pt idx="1000">
                  <c:v>-8.1479198338290377</c:v>
                </c:pt>
              </c:numCache>
            </c:numRef>
          </c:yVal>
          <c:smooth val="0"/>
          <c:extLst>
            <c:ext xmlns:c16="http://schemas.microsoft.com/office/drawing/2014/chart" uri="{C3380CC4-5D6E-409C-BE32-E72D297353CC}">
              <c16:uniqueId val="{00000001-2879-444D-95E8-1EF697772180}"/>
            </c:ext>
          </c:extLst>
        </c:ser>
        <c:dLbls>
          <c:showLegendKey val="0"/>
          <c:showVal val="0"/>
          <c:showCatName val="0"/>
          <c:showSerName val="0"/>
          <c:showPercent val="0"/>
          <c:showBubbleSize val="0"/>
        </c:dLbls>
        <c:axId val="149575168"/>
        <c:axId val="149577088"/>
      </c:scatterChart>
      <c:valAx>
        <c:axId val="149575168"/>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1"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577088"/>
        <c:crosses val="autoZero"/>
        <c:crossBetween val="midCat"/>
      </c:valAx>
      <c:valAx>
        <c:axId val="149577088"/>
        <c:scaling>
          <c:orientation val="minMax"/>
        </c:scaling>
        <c:delete val="0"/>
        <c:axPos val="l"/>
        <c:majorGridlines>
          <c:spPr>
            <a:ln w="3175">
              <a:solidFill>
                <a:srgbClr val="000000"/>
              </a:solidFill>
              <a:prstDash val="sysDash"/>
            </a:ln>
          </c:spPr>
        </c:majorGridlines>
        <c:title>
          <c:tx>
            <c:rich>
              <a:bodyPr/>
              <a:lstStyle/>
              <a:p>
                <a:pPr>
                  <a:defRPr sz="1000" b="1" i="0" u="none" strike="noStrike" baseline="0">
                    <a:solidFill>
                      <a:srgbClr val="000000"/>
                    </a:solidFill>
                    <a:latin typeface="Arial"/>
                    <a:ea typeface="Arial"/>
                    <a:cs typeface="Arial"/>
                  </a:defRPr>
                </a:pPr>
                <a:r>
                  <a:rPr lang="fr-FR"/>
                  <a:t>Accélérations [m/s²]_</a:t>
                </a:r>
              </a:p>
            </c:rich>
          </c:tx>
          <c:layout>
            <c:manualLayout>
              <c:xMode val="edge"/>
              <c:yMode val="edge"/>
              <c:x val="2.712264150943397E-2"/>
              <c:y val="0.297386526684164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575168"/>
        <c:crosses val="autoZero"/>
        <c:crossBetween val="midCat"/>
      </c:valAx>
      <c:spPr>
        <a:noFill/>
        <a:ln w="12700">
          <a:solidFill>
            <a:srgbClr val="808080"/>
          </a:solidFill>
          <a:prstDash val="solid"/>
        </a:ln>
      </c:spPr>
    </c:plotArea>
    <c:legend>
      <c:legendPos val="r"/>
      <c:layout>
        <c:manualLayout>
          <c:xMode val="edge"/>
          <c:yMode val="edge"/>
          <c:x val="0.66195018075570744"/>
          <c:y val="0.25777777777777783"/>
          <c:w val="0.30974867528351424"/>
          <c:h val="0.15777777777777779"/>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orientation="landscape" horizontalDpi="1200" verticalDpi="1200"/>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Positions</a:t>
            </a:r>
          </a:p>
        </c:rich>
      </c:tx>
      <c:overlay val="1"/>
    </c:title>
    <c:autoTitleDeleted val="0"/>
    <c:plotArea>
      <c:layout>
        <c:manualLayout>
          <c:layoutTarget val="inner"/>
          <c:xMode val="edge"/>
          <c:yMode val="edge"/>
          <c:x val="0.11674528301886802"/>
          <c:y val="9.4771544282144501E-2"/>
          <c:w val="0.86438679245283023"/>
          <c:h val="0.73856444854360881"/>
        </c:manualLayout>
      </c:layout>
      <c:scatterChart>
        <c:scatterStyle val="lineMarker"/>
        <c:varyColors val="0"/>
        <c:ser>
          <c:idx val="0"/>
          <c:order val="0"/>
          <c:tx>
            <c:strRef>
              <c:f>Courbes!$B$144</c:f>
              <c:strCache>
                <c:ptCount val="1"/>
                <c:pt idx="0">
                  <c:v>Portée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2.0100000000000011</c:v>
                </c:pt>
                <c:pt idx="202">
                  <c:v>2.0200000000000009</c:v>
                </c:pt>
                <c:pt idx="203">
                  <c:v>2.0300000000000007</c:v>
                </c:pt>
                <c:pt idx="204">
                  <c:v>2.0400000000000005</c:v>
                </c:pt>
                <c:pt idx="205">
                  <c:v>2.0500000000000003</c:v>
                </c:pt>
                <c:pt idx="206">
                  <c:v>2.06</c:v>
                </c:pt>
                <c:pt idx="207">
                  <c:v>2.0699999999999998</c:v>
                </c:pt>
                <c:pt idx="208">
                  <c:v>2.0799999999999996</c:v>
                </c:pt>
                <c:pt idx="209">
                  <c:v>2.0899999999999994</c:v>
                </c:pt>
                <c:pt idx="210">
                  <c:v>2.0999999999999992</c:v>
                </c:pt>
                <c:pt idx="211">
                  <c:v>2.109999999999999</c:v>
                </c:pt>
                <c:pt idx="212">
                  <c:v>2.1199999999999988</c:v>
                </c:pt>
                <c:pt idx="213">
                  <c:v>2.1299999999999986</c:v>
                </c:pt>
                <c:pt idx="214">
                  <c:v>2.1399999999999983</c:v>
                </c:pt>
                <c:pt idx="215">
                  <c:v>2.1499999999999981</c:v>
                </c:pt>
                <c:pt idx="216">
                  <c:v>2.1599999999999979</c:v>
                </c:pt>
                <c:pt idx="217">
                  <c:v>2.1699999999999977</c:v>
                </c:pt>
                <c:pt idx="218">
                  <c:v>2.1799999999999975</c:v>
                </c:pt>
                <c:pt idx="219">
                  <c:v>2.1899999999999973</c:v>
                </c:pt>
                <c:pt idx="220">
                  <c:v>2.1999999999999971</c:v>
                </c:pt>
                <c:pt idx="221">
                  <c:v>2.2099999999999969</c:v>
                </c:pt>
                <c:pt idx="222">
                  <c:v>2.2199999999999966</c:v>
                </c:pt>
                <c:pt idx="223">
                  <c:v>2.2299999999999964</c:v>
                </c:pt>
                <c:pt idx="224">
                  <c:v>2.2399999999999962</c:v>
                </c:pt>
                <c:pt idx="225">
                  <c:v>2.249999999999996</c:v>
                </c:pt>
                <c:pt idx="226">
                  <c:v>2.2599999999999958</c:v>
                </c:pt>
                <c:pt idx="227">
                  <c:v>2.2699999999999956</c:v>
                </c:pt>
                <c:pt idx="228">
                  <c:v>2.2799999999999954</c:v>
                </c:pt>
                <c:pt idx="229">
                  <c:v>2.2899999999999952</c:v>
                </c:pt>
                <c:pt idx="230">
                  <c:v>2.2999999999999949</c:v>
                </c:pt>
                <c:pt idx="231">
                  <c:v>2.3099999999999947</c:v>
                </c:pt>
                <c:pt idx="232">
                  <c:v>2.3199999999999945</c:v>
                </c:pt>
                <c:pt idx="233">
                  <c:v>2.3299999999999943</c:v>
                </c:pt>
                <c:pt idx="234">
                  <c:v>2.3399999999999941</c:v>
                </c:pt>
                <c:pt idx="235">
                  <c:v>2.3499999999999939</c:v>
                </c:pt>
                <c:pt idx="236">
                  <c:v>2.3599999999999937</c:v>
                </c:pt>
                <c:pt idx="237">
                  <c:v>2.3699999999999934</c:v>
                </c:pt>
                <c:pt idx="238">
                  <c:v>2.3799999999999932</c:v>
                </c:pt>
                <c:pt idx="239">
                  <c:v>2.389999999999993</c:v>
                </c:pt>
                <c:pt idx="240">
                  <c:v>2.3999999999999928</c:v>
                </c:pt>
                <c:pt idx="241">
                  <c:v>2.4099999999999926</c:v>
                </c:pt>
                <c:pt idx="242">
                  <c:v>2.4199999999999924</c:v>
                </c:pt>
                <c:pt idx="243">
                  <c:v>2.4299999999999922</c:v>
                </c:pt>
                <c:pt idx="244">
                  <c:v>2.439999999999992</c:v>
                </c:pt>
                <c:pt idx="245">
                  <c:v>2.4499999999999917</c:v>
                </c:pt>
                <c:pt idx="246">
                  <c:v>2.4599999999999915</c:v>
                </c:pt>
                <c:pt idx="247">
                  <c:v>2.4699999999999913</c:v>
                </c:pt>
                <c:pt idx="248">
                  <c:v>2.4799999999999911</c:v>
                </c:pt>
                <c:pt idx="249">
                  <c:v>2.4899999999999909</c:v>
                </c:pt>
                <c:pt idx="250">
                  <c:v>2.4999999999999907</c:v>
                </c:pt>
                <c:pt idx="251">
                  <c:v>2.5099999999999905</c:v>
                </c:pt>
                <c:pt idx="252">
                  <c:v>2.5199999999999902</c:v>
                </c:pt>
                <c:pt idx="253">
                  <c:v>2.52999999999999</c:v>
                </c:pt>
                <c:pt idx="254">
                  <c:v>2.5399999999999898</c:v>
                </c:pt>
                <c:pt idx="255">
                  <c:v>2.5499999999999896</c:v>
                </c:pt>
                <c:pt idx="256">
                  <c:v>2.5599999999999894</c:v>
                </c:pt>
                <c:pt idx="257">
                  <c:v>2.5699999999999892</c:v>
                </c:pt>
                <c:pt idx="258">
                  <c:v>2.579999999999989</c:v>
                </c:pt>
                <c:pt idx="259">
                  <c:v>2.5899999999999888</c:v>
                </c:pt>
                <c:pt idx="260">
                  <c:v>2.5999999999999885</c:v>
                </c:pt>
                <c:pt idx="261">
                  <c:v>2.6099999999999883</c:v>
                </c:pt>
                <c:pt idx="262">
                  <c:v>2.6199999999999881</c:v>
                </c:pt>
                <c:pt idx="263">
                  <c:v>2.6299999999999879</c:v>
                </c:pt>
                <c:pt idx="264">
                  <c:v>2.6399999999999877</c:v>
                </c:pt>
                <c:pt idx="265">
                  <c:v>2.6499999999999875</c:v>
                </c:pt>
                <c:pt idx="266">
                  <c:v>2.6599999999999873</c:v>
                </c:pt>
                <c:pt idx="267">
                  <c:v>2.6699999999999871</c:v>
                </c:pt>
                <c:pt idx="268">
                  <c:v>2.6799999999999868</c:v>
                </c:pt>
                <c:pt idx="269">
                  <c:v>2.6899999999999866</c:v>
                </c:pt>
                <c:pt idx="270">
                  <c:v>2.6999999999999864</c:v>
                </c:pt>
                <c:pt idx="271">
                  <c:v>2.7099999999999862</c:v>
                </c:pt>
                <c:pt idx="272">
                  <c:v>2.719999999999986</c:v>
                </c:pt>
                <c:pt idx="273">
                  <c:v>2.7299999999999858</c:v>
                </c:pt>
                <c:pt idx="274">
                  <c:v>2.7399999999999856</c:v>
                </c:pt>
                <c:pt idx="275">
                  <c:v>2.7499999999999853</c:v>
                </c:pt>
                <c:pt idx="276">
                  <c:v>2.7599999999999851</c:v>
                </c:pt>
                <c:pt idx="277">
                  <c:v>2.7699999999999849</c:v>
                </c:pt>
                <c:pt idx="278">
                  <c:v>2.7799999999999847</c:v>
                </c:pt>
                <c:pt idx="279">
                  <c:v>2.7899999999999845</c:v>
                </c:pt>
                <c:pt idx="280">
                  <c:v>2.7999999999999843</c:v>
                </c:pt>
                <c:pt idx="281">
                  <c:v>2.8099999999999841</c:v>
                </c:pt>
                <c:pt idx="282">
                  <c:v>2.8199999999999839</c:v>
                </c:pt>
                <c:pt idx="283">
                  <c:v>2.8299999999999836</c:v>
                </c:pt>
                <c:pt idx="284">
                  <c:v>2.8399999999999834</c:v>
                </c:pt>
                <c:pt idx="285">
                  <c:v>2.8499999999999832</c:v>
                </c:pt>
                <c:pt idx="286">
                  <c:v>2.859999999999983</c:v>
                </c:pt>
                <c:pt idx="287">
                  <c:v>2.8699999999999828</c:v>
                </c:pt>
                <c:pt idx="288">
                  <c:v>2.8799999999999826</c:v>
                </c:pt>
                <c:pt idx="289">
                  <c:v>2.8899999999999824</c:v>
                </c:pt>
                <c:pt idx="290">
                  <c:v>2.8999999999999821</c:v>
                </c:pt>
                <c:pt idx="291">
                  <c:v>2.9099999999999819</c:v>
                </c:pt>
                <c:pt idx="292">
                  <c:v>2.9199999999999817</c:v>
                </c:pt>
                <c:pt idx="293">
                  <c:v>2.9299999999999815</c:v>
                </c:pt>
                <c:pt idx="294">
                  <c:v>2.9399999999999813</c:v>
                </c:pt>
                <c:pt idx="295">
                  <c:v>2.9499999999999811</c:v>
                </c:pt>
                <c:pt idx="296">
                  <c:v>2.9599999999999809</c:v>
                </c:pt>
                <c:pt idx="297">
                  <c:v>2.9699999999999807</c:v>
                </c:pt>
                <c:pt idx="298">
                  <c:v>2.9799999999999804</c:v>
                </c:pt>
                <c:pt idx="299">
                  <c:v>2.9899999999999802</c:v>
                </c:pt>
                <c:pt idx="300">
                  <c:v>2.99999999999998</c:v>
                </c:pt>
                <c:pt idx="301">
                  <c:v>3.0099999999999798</c:v>
                </c:pt>
                <c:pt idx="302">
                  <c:v>3.0199999999999796</c:v>
                </c:pt>
                <c:pt idx="303">
                  <c:v>3.0299999999999794</c:v>
                </c:pt>
                <c:pt idx="304">
                  <c:v>3.0399999999999792</c:v>
                </c:pt>
                <c:pt idx="305">
                  <c:v>3.049999999999979</c:v>
                </c:pt>
                <c:pt idx="306">
                  <c:v>3.0599999999999787</c:v>
                </c:pt>
                <c:pt idx="307">
                  <c:v>3.0699999999999785</c:v>
                </c:pt>
                <c:pt idx="308">
                  <c:v>3.0799999999999783</c:v>
                </c:pt>
                <c:pt idx="309">
                  <c:v>3.0899999999999781</c:v>
                </c:pt>
                <c:pt idx="310">
                  <c:v>3.0999999999999779</c:v>
                </c:pt>
                <c:pt idx="311">
                  <c:v>3.1099999999999777</c:v>
                </c:pt>
                <c:pt idx="312">
                  <c:v>3.1199999999999775</c:v>
                </c:pt>
                <c:pt idx="313">
                  <c:v>3.1299999999999772</c:v>
                </c:pt>
                <c:pt idx="314">
                  <c:v>3.139999999999977</c:v>
                </c:pt>
                <c:pt idx="315">
                  <c:v>3.1499999999999768</c:v>
                </c:pt>
                <c:pt idx="316">
                  <c:v>3.1599999999999766</c:v>
                </c:pt>
                <c:pt idx="317">
                  <c:v>3.1699999999999764</c:v>
                </c:pt>
                <c:pt idx="318">
                  <c:v>3.1799999999999762</c:v>
                </c:pt>
                <c:pt idx="319">
                  <c:v>3.189999999999976</c:v>
                </c:pt>
                <c:pt idx="320">
                  <c:v>3.1999999999999758</c:v>
                </c:pt>
                <c:pt idx="321">
                  <c:v>3.2099999999999755</c:v>
                </c:pt>
                <c:pt idx="322">
                  <c:v>3.2199999999999753</c:v>
                </c:pt>
                <c:pt idx="323">
                  <c:v>3.2299999999999751</c:v>
                </c:pt>
                <c:pt idx="324">
                  <c:v>3.2399999999999749</c:v>
                </c:pt>
                <c:pt idx="325">
                  <c:v>3.2499999999999747</c:v>
                </c:pt>
                <c:pt idx="326">
                  <c:v>3.2599999999999745</c:v>
                </c:pt>
                <c:pt idx="327">
                  <c:v>3.2699999999999743</c:v>
                </c:pt>
                <c:pt idx="328">
                  <c:v>3.279999999999974</c:v>
                </c:pt>
                <c:pt idx="329">
                  <c:v>3.2899999999999738</c:v>
                </c:pt>
                <c:pt idx="330">
                  <c:v>3.2999999999999736</c:v>
                </c:pt>
                <c:pt idx="331">
                  <c:v>3.3099999999999734</c:v>
                </c:pt>
                <c:pt idx="332">
                  <c:v>3.3199999999999732</c:v>
                </c:pt>
                <c:pt idx="333">
                  <c:v>3.329999999999973</c:v>
                </c:pt>
                <c:pt idx="334">
                  <c:v>3.3399999999999728</c:v>
                </c:pt>
                <c:pt idx="335">
                  <c:v>3.3499999999999726</c:v>
                </c:pt>
                <c:pt idx="336">
                  <c:v>3.3599999999999723</c:v>
                </c:pt>
                <c:pt idx="337">
                  <c:v>3.3699999999999721</c:v>
                </c:pt>
                <c:pt idx="338">
                  <c:v>3.3799999999999719</c:v>
                </c:pt>
                <c:pt idx="339">
                  <c:v>3.3899999999999717</c:v>
                </c:pt>
                <c:pt idx="340">
                  <c:v>3.3999999999999715</c:v>
                </c:pt>
                <c:pt idx="341">
                  <c:v>3.4099999999999713</c:v>
                </c:pt>
                <c:pt idx="342">
                  <c:v>3.4199999999999711</c:v>
                </c:pt>
                <c:pt idx="343">
                  <c:v>3.4299999999999708</c:v>
                </c:pt>
                <c:pt idx="344">
                  <c:v>3.4399999999999706</c:v>
                </c:pt>
                <c:pt idx="345">
                  <c:v>3.4499999999999704</c:v>
                </c:pt>
                <c:pt idx="346">
                  <c:v>3.4599999999999702</c:v>
                </c:pt>
                <c:pt idx="347">
                  <c:v>3.46999999999997</c:v>
                </c:pt>
                <c:pt idx="348">
                  <c:v>3.4799999999999698</c:v>
                </c:pt>
                <c:pt idx="349">
                  <c:v>3.4899999999999696</c:v>
                </c:pt>
                <c:pt idx="350">
                  <c:v>3.4999999999999694</c:v>
                </c:pt>
                <c:pt idx="351">
                  <c:v>3.5099999999999691</c:v>
                </c:pt>
                <c:pt idx="352">
                  <c:v>3.5199999999999689</c:v>
                </c:pt>
                <c:pt idx="353">
                  <c:v>3.5299999999999687</c:v>
                </c:pt>
                <c:pt idx="354">
                  <c:v>3.5399999999999685</c:v>
                </c:pt>
                <c:pt idx="355">
                  <c:v>3.5499999999999683</c:v>
                </c:pt>
                <c:pt idx="356">
                  <c:v>3.5599999999999681</c:v>
                </c:pt>
                <c:pt idx="357">
                  <c:v>3.5699999999999679</c:v>
                </c:pt>
                <c:pt idx="358">
                  <c:v>3.5799999999999677</c:v>
                </c:pt>
                <c:pt idx="359">
                  <c:v>3.5899999999999674</c:v>
                </c:pt>
                <c:pt idx="360">
                  <c:v>3.5999999999999672</c:v>
                </c:pt>
                <c:pt idx="361">
                  <c:v>3.609999999999967</c:v>
                </c:pt>
                <c:pt idx="362">
                  <c:v>3.6199999999999668</c:v>
                </c:pt>
                <c:pt idx="363">
                  <c:v>3.6299999999999666</c:v>
                </c:pt>
                <c:pt idx="364">
                  <c:v>3.6399999999999664</c:v>
                </c:pt>
                <c:pt idx="365">
                  <c:v>3.6499999999999662</c:v>
                </c:pt>
                <c:pt idx="366">
                  <c:v>3.6599999999999659</c:v>
                </c:pt>
                <c:pt idx="367">
                  <c:v>3.6699999999999657</c:v>
                </c:pt>
                <c:pt idx="368">
                  <c:v>3.6799999999999655</c:v>
                </c:pt>
                <c:pt idx="369">
                  <c:v>3.6899999999999653</c:v>
                </c:pt>
                <c:pt idx="370">
                  <c:v>3.6999999999999651</c:v>
                </c:pt>
                <c:pt idx="371">
                  <c:v>3.7099999999999649</c:v>
                </c:pt>
                <c:pt idx="372">
                  <c:v>3.7199999999999647</c:v>
                </c:pt>
                <c:pt idx="373">
                  <c:v>3.7299999999999645</c:v>
                </c:pt>
                <c:pt idx="374">
                  <c:v>3.7399999999999642</c:v>
                </c:pt>
                <c:pt idx="375">
                  <c:v>3.749999999999964</c:v>
                </c:pt>
                <c:pt idx="376">
                  <c:v>3.7599999999999638</c:v>
                </c:pt>
                <c:pt idx="377">
                  <c:v>3.7699999999999636</c:v>
                </c:pt>
                <c:pt idx="378">
                  <c:v>3.7799999999999634</c:v>
                </c:pt>
                <c:pt idx="379">
                  <c:v>3.7899999999999632</c:v>
                </c:pt>
                <c:pt idx="380">
                  <c:v>3.799999999999963</c:v>
                </c:pt>
                <c:pt idx="381">
                  <c:v>3.8099999999999627</c:v>
                </c:pt>
                <c:pt idx="382">
                  <c:v>3.8199999999999625</c:v>
                </c:pt>
                <c:pt idx="383">
                  <c:v>3.8299999999999623</c:v>
                </c:pt>
                <c:pt idx="384">
                  <c:v>3.8399999999999621</c:v>
                </c:pt>
                <c:pt idx="385">
                  <c:v>3.8499999999999619</c:v>
                </c:pt>
                <c:pt idx="386">
                  <c:v>3.8599999999999617</c:v>
                </c:pt>
                <c:pt idx="387">
                  <c:v>3.8699999999999615</c:v>
                </c:pt>
                <c:pt idx="388">
                  <c:v>3.8799999999999613</c:v>
                </c:pt>
                <c:pt idx="389">
                  <c:v>3.889999999999961</c:v>
                </c:pt>
                <c:pt idx="390">
                  <c:v>3.8999999999999608</c:v>
                </c:pt>
                <c:pt idx="391">
                  <c:v>3.9099999999999606</c:v>
                </c:pt>
                <c:pt idx="392">
                  <c:v>3.9199999999999604</c:v>
                </c:pt>
                <c:pt idx="393">
                  <c:v>3.9299999999999602</c:v>
                </c:pt>
                <c:pt idx="394">
                  <c:v>3.93999999999996</c:v>
                </c:pt>
                <c:pt idx="395">
                  <c:v>3.9499999999999598</c:v>
                </c:pt>
                <c:pt idx="396">
                  <c:v>3.9599999999999596</c:v>
                </c:pt>
                <c:pt idx="397">
                  <c:v>3.9699999999999593</c:v>
                </c:pt>
                <c:pt idx="398">
                  <c:v>3.9799999999999591</c:v>
                </c:pt>
                <c:pt idx="399">
                  <c:v>3.9899999999999589</c:v>
                </c:pt>
                <c:pt idx="400">
                  <c:v>3.9999999999999587</c:v>
                </c:pt>
                <c:pt idx="401">
                  <c:v>4.0099999999999589</c:v>
                </c:pt>
                <c:pt idx="402">
                  <c:v>4.0199999999999587</c:v>
                </c:pt>
                <c:pt idx="403">
                  <c:v>4.0299999999999585</c:v>
                </c:pt>
                <c:pt idx="404">
                  <c:v>4.0399999999999583</c:v>
                </c:pt>
                <c:pt idx="405">
                  <c:v>4.0499999999999581</c:v>
                </c:pt>
                <c:pt idx="406">
                  <c:v>4.0599999999999579</c:v>
                </c:pt>
                <c:pt idx="407">
                  <c:v>4.0699999999999577</c:v>
                </c:pt>
                <c:pt idx="408">
                  <c:v>4.0799999999999574</c:v>
                </c:pt>
                <c:pt idx="409">
                  <c:v>4.0899999999999572</c:v>
                </c:pt>
                <c:pt idx="410">
                  <c:v>4.099999999999957</c:v>
                </c:pt>
                <c:pt idx="411">
                  <c:v>4.1099999999999568</c:v>
                </c:pt>
                <c:pt idx="412">
                  <c:v>4.1199999999999566</c:v>
                </c:pt>
                <c:pt idx="413">
                  <c:v>4.1299999999999564</c:v>
                </c:pt>
                <c:pt idx="414">
                  <c:v>4.1399999999999562</c:v>
                </c:pt>
                <c:pt idx="415">
                  <c:v>4.1499999999999559</c:v>
                </c:pt>
                <c:pt idx="416">
                  <c:v>4.1599999999999557</c:v>
                </c:pt>
                <c:pt idx="417">
                  <c:v>4.1699999999999555</c:v>
                </c:pt>
                <c:pt idx="418">
                  <c:v>4.1799999999999553</c:v>
                </c:pt>
                <c:pt idx="419">
                  <c:v>4.1899999999999551</c:v>
                </c:pt>
                <c:pt idx="420">
                  <c:v>4.1999999999999549</c:v>
                </c:pt>
                <c:pt idx="421">
                  <c:v>4.2099999999999547</c:v>
                </c:pt>
                <c:pt idx="422">
                  <c:v>4.2199999999999545</c:v>
                </c:pt>
                <c:pt idx="423">
                  <c:v>4.2299999999999542</c:v>
                </c:pt>
                <c:pt idx="424">
                  <c:v>4.239999999999954</c:v>
                </c:pt>
                <c:pt idx="425">
                  <c:v>4.2499999999999538</c:v>
                </c:pt>
                <c:pt idx="426">
                  <c:v>4.2599999999999536</c:v>
                </c:pt>
                <c:pt idx="427">
                  <c:v>4.2699999999999534</c:v>
                </c:pt>
                <c:pt idx="428">
                  <c:v>4.2799999999999532</c:v>
                </c:pt>
                <c:pt idx="429">
                  <c:v>4.289999999999953</c:v>
                </c:pt>
                <c:pt idx="430">
                  <c:v>4.2999999999999527</c:v>
                </c:pt>
                <c:pt idx="431">
                  <c:v>4.3099999999999525</c:v>
                </c:pt>
                <c:pt idx="432">
                  <c:v>4.3199999999999523</c:v>
                </c:pt>
                <c:pt idx="433">
                  <c:v>4.3299999999999521</c:v>
                </c:pt>
                <c:pt idx="434">
                  <c:v>4.3399999999999519</c:v>
                </c:pt>
                <c:pt idx="435">
                  <c:v>4.3499999999999517</c:v>
                </c:pt>
                <c:pt idx="436">
                  <c:v>4.3599999999999515</c:v>
                </c:pt>
                <c:pt idx="437">
                  <c:v>4.3699999999999513</c:v>
                </c:pt>
                <c:pt idx="438">
                  <c:v>4.379999999999951</c:v>
                </c:pt>
                <c:pt idx="439">
                  <c:v>4.3899999999999508</c:v>
                </c:pt>
                <c:pt idx="440">
                  <c:v>4.3999999999999506</c:v>
                </c:pt>
                <c:pt idx="441">
                  <c:v>4.4099999999999504</c:v>
                </c:pt>
                <c:pt idx="442">
                  <c:v>4.4199999999999502</c:v>
                </c:pt>
                <c:pt idx="443">
                  <c:v>4.42999999999995</c:v>
                </c:pt>
                <c:pt idx="444">
                  <c:v>4.4399999999999498</c:v>
                </c:pt>
                <c:pt idx="445">
                  <c:v>4.4499999999999496</c:v>
                </c:pt>
                <c:pt idx="446">
                  <c:v>4.4599999999999493</c:v>
                </c:pt>
                <c:pt idx="447">
                  <c:v>4.4699999999999491</c:v>
                </c:pt>
                <c:pt idx="448">
                  <c:v>4.4799999999999489</c:v>
                </c:pt>
                <c:pt idx="449">
                  <c:v>4.4899999999999487</c:v>
                </c:pt>
                <c:pt idx="450">
                  <c:v>4.4999999999999485</c:v>
                </c:pt>
                <c:pt idx="451">
                  <c:v>4.5099999999999483</c:v>
                </c:pt>
                <c:pt idx="452">
                  <c:v>4.5199999999999481</c:v>
                </c:pt>
                <c:pt idx="453">
                  <c:v>4.5299999999999478</c:v>
                </c:pt>
                <c:pt idx="454">
                  <c:v>4.5399999999999476</c:v>
                </c:pt>
                <c:pt idx="455">
                  <c:v>4.5499999999999474</c:v>
                </c:pt>
                <c:pt idx="456">
                  <c:v>4.5599999999999472</c:v>
                </c:pt>
                <c:pt idx="457">
                  <c:v>4.569999999999947</c:v>
                </c:pt>
                <c:pt idx="458">
                  <c:v>4.5799999999999468</c:v>
                </c:pt>
                <c:pt idx="459">
                  <c:v>4.5899999999999466</c:v>
                </c:pt>
                <c:pt idx="460">
                  <c:v>4.5999999999999464</c:v>
                </c:pt>
                <c:pt idx="461">
                  <c:v>4.6099999999999461</c:v>
                </c:pt>
                <c:pt idx="462">
                  <c:v>4.6199999999999459</c:v>
                </c:pt>
                <c:pt idx="463">
                  <c:v>4.6299999999999457</c:v>
                </c:pt>
                <c:pt idx="464">
                  <c:v>4.6399999999999455</c:v>
                </c:pt>
                <c:pt idx="465">
                  <c:v>4.6499999999999453</c:v>
                </c:pt>
                <c:pt idx="466">
                  <c:v>4.6599999999999451</c:v>
                </c:pt>
                <c:pt idx="467">
                  <c:v>4.6699999999999449</c:v>
                </c:pt>
                <c:pt idx="468">
                  <c:v>4.6799999999999446</c:v>
                </c:pt>
                <c:pt idx="469">
                  <c:v>4.6899999999999444</c:v>
                </c:pt>
                <c:pt idx="470">
                  <c:v>4.6999999999999442</c:v>
                </c:pt>
                <c:pt idx="471">
                  <c:v>4.709999999999944</c:v>
                </c:pt>
                <c:pt idx="472">
                  <c:v>4.7199999999999438</c:v>
                </c:pt>
                <c:pt idx="473">
                  <c:v>4.7299999999999436</c:v>
                </c:pt>
                <c:pt idx="474">
                  <c:v>4.7399999999999434</c:v>
                </c:pt>
                <c:pt idx="475">
                  <c:v>4.7499999999999432</c:v>
                </c:pt>
                <c:pt idx="476">
                  <c:v>4.7599999999999429</c:v>
                </c:pt>
                <c:pt idx="477">
                  <c:v>4.7699999999999427</c:v>
                </c:pt>
                <c:pt idx="478">
                  <c:v>4.7799999999999425</c:v>
                </c:pt>
                <c:pt idx="479">
                  <c:v>4.7899999999999423</c:v>
                </c:pt>
                <c:pt idx="480">
                  <c:v>4.7999999999999421</c:v>
                </c:pt>
                <c:pt idx="481">
                  <c:v>4.8099999999999419</c:v>
                </c:pt>
                <c:pt idx="482">
                  <c:v>4.8199999999999417</c:v>
                </c:pt>
                <c:pt idx="483">
                  <c:v>4.8299999999999415</c:v>
                </c:pt>
                <c:pt idx="484">
                  <c:v>4.8399999999999412</c:v>
                </c:pt>
                <c:pt idx="485">
                  <c:v>4.849999999999941</c:v>
                </c:pt>
                <c:pt idx="486">
                  <c:v>4.8599999999999408</c:v>
                </c:pt>
                <c:pt idx="487">
                  <c:v>4.8699999999999406</c:v>
                </c:pt>
                <c:pt idx="488">
                  <c:v>4.8799999999999404</c:v>
                </c:pt>
                <c:pt idx="489">
                  <c:v>4.8899999999999402</c:v>
                </c:pt>
                <c:pt idx="490">
                  <c:v>4.89999999999994</c:v>
                </c:pt>
                <c:pt idx="491">
                  <c:v>4.9099999999999397</c:v>
                </c:pt>
                <c:pt idx="492">
                  <c:v>4.9199999999999395</c:v>
                </c:pt>
                <c:pt idx="493">
                  <c:v>4.9299999999999393</c:v>
                </c:pt>
                <c:pt idx="494">
                  <c:v>4.9399999999999391</c:v>
                </c:pt>
                <c:pt idx="495">
                  <c:v>4.9499999999999389</c:v>
                </c:pt>
                <c:pt idx="496">
                  <c:v>4.9599999999999387</c:v>
                </c:pt>
                <c:pt idx="497">
                  <c:v>4.9699999999999385</c:v>
                </c:pt>
                <c:pt idx="498">
                  <c:v>4.9799999999999383</c:v>
                </c:pt>
                <c:pt idx="499">
                  <c:v>4.989999999999938</c:v>
                </c:pt>
                <c:pt idx="500">
                  <c:v>4.9999999999999378</c:v>
                </c:pt>
                <c:pt idx="501">
                  <c:v>5.0999999999999375</c:v>
                </c:pt>
                <c:pt idx="502">
                  <c:v>5.1999999999999371</c:v>
                </c:pt>
                <c:pt idx="503">
                  <c:v>5.2999999999999368</c:v>
                </c:pt>
                <c:pt idx="504">
                  <c:v>5.3999999999999364</c:v>
                </c:pt>
                <c:pt idx="505">
                  <c:v>5.4999999999999361</c:v>
                </c:pt>
                <c:pt idx="506">
                  <c:v>5.5999999999999357</c:v>
                </c:pt>
                <c:pt idx="507">
                  <c:v>5.6999999999999353</c:v>
                </c:pt>
                <c:pt idx="508">
                  <c:v>5.799999999999935</c:v>
                </c:pt>
                <c:pt idx="509">
                  <c:v>5.8999999999999346</c:v>
                </c:pt>
                <c:pt idx="510">
                  <c:v>5.9999999999999343</c:v>
                </c:pt>
                <c:pt idx="511">
                  <c:v>6.0999999999999339</c:v>
                </c:pt>
                <c:pt idx="512">
                  <c:v>6.1999999999999336</c:v>
                </c:pt>
                <c:pt idx="513">
                  <c:v>6.2999999999999332</c:v>
                </c:pt>
                <c:pt idx="514">
                  <c:v>6.3999999999999329</c:v>
                </c:pt>
                <c:pt idx="515">
                  <c:v>6.4999999999999325</c:v>
                </c:pt>
                <c:pt idx="516">
                  <c:v>6.5999999999999321</c:v>
                </c:pt>
                <c:pt idx="517">
                  <c:v>6.6999999999999318</c:v>
                </c:pt>
                <c:pt idx="518">
                  <c:v>6.7999999999999314</c:v>
                </c:pt>
                <c:pt idx="519">
                  <c:v>6.8999999999999311</c:v>
                </c:pt>
                <c:pt idx="520">
                  <c:v>6.9999999999999307</c:v>
                </c:pt>
                <c:pt idx="521">
                  <c:v>7.0999999999999304</c:v>
                </c:pt>
                <c:pt idx="522">
                  <c:v>7.19999999999993</c:v>
                </c:pt>
                <c:pt idx="523">
                  <c:v>7.2999999999999297</c:v>
                </c:pt>
                <c:pt idx="524">
                  <c:v>7.3999999999999293</c:v>
                </c:pt>
                <c:pt idx="525">
                  <c:v>7.4999999999999289</c:v>
                </c:pt>
                <c:pt idx="526">
                  <c:v>7.5999999999999286</c:v>
                </c:pt>
                <c:pt idx="527">
                  <c:v>7.6999999999999282</c:v>
                </c:pt>
                <c:pt idx="528">
                  <c:v>7.7999999999999279</c:v>
                </c:pt>
                <c:pt idx="529">
                  <c:v>7.8999999999999275</c:v>
                </c:pt>
                <c:pt idx="530">
                  <c:v>7.9999999999999272</c:v>
                </c:pt>
                <c:pt idx="531">
                  <c:v>8.0999999999999268</c:v>
                </c:pt>
                <c:pt idx="532">
                  <c:v>8.1999999999999265</c:v>
                </c:pt>
                <c:pt idx="533">
                  <c:v>8.2999999999999261</c:v>
                </c:pt>
                <c:pt idx="534">
                  <c:v>8.3999999999999257</c:v>
                </c:pt>
                <c:pt idx="535">
                  <c:v>8.4999999999999254</c:v>
                </c:pt>
                <c:pt idx="536">
                  <c:v>8.599999999999925</c:v>
                </c:pt>
                <c:pt idx="537">
                  <c:v>8.6999999999999247</c:v>
                </c:pt>
                <c:pt idx="538">
                  <c:v>8.7999999999999243</c:v>
                </c:pt>
                <c:pt idx="539">
                  <c:v>8.899999999999924</c:v>
                </c:pt>
                <c:pt idx="540">
                  <c:v>8.9999999999999236</c:v>
                </c:pt>
                <c:pt idx="541">
                  <c:v>9.0999999999999233</c:v>
                </c:pt>
                <c:pt idx="542">
                  <c:v>9.1999999999999229</c:v>
                </c:pt>
                <c:pt idx="543">
                  <c:v>9.2999999999999226</c:v>
                </c:pt>
                <c:pt idx="544">
                  <c:v>9.3999999999999222</c:v>
                </c:pt>
                <c:pt idx="545">
                  <c:v>9.4999999999999218</c:v>
                </c:pt>
                <c:pt idx="546">
                  <c:v>9.5999999999999215</c:v>
                </c:pt>
                <c:pt idx="547">
                  <c:v>9.6999999999999211</c:v>
                </c:pt>
                <c:pt idx="548">
                  <c:v>9.7999999999999208</c:v>
                </c:pt>
                <c:pt idx="549">
                  <c:v>9.8999999999999204</c:v>
                </c:pt>
                <c:pt idx="550">
                  <c:v>9.9999999999999201</c:v>
                </c:pt>
                <c:pt idx="551">
                  <c:v>10.09999999999992</c:v>
                </c:pt>
                <c:pt idx="552">
                  <c:v>10.199999999999919</c:v>
                </c:pt>
                <c:pt idx="553">
                  <c:v>10.299999999999919</c:v>
                </c:pt>
                <c:pt idx="554">
                  <c:v>10.399999999999919</c:v>
                </c:pt>
                <c:pt idx="555">
                  <c:v>10.499999999999918</c:v>
                </c:pt>
                <c:pt idx="556">
                  <c:v>10.599999999999918</c:v>
                </c:pt>
                <c:pt idx="557">
                  <c:v>10.699999999999918</c:v>
                </c:pt>
                <c:pt idx="558">
                  <c:v>10.799999999999917</c:v>
                </c:pt>
                <c:pt idx="559">
                  <c:v>10.899999999999917</c:v>
                </c:pt>
                <c:pt idx="560">
                  <c:v>10.999999999999917</c:v>
                </c:pt>
                <c:pt idx="561">
                  <c:v>11.099999999999916</c:v>
                </c:pt>
                <c:pt idx="562">
                  <c:v>11.199999999999916</c:v>
                </c:pt>
                <c:pt idx="563">
                  <c:v>11.299999999999915</c:v>
                </c:pt>
                <c:pt idx="564">
                  <c:v>11.399999999999915</c:v>
                </c:pt>
                <c:pt idx="565">
                  <c:v>11.499999999999915</c:v>
                </c:pt>
                <c:pt idx="566">
                  <c:v>11.599999999999914</c:v>
                </c:pt>
                <c:pt idx="567">
                  <c:v>11.699999999999914</c:v>
                </c:pt>
                <c:pt idx="568">
                  <c:v>11.799999999999914</c:v>
                </c:pt>
                <c:pt idx="569">
                  <c:v>11.899999999999913</c:v>
                </c:pt>
                <c:pt idx="570">
                  <c:v>11.999999999999913</c:v>
                </c:pt>
                <c:pt idx="571">
                  <c:v>12.099999999999913</c:v>
                </c:pt>
                <c:pt idx="572">
                  <c:v>12.199999999999912</c:v>
                </c:pt>
                <c:pt idx="573">
                  <c:v>12.299999999999912</c:v>
                </c:pt>
                <c:pt idx="574">
                  <c:v>12.399999999999912</c:v>
                </c:pt>
                <c:pt idx="575">
                  <c:v>12.499999999999911</c:v>
                </c:pt>
                <c:pt idx="576">
                  <c:v>12.599999999999911</c:v>
                </c:pt>
                <c:pt idx="577">
                  <c:v>12.69999999999991</c:v>
                </c:pt>
                <c:pt idx="578">
                  <c:v>12.79999999999991</c:v>
                </c:pt>
                <c:pt idx="579">
                  <c:v>12.89999999999991</c:v>
                </c:pt>
                <c:pt idx="580">
                  <c:v>12.999999999999909</c:v>
                </c:pt>
                <c:pt idx="581">
                  <c:v>13.099999999999909</c:v>
                </c:pt>
                <c:pt idx="582">
                  <c:v>13.199999999999909</c:v>
                </c:pt>
                <c:pt idx="583">
                  <c:v>13.299999999999908</c:v>
                </c:pt>
                <c:pt idx="584">
                  <c:v>13.399999999999908</c:v>
                </c:pt>
                <c:pt idx="585">
                  <c:v>13.499999999999908</c:v>
                </c:pt>
                <c:pt idx="586">
                  <c:v>13.599999999999907</c:v>
                </c:pt>
                <c:pt idx="587">
                  <c:v>13.699999999999907</c:v>
                </c:pt>
                <c:pt idx="588">
                  <c:v>13.799999999999907</c:v>
                </c:pt>
                <c:pt idx="589">
                  <c:v>13.899999999999906</c:v>
                </c:pt>
                <c:pt idx="590">
                  <c:v>13.999999999999906</c:v>
                </c:pt>
                <c:pt idx="591">
                  <c:v>14.099999999999905</c:v>
                </c:pt>
                <c:pt idx="592">
                  <c:v>14.199999999999905</c:v>
                </c:pt>
                <c:pt idx="593">
                  <c:v>14.299999999999905</c:v>
                </c:pt>
                <c:pt idx="594">
                  <c:v>14.399999999999904</c:v>
                </c:pt>
                <c:pt idx="595">
                  <c:v>14.499999999999904</c:v>
                </c:pt>
                <c:pt idx="596">
                  <c:v>14.599999999999904</c:v>
                </c:pt>
                <c:pt idx="597">
                  <c:v>14.699999999999903</c:v>
                </c:pt>
                <c:pt idx="598">
                  <c:v>14.799999999999903</c:v>
                </c:pt>
                <c:pt idx="599">
                  <c:v>14.899999999999903</c:v>
                </c:pt>
                <c:pt idx="600">
                  <c:v>14.999999999999902</c:v>
                </c:pt>
                <c:pt idx="601">
                  <c:v>15.099999999999902</c:v>
                </c:pt>
                <c:pt idx="602">
                  <c:v>15.199999999999902</c:v>
                </c:pt>
                <c:pt idx="603">
                  <c:v>15.299999999999901</c:v>
                </c:pt>
                <c:pt idx="604">
                  <c:v>15.399999999999901</c:v>
                </c:pt>
                <c:pt idx="605">
                  <c:v>15.499999999999901</c:v>
                </c:pt>
                <c:pt idx="606">
                  <c:v>15.5999999999999</c:v>
                </c:pt>
                <c:pt idx="607">
                  <c:v>15.6999999999999</c:v>
                </c:pt>
                <c:pt idx="608">
                  <c:v>15.799999999999899</c:v>
                </c:pt>
                <c:pt idx="609">
                  <c:v>15.899999999999899</c:v>
                </c:pt>
                <c:pt idx="610">
                  <c:v>15.999999999999899</c:v>
                </c:pt>
                <c:pt idx="611">
                  <c:v>16.099999999999898</c:v>
                </c:pt>
                <c:pt idx="612">
                  <c:v>16.1999999999999</c:v>
                </c:pt>
                <c:pt idx="613">
                  <c:v>16.299999999999901</c:v>
                </c:pt>
                <c:pt idx="614">
                  <c:v>16.399999999999903</c:v>
                </c:pt>
                <c:pt idx="615">
                  <c:v>16.499999999999904</c:v>
                </c:pt>
                <c:pt idx="616">
                  <c:v>16.599999999999905</c:v>
                </c:pt>
                <c:pt idx="617">
                  <c:v>16.699999999999907</c:v>
                </c:pt>
                <c:pt idx="618">
                  <c:v>16.799999999999908</c:v>
                </c:pt>
                <c:pt idx="619">
                  <c:v>16.89999999999991</c:v>
                </c:pt>
                <c:pt idx="620">
                  <c:v>16.999999999999911</c:v>
                </c:pt>
                <c:pt idx="621">
                  <c:v>17.099999999999913</c:v>
                </c:pt>
                <c:pt idx="622">
                  <c:v>17.199999999999914</c:v>
                </c:pt>
                <c:pt idx="623">
                  <c:v>17.299999999999915</c:v>
                </c:pt>
                <c:pt idx="624">
                  <c:v>17.399999999999917</c:v>
                </c:pt>
                <c:pt idx="625">
                  <c:v>17.499999999999918</c:v>
                </c:pt>
                <c:pt idx="626">
                  <c:v>17.59999999999992</c:v>
                </c:pt>
                <c:pt idx="627">
                  <c:v>17.699999999999921</c:v>
                </c:pt>
                <c:pt idx="628">
                  <c:v>17.799999999999923</c:v>
                </c:pt>
                <c:pt idx="629">
                  <c:v>17.899999999999924</c:v>
                </c:pt>
                <c:pt idx="630">
                  <c:v>17.999999999999925</c:v>
                </c:pt>
                <c:pt idx="631">
                  <c:v>18.099999999999927</c:v>
                </c:pt>
                <c:pt idx="632">
                  <c:v>18.199999999999928</c:v>
                </c:pt>
                <c:pt idx="633">
                  <c:v>18.29999999999993</c:v>
                </c:pt>
                <c:pt idx="634">
                  <c:v>18.399999999999931</c:v>
                </c:pt>
                <c:pt idx="635">
                  <c:v>18.499999999999932</c:v>
                </c:pt>
                <c:pt idx="636">
                  <c:v>18.599999999999934</c:v>
                </c:pt>
                <c:pt idx="637">
                  <c:v>18.699999999999935</c:v>
                </c:pt>
                <c:pt idx="638">
                  <c:v>18.799999999999937</c:v>
                </c:pt>
                <c:pt idx="639">
                  <c:v>18.899999999999938</c:v>
                </c:pt>
                <c:pt idx="640">
                  <c:v>18.99999999999994</c:v>
                </c:pt>
                <c:pt idx="641">
                  <c:v>19.099999999999941</c:v>
                </c:pt>
                <c:pt idx="642">
                  <c:v>19.199999999999942</c:v>
                </c:pt>
                <c:pt idx="643">
                  <c:v>19.299999999999944</c:v>
                </c:pt>
                <c:pt idx="644">
                  <c:v>19.399999999999945</c:v>
                </c:pt>
                <c:pt idx="645">
                  <c:v>19.499999999999947</c:v>
                </c:pt>
                <c:pt idx="646">
                  <c:v>19.599999999999948</c:v>
                </c:pt>
                <c:pt idx="647">
                  <c:v>19.69999999999995</c:v>
                </c:pt>
                <c:pt idx="648">
                  <c:v>19.799999999999951</c:v>
                </c:pt>
                <c:pt idx="649">
                  <c:v>19.899999999999952</c:v>
                </c:pt>
                <c:pt idx="650">
                  <c:v>19.999999999999954</c:v>
                </c:pt>
                <c:pt idx="651">
                  <c:v>20.099999999999955</c:v>
                </c:pt>
                <c:pt idx="652">
                  <c:v>20.199999999999957</c:v>
                </c:pt>
                <c:pt idx="653">
                  <c:v>20.299999999999958</c:v>
                </c:pt>
                <c:pt idx="654">
                  <c:v>20.399999999999959</c:v>
                </c:pt>
                <c:pt idx="655">
                  <c:v>20.499999999999961</c:v>
                </c:pt>
                <c:pt idx="656">
                  <c:v>20.599999999999962</c:v>
                </c:pt>
                <c:pt idx="657">
                  <c:v>20.699999999999964</c:v>
                </c:pt>
                <c:pt idx="658">
                  <c:v>20.799999999999965</c:v>
                </c:pt>
                <c:pt idx="659">
                  <c:v>20.899999999999967</c:v>
                </c:pt>
                <c:pt idx="660">
                  <c:v>20.999999999999968</c:v>
                </c:pt>
                <c:pt idx="661">
                  <c:v>21.099999999999969</c:v>
                </c:pt>
                <c:pt idx="662">
                  <c:v>21.199999999999971</c:v>
                </c:pt>
                <c:pt idx="663">
                  <c:v>21.299999999999972</c:v>
                </c:pt>
                <c:pt idx="664">
                  <c:v>21.399999999999974</c:v>
                </c:pt>
                <c:pt idx="665">
                  <c:v>21.499999999999975</c:v>
                </c:pt>
                <c:pt idx="666">
                  <c:v>21.599999999999977</c:v>
                </c:pt>
                <c:pt idx="667">
                  <c:v>21.699999999999978</c:v>
                </c:pt>
                <c:pt idx="668">
                  <c:v>21.799999999999979</c:v>
                </c:pt>
                <c:pt idx="669">
                  <c:v>21.899999999999981</c:v>
                </c:pt>
                <c:pt idx="670">
                  <c:v>21.999999999999982</c:v>
                </c:pt>
                <c:pt idx="671">
                  <c:v>22.099999999999984</c:v>
                </c:pt>
                <c:pt idx="672">
                  <c:v>22.199999999999985</c:v>
                </c:pt>
                <c:pt idx="673">
                  <c:v>22.299999999999986</c:v>
                </c:pt>
                <c:pt idx="674">
                  <c:v>22.399999999999988</c:v>
                </c:pt>
                <c:pt idx="675">
                  <c:v>22.499999999999989</c:v>
                </c:pt>
                <c:pt idx="676">
                  <c:v>22.599999999999991</c:v>
                </c:pt>
                <c:pt idx="677">
                  <c:v>22.699999999999992</c:v>
                </c:pt>
                <c:pt idx="678">
                  <c:v>22.799999999999994</c:v>
                </c:pt>
                <c:pt idx="679">
                  <c:v>22.899999999999995</c:v>
                </c:pt>
                <c:pt idx="680">
                  <c:v>22.999999999999996</c:v>
                </c:pt>
                <c:pt idx="681">
                  <c:v>23.099999999999998</c:v>
                </c:pt>
                <c:pt idx="682">
                  <c:v>23.2</c:v>
                </c:pt>
                <c:pt idx="683">
                  <c:v>23.3</c:v>
                </c:pt>
                <c:pt idx="684">
                  <c:v>23.400000000000002</c:v>
                </c:pt>
                <c:pt idx="685">
                  <c:v>23.500000000000004</c:v>
                </c:pt>
                <c:pt idx="686">
                  <c:v>23.600000000000005</c:v>
                </c:pt>
                <c:pt idx="687">
                  <c:v>23.700000000000006</c:v>
                </c:pt>
                <c:pt idx="688">
                  <c:v>23.800000000000008</c:v>
                </c:pt>
                <c:pt idx="689">
                  <c:v>23.900000000000009</c:v>
                </c:pt>
                <c:pt idx="690">
                  <c:v>24.000000000000011</c:v>
                </c:pt>
                <c:pt idx="691">
                  <c:v>24.100000000000012</c:v>
                </c:pt>
                <c:pt idx="692">
                  <c:v>24.200000000000014</c:v>
                </c:pt>
                <c:pt idx="693">
                  <c:v>24.300000000000015</c:v>
                </c:pt>
                <c:pt idx="694">
                  <c:v>24.400000000000016</c:v>
                </c:pt>
                <c:pt idx="695">
                  <c:v>24.500000000000018</c:v>
                </c:pt>
                <c:pt idx="696">
                  <c:v>24.600000000000019</c:v>
                </c:pt>
                <c:pt idx="697">
                  <c:v>24.700000000000021</c:v>
                </c:pt>
                <c:pt idx="698">
                  <c:v>24.800000000000022</c:v>
                </c:pt>
                <c:pt idx="699">
                  <c:v>24.900000000000023</c:v>
                </c:pt>
                <c:pt idx="700">
                  <c:v>25.000000000000025</c:v>
                </c:pt>
                <c:pt idx="701">
                  <c:v>25.100000000000026</c:v>
                </c:pt>
                <c:pt idx="702">
                  <c:v>25.200000000000028</c:v>
                </c:pt>
                <c:pt idx="703">
                  <c:v>25.300000000000029</c:v>
                </c:pt>
                <c:pt idx="704">
                  <c:v>25.400000000000031</c:v>
                </c:pt>
                <c:pt idx="705">
                  <c:v>25.500000000000032</c:v>
                </c:pt>
                <c:pt idx="706">
                  <c:v>25.600000000000033</c:v>
                </c:pt>
                <c:pt idx="707">
                  <c:v>25.700000000000035</c:v>
                </c:pt>
                <c:pt idx="708">
                  <c:v>25.800000000000036</c:v>
                </c:pt>
                <c:pt idx="709">
                  <c:v>25.900000000000038</c:v>
                </c:pt>
                <c:pt idx="710">
                  <c:v>26.000000000000039</c:v>
                </c:pt>
                <c:pt idx="711">
                  <c:v>26.100000000000041</c:v>
                </c:pt>
                <c:pt idx="712">
                  <c:v>26.200000000000042</c:v>
                </c:pt>
                <c:pt idx="713">
                  <c:v>26.300000000000043</c:v>
                </c:pt>
                <c:pt idx="714">
                  <c:v>26.400000000000045</c:v>
                </c:pt>
                <c:pt idx="715">
                  <c:v>26.500000000000046</c:v>
                </c:pt>
                <c:pt idx="716">
                  <c:v>26.600000000000048</c:v>
                </c:pt>
                <c:pt idx="717">
                  <c:v>26.700000000000049</c:v>
                </c:pt>
                <c:pt idx="718">
                  <c:v>26.80000000000005</c:v>
                </c:pt>
                <c:pt idx="719">
                  <c:v>26.900000000000052</c:v>
                </c:pt>
                <c:pt idx="720">
                  <c:v>27.000000000000053</c:v>
                </c:pt>
                <c:pt idx="721">
                  <c:v>27.100000000000055</c:v>
                </c:pt>
                <c:pt idx="722">
                  <c:v>27.200000000000056</c:v>
                </c:pt>
                <c:pt idx="723">
                  <c:v>27.300000000000058</c:v>
                </c:pt>
                <c:pt idx="724">
                  <c:v>27.400000000000059</c:v>
                </c:pt>
                <c:pt idx="725">
                  <c:v>27.50000000000006</c:v>
                </c:pt>
                <c:pt idx="726">
                  <c:v>27.600000000000062</c:v>
                </c:pt>
                <c:pt idx="727">
                  <c:v>27.700000000000063</c:v>
                </c:pt>
                <c:pt idx="728">
                  <c:v>27.800000000000065</c:v>
                </c:pt>
                <c:pt idx="729">
                  <c:v>27.900000000000066</c:v>
                </c:pt>
                <c:pt idx="730">
                  <c:v>28.000000000000068</c:v>
                </c:pt>
                <c:pt idx="731">
                  <c:v>28.100000000000069</c:v>
                </c:pt>
                <c:pt idx="732">
                  <c:v>28.20000000000007</c:v>
                </c:pt>
                <c:pt idx="733">
                  <c:v>28.300000000000072</c:v>
                </c:pt>
                <c:pt idx="734">
                  <c:v>28.400000000000073</c:v>
                </c:pt>
                <c:pt idx="735">
                  <c:v>28.500000000000075</c:v>
                </c:pt>
                <c:pt idx="736">
                  <c:v>28.600000000000076</c:v>
                </c:pt>
                <c:pt idx="737">
                  <c:v>28.700000000000077</c:v>
                </c:pt>
                <c:pt idx="738">
                  <c:v>28.800000000000079</c:v>
                </c:pt>
                <c:pt idx="739">
                  <c:v>28.90000000000008</c:v>
                </c:pt>
                <c:pt idx="740">
                  <c:v>29.000000000000082</c:v>
                </c:pt>
                <c:pt idx="741">
                  <c:v>29.100000000000083</c:v>
                </c:pt>
                <c:pt idx="742">
                  <c:v>29.200000000000085</c:v>
                </c:pt>
                <c:pt idx="743">
                  <c:v>29.300000000000086</c:v>
                </c:pt>
                <c:pt idx="744">
                  <c:v>29.400000000000087</c:v>
                </c:pt>
                <c:pt idx="745">
                  <c:v>29.500000000000089</c:v>
                </c:pt>
                <c:pt idx="746">
                  <c:v>29.60000000000009</c:v>
                </c:pt>
                <c:pt idx="747">
                  <c:v>29.700000000000092</c:v>
                </c:pt>
                <c:pt idx="748">
                  <c:v>29.800000000000093</c:v>
                </c:pt>
                <c:pt idx="749">
                  <c:v>29.900000000000095</c:v>
                </c:pt>
                <c:pt idx="750">
                  <c:v>30.000000000000096</c:v>
                </c:pt>
                <c:pt idx="751">
                  <c:v>30.100000000000097</c:v>
                </c:pt>
                <c:pt idx="752">
                  <c:v>30.200000000000099</c:v>
                </c:pt>
                <c:pt idx="753">
                  <c:v>30.3000000000001</c:v>
                </c:pt>
                <c:pt idx="754">
                  <c:v>30.400000000000102</c:v>
                </c:pt>
                <c:pt idx="755">
                  <c:v>30.500000000000103</c:v>
                </c:pt>
                <c:pt idx="756">
                  <c:v>30.600000000000104</c:v>
                </c:pt>
                <c:pt idx="757">
                  <c:v>30.700000000000106</c:v>
                </c:pt>
                <c:pt idx="758">
                  <c:v>30.800000000000107</c:v>
                </c:pt>
                <c:pt idx="759">
                  <c:v>30.900000000000109</c:v>
                </c:pt>
                <c:pt idx="760">
                  <c:v>31.00000000000011</c:v>
                </c:pt>
                <c:pt idx="761">
                  <c:v>31.100000000000112</c:v>
                </c:pt>
                <c:pt idx="762">
                  <c:v>31.200000000000113</c:v>
                </c:pt>
                <c:pt idx="763">
                  <c:v>31.300000000000114</c:v>
                </c:pt>
                <c:pt idx="764">
                  <c:v>31.400000000000116</c:v>
                </c:pt>
                <c:pt idx="765">
                  <c:v>31.500000000000117</c:v>
                </c:pt>
                <c:pt idx="766">
                  <c:v>31.600000000000119</c:v>
                </c:pt>
                <c:pt idx="767">
                  <c:v>31.70000000000012</c:v>
                </c:pt>
                <c:pt idx="768">
                  <c:v>31.800000000000122</c:v>
                </c:pt>
                <c:pt idx="769">
                  <c:v>31.900000000000123</c:v>
                </c:pt>
                <c:pt idx="770">
                  <c:v>32.000000000000121</c:v>
                </c:pt>
                <c:pt idx="771">
                  <c:v>32.100000000000122</c:v>
                </c:pt>
                <c:pt idx="772">
                  <c:v>32.200000000000124</c:v>
                </c:pt>
                <c:pt idx="773">
                  <c:v>32.300000000000125</c:v>
                </c:pt>
                <c:pt idx="774">
                  <c:v>32.400000000000126</c:v>
                </c:pt>
                <c:pt idx="775">
                  <c:v>32.500000000000128</c:v>
                </c:pt>
                <c:pt idx="776">
                  <c:v>32.600000000000129</c:v>
                </c:pt>
                <c:pt idx="777">
                  <c:v>32.700000000000131</c:v>
                </c:pt>
                <c:pt idx="778">
                  <c:v>32.800000000000132</c:v>
                </c:pt>
                <c:pt idx="779">
                  <c:v>32.900000000000134</c:v>
                </c:pt>
                <c:pt idx="780">
                  <c:v>33.000000000000135</c:v>
                </c:pt>
                <c:pt idx="781">
                  <c:v>33.100000000000136</c:v>
                </c:pt>
                <c:pt idx="782">
                  <c:v>33.200000000000138</c:v>
                </c:pt>
                <c:pt idx="783">
                  <c:v>33.300000000000139</c:v>
                </c:pt>
                <c:pt idx="784">
                  <c:v>33.400000000000141</c:v>
                </c:pt>
                <c:pt idx="785">
                  <c:v>33.500000000000142</c:v>
                </c:pt>
                <c:pt idx="786">
                  <c:v>33.600000000000144</c:v>
                </c:pt>
                <c:pt idx="787">
                  <c:v>33.700000000000145</c:v>
                </c:pt>
                <c:pt idx="788">
                  <c:v>33.800000000000146</c:v>
                </c:pt>
                <c:pt idx="789">
                  <c:v>33.900000000000148</c:v>
                </c:pt>
                <c:pt idx="790">
                  <c:v>34.000000000000149</c:v>
                </c:pt>
                <c:pt idx="791">
                  <c:v>34.100000000000151</c:v>
                </c:pt>
                <c:pt idx="792">
                  <c:v>34.200000000000152</c:v>
                </c:pt>
                <c:pt idx="793">
                  <c:v>34.300000000000153</c:v>
                </c:pt>
                <c:pt idx="794">
                  <c:v>34.400000000000155</c:v>
                </c:pt>
                <c:pt idx="795">
                  <c:v>34.500000000000156</c:v>
                </c:pt>
                <c:pt idx="796">
                  <c:v>34.600000000000158</c:v>
                </c:pt>
                <c:pt idx="797">
                  <c:v>34.700000000000159</c:v>
                </c:pt>
                <c:pt idx="798">
                  <c:v>34.800000000000161</c:v>
                </c:pt>
                <c:pt idx="799">
                  <c:v>34.900000000000162</c:v>
                </c:pt>
                <c:pt idx="800">
                  <c:v>35.000000000000163</c:v>
                </c:pt>
                <c:pt idx="801">
                  <c:v>35.100000000000165</c:v>
                </c:pt>
                <c:pt idx="802">
                  <c:v>35.200000000000166</c:v>
                </c:pt>
                <c:pt idx="803">
                  <c:v>35.300000000000168</c:v>
                </c:pt>
                <c:pt idx="804">
                  <c:v>35.400000000000169</c:v>
                </c:pt>
                <c:pt idx="805">
                  <c:v>35.500000000000171</c:v>
                </c:pt>
                <c:pt idx="806">
                  <c:v>35.600000000000172</c:v>
                </c:pt>
                <c:pt idx="807">
                  <c:v>35.700000000000173</c:v>
                </c:pt>
                <c:pt idx="808">
                  <c:v>35.800000000000175</c:v>
                </c:pt>
                <c:pt idx="809">
                  <c:v>35.900000000000176</c:v>
                </c:pt>
                <c:pt idx="810">
                  <c:v>36.000000000000178</c:v>
                </c:pt>
                <c:pt idx="811">
                  <c:v>36.100000000000179</c:v>
                </c:pt>
                <c:pt idx="812">
                  <c:v>36.20000000000018</c:v>
                </c:pt>
                <c:pt idx="813">
                  <c:v>36.300000000000182</c:v>
                </c:pt>
                <c:pt idx="814">
                  <c:v>36.400000000000183</c:v>
                </c:pt>
                <c:pt idx="815">
                  <c:v>36.500000000000185</c:v>
                </c:pt>
                <c:pt idx="816">
                  <c:v>36.600000000000186</c:v>
                </c:pt>
                <c:pt idx="817">
                  <c:v>36.700000000000188</c:v>
                </c:pt>
                <c:pt idx="818">
                  <c:v>36.800000000000189</c:v>
                </c:pt>
                <c:pt idx="819">
                  <c:v>36.90000000000019</c:v>
                </c:pt>
                <c:pt idx="820">
                  <c:v>37.000000000000192</c:v>
                </c:pt>
                <c:pt idx="821">
                  <c:v>37.100000000000193</c:v>
                </c:pt>
                <c:pt idx="822">
                  <c:v>37.200000000000195</c:v>
                </c:pt>
                <c:pt idx="823">
                  <c:v>37.300000000000196</c:v>
                </c:pt>
                <c:pt idx="824">
                  <c:v>37.400000000000198</c:v>
                </c:pt>
                <c:pt idx="825">
                  <c:v>37.500000000000199</c:v>
                </c:pt>
                <c:pt idx="826">
                  <c:v>37.6000000000002</c:v>
                </c:pt>
                <c:pt idx="827">
                  <c:v>37.700000000000202</c:v>
                </c:pt>
                <c:pt idx="828">
                  <c:v>37.800000000000203</c:v>
                </c:pt>
                <c:pt idx="829">
                  <c:v>37.900000000000205</c:v>
                </c:pt>
                <c:pt idx="830">
                  <c:v>38.000000000000206</c:v>
                </c:pt>
                <c:pt idx="831">
                  <c:v>38.100000000000207</c:v>
                </c:pt>
                <c:pt idx="832">
                  <c:v>38.200000000000209</c:v>
                </c:pt>
                <c:pt idx="833">
                  <c:v>38.30000000000021</c:v>
                </c:pt>
                <c:pt idx="834">
                  <c:v>38.400000000000212</c:v>
                </c:pt>
                <c:pt idx="835">
                  <c:v>38.500000000000213</c:v>
                </c:pt>
                <c:pt idx="836">
                  <c:v>38.600000000000215</c:v>
                </c:pt>
                <c:pt idx="837">
                  <c:v>38.700000000000216</c:v>
                </c:pt>
                <c:pt idx="838">
                  <c:v>38.800000000000217</c:v>
                </c:pt>
                <c:pt idx="839">
                  <c:v>38.900000000000219</c:v>
                </c:pt>
                <c:pt idx="840">
                  <c:v>39.00000000000022</c:v>
                </c:pt>
                <c:pt idx="841">
                  <c:v>39.100000000000222</c:v>
                </c:pt>
                <c:pt idx="842">
                  <c:v>39.200000000000223</c:v>
                </c:pt>
                <c:pt idx="843">
                  <c:v>39.300000000000225</c:v>
                </c:pt>
                <c:pt idx="844">
                  <c:v>39.400000000000226</c:v>
                </c:pt>
                <c:pt idx="845">
                  <c:v>39.500000000000227</c:v>
                </c:pt>
                <c:pt idx="846">
                  <c:v>39.600000000000229</c:v>
                </c:pt>
                <c:pt idx="847">
                  <c:v>39.70000000000023</c:v>
                </c:pt>
                <c:pt idx="848">
                  <c:v>39.800000000000232</c:v>
                </c:pt>
                <c:pt idx="849">
                  <c:v>39.900000000000233</c:v>
                </c:pt>
                <c:pt idx="850">
                  <c:v>40.000000000000234</c:v>
                </c:pt>
                <c:pt idx="851">
                  <c:v>40.100000000000236</c:v>
                </c:pt>
                <c:pt idx="852">
                  <c:v>40.200000000000237</c:v>
                </c:pt>
                <c:pt idx="853">
                  <c:v>40.300000000000239</c:v>
                </c:pt>
                <c:pt idx="854">
                  <c:v>40.40000000000024</c:v>
                </c:pt>
                <c:pt idx="855">
                  <c:v>40.500000000000242</c:v>
                </c:pt>
                <c:pt idx="856">
                  <c:v>40.600000000000243</c:v>
                </c:pt>
                <c:pt idx="857">
                  <c:v>40.700000000000244</c:v>
                </c:pt>
                <c:pt idx="858">
                  <c:v>40.800000000000246</c:v>
                </c:pt>
                <c:pt idx="859">
                  <c:v>40.900000000000247</c:v>
                </c:pt>
                <c:pt idx="860">
                  <c:v>41.000000000000249</c:v>
                </c:pt>
                <c:pt idx="861">
                  <c:v>41.10000000000025</c:v>
                </c:pt>
                <c:pt idx="862">
                  <c:v>41.200000000000252</c:v>
                </c:pt>
                <c:pt idx="863">
                  <c:v>41.300000000000253</c:v>
                </c:pt>
                <c:pt idx="864">
                  <c:v>41.400000000000254</c:v>
                </c:pt>
                <c:pt idx="865">
                  <c:v>41.500000000000256</c:v>
                </c:pt>
                <c:pt idx="866">
                  <c:v>41.600000000000257</c:v>
                </c:pt>
                <c:pt idx="867">
                  <c:v>41.700000000000259</c:v>
                </c:pt>
                <c:pt idx="868">
                  <c:v>41.80000000000026</c:v>
                </c:pt>
                <c:pt idx="869">
                  <c:v>41.900000000000261</c:v>
                </c:pt>
                <c:pt idx="870">
                  <c:v>42.000000000000263</c:v>
                </c:pt>
                <c:pt idx="871">
                  <c:v>42.100000000000264</c:v>
                </c:pt>
                <c:pt idx="872">
                  <c:v>42.200000000000266</c:v>
                </c:pt>
                <c:pt idx="873">
                  <c:v>42.300000000000267</c:v>
                </c:pt>
                <c:pt idx="874">
                  <c:v>42.400000000000269</c:v>
                </c:pt>
                <c:pt idx="875">
                  <c:v>42.50000000000027</c:v>
                </c:pt>
                <c:pt idx="876">
                  <c:v>42.600000000000271</c:v>
                </c:pt>
                <c:pt idx="877">
                  <c:v>42.700000000000273</c:v>
                </c:pt>
                <c:pt idx="878">
                  <c:v>42.800000000000274</c:v>
                </c:pt>
                <c:pt idx="879">
                  <c:v>42.900000000000276</c:v>
                </c:pt>
                <c:pt idx="880">
                  <c:v>43.000000000000277</c:v>
                </c:pt>
                <c:pt idx="881">
                  <c:v>43.100000000000279</c:v>
                </c:pt>
                <c:pt idx="882">
                  <c:v>43.20000000000028</c:v>
                </c:pt>
                <c:pt idx="883">
                  <c:v>43.300000000000281</c:v>
                </c:pt>
                <c:pt idx="884">
                  <c:v>43.400000000000283</c:v>
                </c:pt>
                <c:pt idx="885">
                  <c:v>43.500000000000284</c:v>
                </c:pt>
                <c:pt idx="886">
                  <c:v>43.600000000000286</c:v>
                </c:pt>
                <c:pt idx="887">
                  <c:v>43.700000000000287</c:v>
                </c:pt>
                <c:pt idx="888">
                  <c:v>43.800000000000288</c:v>
                </c:pt>
                <c:pt idx="889">
                  <c:v>43.90000000000029</c:v>
                </c:pt>
                <c:pt idx="890">
                  <c:v>44.000000000000291</c:v>
                </c:pt>
                <c:pt idx="891">
                  <c:v>44.100000000000293</c:v>
                </c:pt>
                <c:pt idx="892">
                  <c:v>44.200000000000294</c:v>
                </c:pt>
                <c:pt idx="893">
                  <c:v>44.300000000000296</c:v>
                </c:pt>
                <c:pt idx="894">
                  <c:v>44.400000000000297</c:v>
                </c:pt>
                <c:pt idx="895">
                  <c:v>44.500000000000298</c:v>
                </c:pt>
                <c:pt idx="896">
                  <c:v>44.6000000000003</c:v>
                </c:pt>
                <c:pt idx="897">
                  <c:v>44.700000000000301</c:v>
                </c:pt>
                <c:pt idx="898">
                  <c:v>44.800000000000303</c:v>
                </c:pt>
                <c:pt idx="899">
                  <c:v>44.900000000000304</c:v>
                </c:pt>
                <c:pt idx="900">
                  <c:v>45.000000000000306</c:v>
                </c:pt>
                <c:pt idx="901">
                  <c:v>45.100000000000307</c:v>
                </c:pt>
                <c:pt idx="902">
                  <c:v>45.200000000000308</c:v>
                </c:pt>
                <c:pt idx="903">
                  <c:v>45.30000000000031</c:v>
                </c:pt>
                <c:pt idx="904">
                  <c:v>45.400000000000311</c:v>
                </c:pt>
                <c:pt idx="905">
                  <c:v>45.500000000000313</c:v>
                </c:pt>
                <c:pt idx="906">
                  <c:v>45.600000000000314</c:v>
                </c:pt>
                <c:pt idx="907">
                  <c:v>45.700000000000315</c:v>
                </c:pt>
                <c:pt idx="908">
                  <c:v>45.800000000000317</c:v>
                </c:pt>
                <c:pt idx="909">
                  <c:v>45.900000000000318</c:v>
                </c:pt>
                <c:pt idx="910">
                  <c:v>46.00000000000032</c:v>
                </c:pt>
                <c:pt idx="911">
                  <c:v>46.100000000000321</c:v>
                </c:pt>
                <c:pt idx="912">
                  <c:v>46.200000000000323</c:v>
                </c:pt>
                <c:pt idx="913">
                  <c:v>46.300000000000324</c:v>
                </c:pt>
                <c:pt idx="914">
                  <c:v>46.400000000000325</c:v>
                </c:pt>
                <c:pt idx="915">
                  <c:v>46.500000000000327</c:v>
                </c:pt>
                <c:pt idx="916">
                  <c:v>46.600000000000328</c:v>
                </c:pt>
                <c:pt idx="917">
                  <c:v>46.70000000000033</c:v>
                </c:pt>
                <c:pt idx="918">
                  <c:v>46.800000000000331</c:v>
                </c:pt>
                <c:pt idx="919">
                  <c:v>46.900000000000333</c:v>
                </c:pt>
                <c:pt idx="920">
                  <c:v>47.000000000000334</c:v>
                </c:pt>
                <c:pt idx="921">
                  <c:v>47.100000000000335</c:v>
                </c:pt>
                <c:pt idx="922">
                  <c:v>47.200000000000337</c:v>
                </c:pt>
                <c:pt idx="923">
                  <c:v>47.300000000000338</c:v>
                </c:pt>
                <c:pt idx="924">
                  <c:v>47.40000000000034</c:v>
                </c:pt>
                <c:pt idx="925">
                  <c:v>47.500000000000341</c:v>
                </c:pt>
                <c:pt idx="926">
                  <c:v>47.600000000000342</c:v>
                </c:pt>
                <c:pt idx="927">
                  <c:v>47.700000000000344</c:v>
                </c:pt>
                <c:pt idx="928">
                  <c:v>47.800000000000345</c:v>
                </c:pt>
                <c:pt idx="929">
                  <c:v>47.900000000000347</c:v>
                </c:pt>
                <c:pt idx="930">
                  <c:v>48.000000000000348</c:v>
                </c:pt>
                <c:pt idx="931">
                  <c:v>48.10000000000035</c:v>
                </c:pt>
                <c:pt idx="932">
                  <c:v>48.200000000000351</c:v>
                </c:pt>
                <c:pt idx="933">
                  <c:v>48.300000000000352</c:v>
                </c:pt>
                <c:pt idx="934">
                  <c:v>48.400000000000354</c:v>
                </c:pt>
                <c:pt idx="935">
                  <c:v>48.500000000000355</c:v>
                </c:pt>
                <c:pt idx="936">
                  <c:v>48.600000000000357</c:v>
                </c:pt>
                <c:pt idx="937">
                  <c:v>48.700000000000358</c:v>
                </c:pt>
                <c:pt idx="938">
                  <c:v>48.80000000000036</c:v>
                </c:pt>
                <c:pt idx="939">
                  <c:v>48.900000000000361</c:v>
                </c:pt>
                <c:pt idx="940">
                  <c:v>49.000000000000362</c:v>
                </c:pt>
                <c:pt idx="941">
                  <c:v>49.100000000000364</c:v>
                </c:pt>
                <c:pt idx="942">
                  <c:v>49.200000000000365</c:v>
                </c:pt>
                <c:pt idx="943">
                  <c:v>49.300000000000367</c:v>
                </c:pt>
                <c:pt idx="944">
                  <c:v>49.30010000000037</c:v>
                </c:pt>
                <c:pt idx="945">
                  <c:v>49.300200000000373</c:v>
                </c:pt>
                <c:pt idx="946">
                  <c:v>49.300300000000377</c:v>
                </c:pt>
                <c:pt idx="947">
                  <c:v>49.30040000000038</c:v>
                </c:pt>
                <c:pt idx="948">
                  <c:v>49.300500000000383</c:v>
                </c:pt>
                <c:pt idx="949">
                  <c:v>49.300600000000387</c:v>
                </c:pt>
                <c:pt idx="950">
                  <c:v>49.30070000000039</c:v>
                </c:pt>
                <c:pt idx="951">
                  <c:v>49.300800000000393</c:v>
                </c:pt>
                <c:pt idx="952">
                  <c:v>49.300900000000397</c:v>
                </c:pt>
                <c:pt idx="953">
                  <c:v>49.3010000000004</c:v>
                </c:pt>
                <c:pt idx="954">
                  <c:v>49.301100000000403</c:v>
                </c:pt>
                <c:pt idx="955">
                  <c:v>49.301200000000406</c:v>
                </c:pt>
                <c:pt idx="956">
                  <c:v>49.30130000000041</c:v>
                </c:pt>
                <c:pt idx="957">
                  <c:v>49.301400000000413</c:v>
                </c:pt>
                <c:pt idx="958">
                  <c:v>49.301500000000416</c:v>
                </c:pt>
                <c:pt idx="959">
                  <c:v>49.30160000000042</c:v>
                </c:pt>
                <c:pt idx="960">
                  <c:v>49.301700000000423</c:v>
                </c:pt>
                <c:pt idx="961">
                  <c:v>49.301800000000426</c:v>
                </c:pt>
                <c:pt idx="962">
                  <c:v>49.30190000000043</c:v>
                </c:pt>
                <c:pt idx="963">
                  <c:v>49.302000000000433</c:v>
                </c:pt>
                <c:pt idx="964">
                  <c:v>49.302100000000436</c:v>
                </c:pt>
                <c:pt idx="965">
                  <c:v>49.30220000000044</c:v>
                </c:pt>
                <c:pt idx="966">
                  <c:v>49.302300000000443</c:v>
                </c:pt>
                <c:pt idx="967">
                  <c:v>49.302400000000446</c:v>
                </c:pt>
                <c:pt idx="968">
                  <c:v>49.30250000000045</c:v>
                </c:pt>
                <c:pt idx="969">
                  <c:v>49.302600000000453</c:v>
                </c:pt>
                <c:pt idx="970">
                  <c:v>49.302700000000456</c:v>
                </c:pt>
                <c:pt idx="971">
                  <c:v>49.30280000000046</c:v>
                </c:pt>
                <c:pt idx="972">
                  <c:v>49.302900000000463</c:v>
                </c:pt>
                <c:pt idx="973">
                  <c:v>49.303000000000466</c:v>
                </c:pt>
                <c:pt idx="974">
                  <c:v>49.30310000000047</c:v>
                </c:pt>
                <c:pt idx="975">
                  <c:v>49.303200000000473</c:v>
                </c:pt>
                <c:pt idx="976">
                  <c:v>49.303300000000476</c:v>
                </c:pt>
                <c:pt idx="977">
                  <c:v>49.30340000000048</c:v>
                </c:pt>
                <c:pt idx="978">
                  <c:v>49.303500000000483</c:v>
                </c:pt>
                <c:pt idx="979">
                  <c:v>49.303600000000486</c:v>
                </c:pt>
                <c:pt idx="980">
                  <c:v>49.303700000000489</c:v>
                </c:pt>
                <c:pt idx="981">
                  <c:v>49.303800000000493</c:v>
                </c:pt>
                <c:pt idx="982">
                  <c:v>49.303900000000496</c:v>
                </c:pt>
                <c:pt idx="983">
                  <c:v>49.304000000000499</c:v>
                </c:pt>
                <c:pt idx="984">
                  <c:v>49.304100000000503</c:v>
                </c:pt>
                <c:pt idx="985">
                  <c:v>49.304200000000506</c:v>
                </c:pt>
                <c:pt idx="986">
                  <c:v>49.304300000000509</c:v>
                </c:pt>
                <c:pt idx="987">
                  <c:v>49.304400000000513</c:v>
                </c:pt>
                <c:pt idx="988">
                  <c:v>49.304500000000516</c:v>
                </c:pt>
                <c:pt idx="989">
                  <c:v>49.304600000000519</c:v>
                </c:pt>
                <c:pt idx="990">
                  <c:v>49.304700000000523</c:v>
                </c:pt>
                <c:pt idx="991">
                  <c:v>49.304800000000526</c:v>
                </c:pt>
                <c:pt idx="992">
                  <c:v>49.304900000000529</c:v>
                </c:pt>
                <c:pt idx="993">
                  <c:v>49.305000000000533</c:v>
                </c:pt>
                <c:pt idx="994">
                  <c:v>49.305100000000536</c:v>
                </c:pt>
                <c:pt idx="995">
                  <c:v>49.305200000000539</c:v>
                </c:pt>
                <c:pt idx="996">
                  <c:v>49.305300000000543</c:v>
                </c:pt>
                <c:pt idx="997">
                  <c:v>49.305400000000546</c:v>
                </c:pt>
                <c:pt idx="998">
                  <c:v>49.305500000000549</c:v>
                </c:pt>
                <c:pt idx="999">
                  <c:v>49.305600000000553</c:v>
                </c:pt>
                <c:pt idx="1000">
                  <c:v>49.305700000000556</c:v>
                </c:pt>
              </c:numCache>
            </c:numRef>
          </c:xVal>
          <c:yVal>
            <c:numRef>
              <c:f>Calculs!$J$4:$J$1004</c:f>
              <c:numCache>
                <c:formatCode>0.00</c:formatCode>
                <c:ptCount val="1001"/>
                <c:pt idx="0">
                  <c:v>0</c:v>
                </c:pt>
                <c:pt idx="1">
                  <c:v>7.8068751954264885E-5</c:v>
                </c:pt>
                <c:pt idx="2">
                  <c:v>4.9095286477249906E-4</c:v>
                </c:pt>
                <c:pt idx="3">
                  <c:v>1.491499651660652E-3</c:v>
                </c:pt>
                <c:pt idx="4">
                  <c:v>3.2281038197528025E-3</c:v>
                </c:pt>
                <c:pt idx="5">
                  <c:v>5.8492808278684336E-3</c:v>
                </c:pt>
                <c:pt idx="6">
                  <c:v>9.5036851467721461E-3</c:v>
                </c:pt>
                <c:pt idx="7">
                  <c:v>1.4340128393698361E-2</c:v>
                </c:pt>
                <c:pt idx="8">
                  <c:v>2.0507597347900114E-2</c:v>
                </c:pt>
                <c:pt idx="9">
                  <c:v>2.8155271853811829E-2</c:v>
                </c:pt>
                <c:pt idx="10">
                  <c:v>3.7432542618253434E-2</c:v>
                </c:pt>
                <c:pt idx="11">
                  <c:v>4.8446342531492076E-2</c:v>
                </c:pt>
                <c:pt idx="12">
                  <c:v>6.1218376256263245E-2</c:v>
                </c:pt>
                <c:pt idx="13">
                  <c:v>7.5727341292476033E-2</c:v>
                </c:pt>
                <c:pt idx="14">
                  <c:v>9.1951241537507958E-2</c:v>
                </c:pt>
                <c:pt idx="15">
                  <c:v>0.10986771199158872</c:v>
                </c:pt>
                <c:pt idx="16">
                  <c:v>0.12945434417839446</c:v>
                </c:pt>
                <c:pt idx="17">
                  <c:v>0.15068868684830125</c:v>
                </c:pt>
                <c:pt idx="18">
                  <c:v>0.17354824668143701</c:v>
                </c:pt>
                <c:pt idx="19">
                  <c:v>0.19801048899043697</c:v>
                </c:pt>
                <c:pt idx="20">
                  <c:v>0.22405283842280838</c:v>
                </c:pt>
                <c:pt idx="21">
                  <c:v>0.25165267966281074</c:v>
                </c:pt>
                <c:pt idx="22">
                  <c:v>0.28078735813275829</c:v>
                </c:pt>
                <c:pt idx="23">
                  <c:v>0.3114341806936517</c:v>
                </c:pt>
                <c:pt idx="24">
                  <c:v>0.34357041634504742</c:v>
                </c:pt>
                <c:pt idx="25">
                  <c:v>0.37717329692407253</c:v>
                </c:pt>
                <c:pt idx="26">
                  <c:v>0.41222001780349443</c:v>
                </c:pt>
                <c:pt idx="27">
                  <c:v>0.4486934755336166</c:v>
                </c:pt>
                <c:pt idx="28">
                  <c:v>0.48658801524163342</c:v>
                </c:pt>
                <c:pt idx="29">
                  <c:v>0.52590370847629642</c:v>
                </c:pt>
                <c:pt idx="30">
                  <c:v>0.56664062094254497</c:v>
                </c:pt>
                <c:pt idx="31">
                  <c:v>0.60879881249398415</c:v>
                </c:pt>
                <c:pt idx="32">
                  <c:v>0.65237833712547566</c:v>
                </c:pt>
                <c:pt idx="33">
                  <c:v>0.69737924296584208</c:v>
                </c:pt>
                <c:pt idx="34">
                  <c:v>0.74388549123856906</c:v>
                </c:pt>
                <c:pt idx="35">
                  <c:v>0.79198382357487807</c:v>
                </c:pt>
                <c:pt idx="36">
                  <c:v>0.84167981149815985</c:v>
                </c:pt>
                <c:pt idx="37">
                  <c:v>0.89297891976032984</c:v>
                </c:pt>
                <c:pt idx="38">
                  <c:v>0.94588647212092636</c:v>
                </c:pt>
                <c:pt idx="39">
                  <c:v>1.0004076582255235</c:v>
                </c:pt>
                <c:pt idx="40">
                  <c:v>1.0565475399556052</c:v>
                </c:pt>
                <c:pt idx="41">
                  <c:v>1.1143110573030335</c:v>
                </c:pt>
                <c:pt idx="42">
                  <c:v>1.1737030338156953</c:v>
                </c:pt>
                <c:pt idx="43">
                  <c:v>1.2347281816553242</c:v>
                </c:pt>
                <c:pt idx="44">
                  <c:v>1.2973911063036803</c:v>
                </c:pt>
                <c:pt idx="45">
                  <c:v>1.3616963109491329</c:v>
                </c:pt>
                <c:pt idx="46">
                  <c:v>1.4276482005821052</c:v>
                </c:pt>
                <c:pt idx="47">
                  <c:v>1.4952510858247257</c:v>
                </c:pt>
                <c:pt idx="48">
                  <c:v>1.5645091865173242</c:v>
                </c:pt>
                <c:pt idx="49">
                  <c:v>1.6354266350820348</c:v>
                </c:pt>
                <c:pt idx="50">
                  <c:v>1.708007479681698</c:v>
                </c:pt>
                <c:pt idx="51">
                  <c:v>1.7822556871904225</c:v>
                </c:pt>
                <c:pt idx="52">
                  <c:v>1.8581751459905624</c:v>
                </c:pt>
                <c:pt idx="53">
                  <c:v>1.935769668609439</c:v>
                </c:pt>
                <c:pt idx="54">
                  <c:v>2.0150429942078798</c:v>
                </c:pt>
                <c:pt idx="55">
                  <c:v>2.0959987909315236</c:v>
                </c:pt>
                <c:pt idx="56">
                  <c:v>2.178640658134849</c:v>
                </c:pt>
                <c:pt idx="57">
                  <c:v>2.2629721284869864</c:v>
                </c:pt>
                <c:pt idx="58">
                  <c:v>2.3489966699675864</c:v>
                </c:pt>
                <c:pt idx="59">
                  <c:v>2.4367176877602996</c:v>
                </c:pt>
                <c:pt idx="60">
                  <c:v>2.526138526050782</c:v>
                </c:pt>
                <c:pt idx="61">
                  <c:v>2.6172624697355684</c:v>
                </c:pt>
                <c:pt idx="62">
                  <c:v>2.710092746047633</c:v>
                </c:pt>
                <c:pt idx="63">
                  <c:v>2.8046325261039899</c:v>
                </c:pt>
                <c:pt idx="64">
                  <c:v>2.9008849263802619</c:v>
                </c:pt>
                <c:pt idx="65">
                  <c:v>2.9988530101167599</c:v>
                </c:pt>
                <c:pt idx="66">
                  <c:v>3.0985397886602688</c:v>
                </c:pt>
                <c:pt idx="67">
                  <c:v>3.1999482227454195</c:v>
                </c:pt>
                <c:pt idx="68">
                  <c:v>3.3030812237192322</c:v>
                </c:pt>
                <c:pt idx="69">
                  <c:v>3.4079416547121633</c:v>
                </c:pt>
                <c:pt idx="70">
                  <c:v>3.514532331758736</c:v>
                </c:pt>
                <c:pt idx="71">
                  <c:v>3.6228560248706261</c:v>
                </c:pt>
                <c:pt idx="72">
                  <c:v>3.7329153871638754</c:v>
                </c:pt>
                <c:pt idx="73">
                  <c:v>3.8447128834770434</c:v>
                </c:pt>
                <c:pt idx="74">
                  <c:v>3.9582508625983306</c:v>
                </c:pt>
                <c:pt idx="75">
                  <c:v>4.073531629934152</c:v>
                </c:pt>
                <c:pt idx="76">
                  <c:v>4.1905574484059347</c:v>
                </c:pt>
                <c:pt idx="77">
                  <c:v>4.3093305393119046</c:v>
                </c:pt>
                <c:pt idx="78">
                  <c:v>4.4298530831556828</c:v>
                </c:pt>
                <c:pt idx="79">
                  <c:v>4.5521272204433982</c:v>
                </c:pt>
                <c:pt idx="80">
                  <c:v>4.6761550524509081</c:v>
                </c:pt>
                <c:pt idx="81">
                  <c:v>4.8019386419626269</c:v>
                </c:pt>
                <c:pt idx="82">
                  <c:v>4.9294800139833637</c:v>
                </c:pt>
                <c:pt idx="83">
                  <c:v>5.05878115642449</c:v>
                </c:pt>
                <c:pt idx="84">
                  <c:v>5.1898440207656753</c:v>
                </c:pt>
                <c:pt idx="85">
                  <c:v>5.3226705226933548</c:v>
                </c:pt>
                <c:pt idx="86">
                  <c:v>5.4572625427170278</c:v>
                </c:pt>
                <c:pt idx="87">
                  <c:v>5.5936219267644214</c:v>
                </c:pt>
                <c:pt idx="88">
                  <c:v>5.7317504867564901</c:v>
                </c:pt>
                <c:pt idx="89">
                  <c:v>5.8716500011631743</c:v>
                </c:pt>
                <c:pt idx="90">
                  <c:v>6.0133222155407804</c:v>
                </c:pt>
                <c:pt idx="91">
                  <c:v>6.1567688430518057</c:v>
                </c:pt>
                <c:pt idx="92">
                  <c:v>6.3019915649679819</c:v>
                </c:pt>
                <c:pt idx="93">
                  <c:v>6.4489920311572675</c:v>
                </c:pt>
                <c:pt idx="94">
                  <c:v>6.5977718605554845</c:v>
                </c:pt>
                <c:pt idx="95">
                  <c:v>6.7483326416232554</c:v>
                </c:pt>
                <c:pt idx="96">
                  <c:v>6.9006759327888618</c:v>
                </c:pt>
                <c:pt idx="97">
                  <c:v>7.0548032628776145</c:v>
                </c:pt>
                <c:pt idx="98">
                  <c:v>7.2107161315282955</c:v>
                </c:pt>
                <c:pt idx="99">
                  <c:v>7.3684160095972047</c:v>
                </c:pt>
                <c:pt idx="100">
                  <c:v>7.5279043395503074</c:v>
                </c:pt>
                <c:pt idx="101">
                  <c:v>7.6891825358439734</c:v>
                </c:pt>
                <c:pt idx="102">
                  <c:v>7.8522519852947568</c:v>
                </c:pt>
                <c:pt idx="103">
                  <c:v>8.017114047438648</c:v>
                </c:pt>
                <c:pt idx="104">
                  <c:v>8.1837700548802133</c:v>
                </c:pt>
                <c:pt idx="105">
                  <c:v>8.3522213136320183</c:v>
                </c:pt>
                <c:pt idx="106">
                  <c:v>8.5224691034447044</c:v>
                </c:pt>
                <c:pt idx="107">
                  <c:v>8.6945146781280709</c:v>
                </c:pt>
                <c:pt idx="108">
                  <c:v>8.8683592658635124</c:v>
                </c:pt>
                <c:pt idx="109">
                  <c:v>9.0440040695081336</c:v>
                </c:pt>
                <c:pt idx="110">
                  <c:v>9.2214502668908409</c:v>
                </c:pt>
                <c:pt idx="111">
                  <c:v>9.4006990111007216</c:v>
                </c:pt>
                <c:pt idx="112">
                  <c:v>9.5817514307679783</c:v>
                </c:pt>
                <c:pt idx="113">
                  <c:v>9.7646086303376993</c:v>
                </c:pt>
                <c:pt idx="114">
                  <c:v>9.9492716903367224</c:v>
                </c:pt>
                <c:pt idx="115">
                  <c:v>10.135741667633825</c:v>
                </c:pt>
                <c:pt idx="116">
                  <c:v>10.324019595693493</c:v>
                </c:pt>
                <c:pt idx="117">
                  <c:v>10.514106484823488</c:v>
                </c:pt>
                <c:pt idx="118">
                  <c:v>10.706003322416429</c:v>
                </c:pt>
                <c:pt idx="119">
                  <c:v>10.899711073185587</c:v>
                </c:pt>
                <c:pt idx="120">
                  <c:v>11.095230679395115</c:v>
                </c:pt>
                <c:pt idx="121">
                  <c:v>11.292563061084872</c:v>
                </c:pt>
                <c:pt idx="122">
                  <c:v>11.49170911629005</c:v>
                </c:pt>
                <c:pt idx="123">
                  <c:v>11.692669721255763</c:v>
                </c:pt>
                <c:pt idx="124">
                  <c:v>11.895445730646776</c:v>
                </c:pt>
                <c:pt idx="125">
                  <c:v>12.100037977752521</c:v>
                </c:pt>
                <c:pt idx="126">
                  <c:v>12.306447274687578</c:v>
                </c:pt>
                <c:pt idx="127">
                  <c:v>12.514674412587741</c:v>
                </c:pt>
                <c:pt idx="128">
                  <c:v>12.724720161801841</c:v>
                </c:pt>
                <c:pt idx="129">
                  <c:v>12.936584915926213</c:v>
                </c:pt>
                <c:pt idx="130">
                  <c:v>13.150268334391523</c:v>
                </c:pt>
                <c:pt idx="131">
                  <c:v>13.365769696911332</c:v>
                </c:pt>
                <c:pt idx="132">
                  <c:v>13.583088259396911</c:v>
                </c:pt>
                <c:pt idx="133">
                  <c:v>13.802223254181962</c:v>
                </c:pt>
                <c:pt idx="134">
                  <c:v>14.02317389024299</c:v>
                </c:pt>
                <c:pt idx="135">
                  <c:v>14.245939353415459</c:v>
                </c:pt>
                <c:pt idx="136">
                  <c:v>14.470518806605869</c:v>
                </c:pt>
                <c:pt idx="137">
                  <c:v>14.696911389999887</c:v>
                </c:pt>
                <c:pt idx="138">
                  <c:v>14.92511622126665</c:v>
                </c:pt>
                <c:pt idx="139">
                  <c:v>15.15513239575936</c:v>
                </c:pt>
                <c:pt idx="140">
                  <c:v>15.386958986712287</c:v>
                </c:pt>
                <c:pt idx="141">
                  <c:v>15.620595045434301</c:v>
                </c:pt>
                <c:pt idx="142">
                  <c:v>15.856039601499019</c:v>
                </c:pt>
                <c:pt idx="143">
                  <c:v>16.09329166293168</c:v>
                </c:pt>
                <c:pt idx="144">
                  <c:v>16.332350216392864</c:v>
                </c:pt>
                <c:pt idx="145">
                  <c:v>16.573214227359109</c:v>
                </c:pt>
                <c:pt idx="146">
                  <c:v>16.815882640300561</c:v>
                </c:pt>
                <c:pt idx="147">
                  <c:v>17.060354378855717</c:v>
                </c:pt>
                <c:pt idx="148">
                  <c:v>17.306628346003361</c:v>
                </c:pt>
                <c:pt idx="149">
                  <c:v>17.554703424231771</c:v>
                </c:pt>
                <c:pt idx="150">
                  <c:v>17.804578475705274</c:v>
                </c:pt>
                <c:pt idx="151">
                  <c:v>18.056252342428216</c:v>
                </c:pt>
                <c:pt idx="152">
                  <c:v>18.309723846406456</c:v>
                </c:pt>
                <c:pt idx="153">
                  <c:v>18.564991789806406</c:v>
                </c:pt>
                <c:pt idx="154">
                  <c:v>18.822054955111732</c:v>
                </c:pt>
                <c:pt idx="155">
                  <c:v>19.080912105277747</c:v>
                </c:pt>
                <c:pt idx="156">
                  <c:v>19.341561983883583</c:v>
                </c:pt>
                <c:pt idx="157">
                  <c:v>19.604003315282192</c:v>
                </c:pt>
                <c:pt idx="158">
                  <c:v>19.868234804748241</c:v>
                </c:pt>
                <c:pt idx="159">
                  <c:v>20.134255138623963</c:v>
                </c:pt>
                <c:pt idx="160">
                  <c:v>20.402062984463008</c:v>
                </c:pt>
                <c:pt idx="161">
                  <c:v>20.671656991172348</c:v>
                </c:pt>
                <c:pt idx="162">
                  <c:v>20.943035789152326</c:v>
                </c:pt>
                <c:pt idx="163">
                  <c:v>21.216197990434825</c:v>
                </c:pt>
                <c:pt idx="164">
                  <c:v>21.491142188819694</c:v>
                </c:pt>
                <c:pt idx="165">
                  <c:v>21.767866960009396</c:v>
                </c:pt>
                <c:pt idx="166">
                  <c:v>22.046370861741995</c:v>
                </c:pt>
                <c:pt idx="167">
                  <c:v>22.326652433922472</c:v>
                </c:pt>
                <c:pt idx="168">
                  <c:v>22.608710198752444</c:v>
                </c:pt>
                <c:pt idx="169">
                  <c:v>22.892542660858318</c:v>
                </c:pt>
                <c:pt idx="170">
                  <c:v>23.178148307417917</c:v>
                </c:pt>
                <c:pt idx="171">
                  <c:v>23.465525608285631</c:v>
                </c:pt>
                <c:pt idx="172">
                  <c:v>23.754673016116104</c:v>
                </c:pt>
                <c:pt idx="173">
                  <c:v>24.045588966486527</c:v>
                </c:pt>
                <c:pt idx="174">
                  <c:v>24.338271878017547</c:v>
                </c:pt>
                <c:pt idx="175">
                  <c:v>24.632720152492837</c:v>
                </c:pt>
                <c:pt idx="176">
                  <c:v>24.928932174977362</c:v>
                </c:pt>
                <c:pt idx="177">
                  <c:v>25.226906313934361</c:v>
                </c:pt>
                <c:pt idx="178">
                  <c:v>25.526640921341095</c:v>
                </c:pt>
                <c:pt idx="179">
                  <c:v>25.828134332803376</c:v>
                </c:pt>
                <c:pt idx="180">
                  <c:v>26.131384867668917</c:v>
                </c:pt>
                <c:pt idx="181">
                  <c:v>26.436390829139519</c:v>
                </c:pt>
                <c:pt idx="182">
                  <c:v>26.743150504382143</c:v>
                </c:pt>
                <c:pt idx="183">
                  <c:v>27.051662164638863</c:v>
                </c:pt>
                <c:pt idx="184">
                  <c:v>27.36192406533576</c:v>
                </c:pt>
                <c:pt idx="185">
                  <c:v>27.673934446190763</c:v>
                </c:pt>
                <c:pt idx="186">
                  <c:v>27.987691531320461</c:v>
                </c:pt>
                <c:pt idx="187">
                  <c:v>28.303193529345918</c:v>
                </c:pt>
                <c:pt idx="188">
                  <c:v>28.620438633497503</c:v>
                </c:pt>
                <c:pt idx="189">
                  <c:v>28.939425021718783</c:v>
                </c:pt>
                <c:pt idx="190">
                  <c:v>29.260150856769457</c:v>
                </c:pt>
                <c:pt idx="191">
                  <c:v>29.582614286327395</c:v>
                </c:pt>
                <c:pt idx="192">
                  <c:v>29.906813443089781</c:v>
                </c:pt>
                <c:pt idx="193">
                  <c:v>30.232746444873388</c:v>
                </c:pt>
                <c:pt idx="194">
                  <c:v>30.560411394713984</c:v>
                </c:pt>
                <c:pt idx="195">
                  <c:v>30.889806380964927</c:v>
                </c:pt>
                <c:pt idx="196">
                  <c:v>31.220929477394929</c:v>
                </c:pt>
                <c:pt idx="197">
                  <c:v>31.553778743285026</c:v>
                </c:pt>
                <c:pt idx="198">
                  <c:v>31.888352223524773</c:v>
                </c:pt>
                <c:pt idx="199">
                  <c:v>32.224647948707663</c:v>
                </c:pt>
                <c:pt idx="200">
                  <c:v>32.562663935225821</c:v>
                </c:pt>
                <c:pt idx="201">
                  <c:v>32.902398185363936</c:v>
                </c:pt>
                <c:pt idx="202">
                  <c:v>33.243848687392486</c:v>
                </c:pt>
                <c:pt idx="203">
                  <c:v>33.587013415660302</c:v>
                </c:pt>
                <c:pt idx="204">
                  <c:v>33.931890330686372</c:v>
                </c:pt>
                <c:pt idx="205">
                  <c:v>34.278477379251036</c:v>
                </c:pt>
                <c:pt idx="206">
                  <c:v>34.626772402334907</c:v>
                </c:pt>
                <c:pt idx="207">
                  <c:v>34.976773042816212</c:v>
                </c:pt>
                <c:pt idx="208">
                  <c:v>35.328476837420901</c:v>
                </c:pt>
                <c:pt idx="209">
                  <c:v>35.68188130891734</c:v>
                </c:pt>
                <c:pt idx="210">
                  <c:v>36.036983966212759</c:v>
                </c:pt>
                <c:pt idx="211">
                  <c:v>36.393782304449019</c:v>
                </c:pt>
                <c:pt idx="212">
                  <c:v>36.752273805097779</c:v>
                </c:pt>
                <c:pt idx="213">
                  <c:v>37.112455936054978</c:v>
                </c:pt>
                <c:pt idx="214">
                  <c:v>37.474326151734743</c:v>
                </c:pt>
                <c:pt idx="215">
                  <c:v>37.837881893162667</c:v>
                </c:pt>
                <c:pt idx="216">
                  <c:v>38.203120588068472</c:v>
                </c:pt>
                <c:pt idx="217">
                  <c:v>38.570039650978124</c:v>
                </c:pt>
                <c:pt idx="218">
                  <c:v>38.938636483305331</c:v>
                </c:pt>
                <c:pt idx="219">
                  <c:v>39.308908473442507</c:v>
                </c:pt>
                <c:pt idx="220">
                  <c:v>39.680852996851158</c:v>
                </c:pt>
                <c:pt idx="221">
                  <c:v>40.054467416151738</c:v>
                </c:pt>
                <c:pt idx="222">
                  <c:v>40.42974908121294</c:v>
                </c:pt>
                <c:pt idx="223">
                  <c:v>40.806695329240505</c:v>
                </c:pt>
                <c:pt idx="224">
                  <c:v>41.185303484865464</c:v>
                </c:pt>
                <c:pt idx="225">
                  <c:v>41.565570860231894</c:v>
                </c:pt>
                <c:pt idx="226">
                  <c:v>41.947494755084165</c:v>
                </c:pt>
                <c:pt idx="227">
                  <c:v>42.331072456853711</c:v>
                </c:pt>
                <c:pt idx="228">
                  <c:v>42.716301240745288</c:v>
                </c:pt>
                <c:pt idx="229">
                  <c:v>43.103178369822757</c:v>
                </c:pt>
                <c:pt idx="230">
                  <c:v>43.491701095094427</c:v>
                </c:pt>
                <c:pt idx="231">
                  <c:v>43.881866655597889</c:v>
                </c:pt>
                <c:pt idx="232">
                  <c:v>44.273672278484433</c:v>
                </c:pt>
                <c:pt idx="233">
                  <c:v>44.667115179102993</c:v>
                </c:pt>
                <c:pt idx="234">
                  <c:v>45.062192561083663</c:v>
                </c:pt>
                <c:pt idx="235">
                  <c:v>45.458901616420761</c:v>
                </c:pt>
                <c:pt idx="236">
                  <c:v>45.857239525555471</c:v>
                </c:pt>
                <c:pt idx="237">
                  <c:v>46.257203457458075</c:v>
                </c:pt>
                <c:pt idx="238">
                  <c:v>46.658790569709744</c:v>
                </c:pt>
                <c:pt idx="239">
                  <c:v>47.061998008583927</c:v>
                </c:pt>
                <c:pt idx="240">
                  <c:v>47.466822909127337</c:v>
                </c:pt>
                <c:pt idx="241">
                  <c:v>47.873262395240538</c:v>
                </c:pt>
                <c:pt idx="242">
                  <c:v>48.281313254215775</c:v>
                </c:pt>
                <c:pt idx="243">
                  <c:v>48.690971610569946</c:v>
                </c:pt>
                <c:pt idx="244">
                  <c:v>49.102233250869517</c:v>
                </c:pt>
                <c:pt idx="245">
                  <c:v>49.51509394927308</c:v>
                </c:pt>
                <c:pt idx="246">
                  <c:v>49.92954946763718</c:v>
                </c:pt>
                <c:pt idx="247">
                  <c:v>50.345595555621557</c:v>
                </c:pt>
                <c:pt idx="248">
                  <c:v>50.763227950793855</c:v>
                </c:pt>
                <c:pt idx="249">
                  <c:v>51.182442378733789</c:v>
                </c:pt>
                <c:pt idx="250">
                  <c:v>51.603234553136787</c:v>
                </c:pt>
                <c:pt idx="251">
                  <c:v>52.025600175917084</c:v>
                </c:pt>
                <c:pt idx="252">
                  <c:v>52.449534937310304</c:v>
                </c:pt>
                <c:pt idx="253">
                  <c:v>52.875034515975514</c:v>
                </c:pt>
                <c:pt idx="254">
                  <c:v>53.302094579096789</c:v>
                </c:pt>
                <c:pt idx="255">
                  <c:v>53.73071078248423</c:v>
                </c:pt>
                <c:pt idx="256">
                  <c:v>54.160878770674515</c:v>
                </c:pt>
                <c:pt idx="257">
                  <c:v>54.592594177030911</c:v>
                </c:pt>
                <c:pt idx="258">
                  <c:v>55.02585262384283</c:v>
                </c:pt>
                <c:pt idx="259">
                  <c:v>55.460649722424868</c:v>
                </c:pt>
                <c:pt idx="260">
                  <c:v>55.896981073215365</c:v>
                </c:pt>
                <c:pt idx="261">
                  <c:v>56.334842265874478</c:v>
                </c:pt>
                <c:pt idx="262">
                  <c:v>56.774228879381788</c:v>
                </c:pt>
                <c:pt idx="263">
                  <c:v>57.21513648213341</c:v>
                </c:pt>
                <c:pt idx="264">
                  <c:v>57.657560632038653</c:v>
                </c:pt>
                <c:pt idx="265">
                  <c:v>58.101496876616196</c:v>
                </c:pt>
                <c:pt idx="266">
                  <c:v>58.5469407530898</c:v>
                </c:pt>
                <c:pt idx="267">
                  <c:v>58.993887788483583</c:v>
                </c:pt>
                <c:pt idx="268">
                  <c:v>59.442333499716788</c:v>
                </c:pt>
                <c:pt idx="269">
                  <c:v>59.892273393698147</c:v>
                </c:pt>
                <c:pt idx="270">
                  <c:v>60.343702967419766</c:v>
                </c:pt>
                <c:pt idx="271">
                  <c:v>60.796617708050562</c:v>
                </c:pt>
                <c:pt idx="272">
                  <c:v>61.25101309302925</c:v>
                </c:pt>
                <c:pt idx="273">
                  <c:v>61.706884590156911</c:v>
                </c:pt>
                <c:pt idx="274">
                  <c:v>62.164227657689082</c:v>
                </c:pt>
                <c:pt idx="275">
                  <c:v>62.62303774442745</c:v>
                </c:pt>
                <c:pt idx="276">
                  <c:v>63.083310289811067</c:v>
                </c:pt>
                <c:pt idx="277">
                  <c:v>63.545040724007151</c:v>
                </c:pt>
                <c:pt idx="278">
                  <c:v>64.008224468001472</c:v>
                </c:pt>
                <c:pt idx="279">
                  <c:v>64.472856933688263</c:v>
                </c:pt>
                <c:pt idx="280">
                  <c:v>64.93893352395979</c:v>
                </c:pt>
                <c:pt idx="281">
                  <c:v>65.406449632795386</c:v>
                </c:pt>
                <c:pt idx="282">
                  <c:v>65.87540064535014</c:v>
                </c:pt>
                <c:pt idx="283">
                  <c:v>66.345781938043146</c:v>
                </c:pt>
                <c:pt idx="284">
                  <c:v>66.817589269454729</c:v>
                </c:pt>
                <c:pt idx="285">
                  <c:v>67.290819171882902</c:v>
                </c:pt>
                <c:pt idx="286">
                  <c:v>67.76546856128256</c:v>
                </c:pt>
                <c:pt idx="287">
                  <c:v>68.241534346531154</c:v>
                </c:pt>
                <c:pt idx="288">
                  <c:v>68.719013429487617</c:v>
                </c:pt>
                <c:pt idx="289">
                  <c:v>69.197902705051092</c:v>
                </c:pt>
                <c:pt idx="290">
                  <c:v>69.678199061219445</c:v>
                </c:pt>
                <c:pt idx="291">
                  <c:v>70.159899379147532</c:v>
                </c:pt>
                <c:pt idx="292">
                  <c:v>70.643000533205239</c:v>
                </c:pt>
                <c:pt idx="293">
                  <c:v>71.127499391035315</c:v>
                </c:pt>
                <c:pt idx="294">
                  <c:v>71.613392813610972</c:v>
                </c:pt>
                <c:pt idx="295">
                  <c:v>72.100677655293211</c:v>
                </c:pt>
                <c:pt idx="296">
                  <c:v>72.589350763888021</c:v>
                </c:pt>
                <c:pt idx="297">
                  <c:v>73.079408980703292</c:v>
                </c:pt>
                <c:pt idx="298">
                  <c:v>73.570849140605475</c:v>
                </c:pt>
                <c:pt idx="299">
                  <c:v>74.063668072076112</c:v>
                </c:pt>
                <c:pt idx="300">
                  <c:v>74.557862597268084</c:v>
                </c:pt>
                <c:pt idx="301">
                  <c:v>75.053429532061628</c:v>
                </c:pt>
                <c:pt idx="302">
                  <c:v>75.550365686120202</c:v>
                </c:pt>
                <c:pt idx="303">
                  <c:v>76.048667862946047</c:v>
                </c:pt>
                <c:pt idx="304">
                  <c:v>76.548332859935599</c:v>
                </c:pt>
                <c:pt idx="305">
                  <c:v>77.049357468434636</c:v>
                </c:pt>
                <c:pt idx="306">
                  <c:v>77.551738473793264</c:v>
                </c:pt>
                <c:pt idx="307">
                  <c:v>78.055472655420616</c:v>
                </c:pt>
                <c:pt idx="308">
                  <c:v>78.560556786839399</c:v>
                </c:pt>
                <c:pt idx="309">
                  <c:v>79.06698763574019</c:v>
                </c:pt>
                <c:pt idx="310">
                  <c:v>79.574761964035531</c:v>
                </c:pt>
                <c:pt idx="311">
                  <c:v>80.083876527913816</c:v>
                </c:pt>
                <c:pt idx="312">
                  <c:v>80.594328077892939</c:v>
                </c:pt>
                <c:pt idx="313">
                  <c:v>81.10611335887377</c:v>
                </c:pt>
                <c:pt idx="314">
                  <c:v>81.619229110193373</c:v>
                </c:pt>
                <c:pt idx="315">
                  <c:v>82.133672065678056</c:v>
                </c:pt>
                <c:pt idx="316">
                  <c:v>82.649438953696176</c:v>
                </c:pt>
                <c:pt idx="317">
                  <c:v>83.166526497210754</c:v>
                </c:pt>
                <c:pt idx="318">
                  <c:v>83.684931413831862</c:v>
                </c:pt>
                <c:pt idx="319">
                  <c:v>84.204650415868812</c:v>
                </c:pt>
                <c:pt idx="320">
                  <c:v>84.725680210382151</c:v>
                </c:pt>
                <c:pt idx="321">
                  <c:v>85.248017499235388</c:v>
                </c:pt>
                <c:pt idx="322">
                  <c:v>85.771658979146608</c:v>
                </c:pt>
                <c:pt idx="323">
                  <c:v>86.296601341739773</c:v>
                </c:pt>
                <c:pt idx="324">
                  <c:v>86.822841273595898</c:v>
                </c:pt>
                <c:pt idx="325">
                  <c:v>87.350375456303951</c:v>
                </c:pt>
                <c:pt idx="326">
                  <c:v>87.879200591002871</c:v>
                </c:pt>
                <c:pt idx="327">
                  <c:v>88.409313422956146</c:v>
                </c:pt>
                <c:pt idx="328">
                  <c:v>88.940710717138685</c:v>
                </c:pt>
                <c:pt idx="329">
                  <c:v>89.47338923378986</c:v>
                </c:pt>
                <c:pt idx="330">
                  <c:v>90.007345728462028</c:v>
                </c:pt>
                <c:pt idx="331">
                  <c:v>90.542576952068856</c:v>
                </c:pt>
                <c:pt idx="332">
                  <c:v>91.079079650933437</c:v>
                </c:pt>
                <c:pt idx="333">
                  <c:v>91.616850566836177</c:v>
                </c:pt>
                <c:pt idx="334">
                  <c:v>92.155886437062577</c:v>
                </c:pt>
                <c:pt idx="335">
                  <c:v>92.696183994450735</c:v>
                </c:pt>
                <c:pt idx="336">
                  <c:v>93.237739967438657</c:v>
                </c:pt>
                <c:pt idx="337">
                  <c:v>93.780551080111451</c:v>
                </c:pt>
                <c:pt idx="338">
                  <c:v>94.324614052248236</c:v>
                </c:pt>
                <c:pt idx="339">
                  <c:v>94.869925599368855</c:v>
                </c:pt>
                <c:pt idx="340">
                  <c:v>95.416482432780498</c:v>
                </c:pt>
                <c:pt idx="341">
                  <c:v>95.964281259624002</c:v>
                </c:pt>
                <c:pt idx="342">
                  <c:v>96.513318782920038</c:v>
                </c:pt>
                <c:pt idx="343">
                  <c:v>97.063591701615053</c:v>
                </c:pt>
                <c:pt idx="344">
                  <c:v>97.615096710627071</c:v>
                </c:pt>
                <c:pt idx="345">
                  <c:v>98.167830500891256</c:v>
                </c:pt>
                <c:pt idx="346">
                  <c:v>98.721789759405283</c:v>
                </c:pt>
                <c:pt idx="347">
                  <c:v>99.276971169274532</c:v>
                </c:pt>
                <c:pt idx="348">
                  <c:v>99.833371409757092</c:v>
                </c:pt>
                <c:pt idx="349">
                  <c:v>100.39098715630855</c:v>
                </c:pt>
                <c:pt idx="350">
                  <c:v>100.94981508062662</c:v>
                </c:pt>
                <c:pt idx="351">
                  <c:v>101.5098518506955</c:v>
                </c:pt>
                <c:pt idx="352">
                  <c:v>102.07109413083015</c:v>
                </c:pt>
                <c:pt idx="353">
                  <c:v>102.63353858172027</c:v>
                </c:pt>
                <c:pt idx="354">
                  <c:v>103.19718186047419</c:v>
                </c:pt>
                <c:pt idx="355">
                  <c:v>103.76202062066244</c:v>
                </c:pt>
                <c:pt idx="356">
                  <c:v>104.32805151236123</c:v>
                </c:pt>
                <c:pt idx="357">
                  <c:v>104.8952711821957</c:v>
                </c:pt>
                <c:pt idx="358">
                  <c:v>105.463676273383</c:v>
                </c:pt>
                <c:pt idx="359">
                  <c:v>106.03326342577512</c:v>
                </c:pt>
                <c:pt idx="360">
                  <c:v>106.60402927590155</c:v>
                </c:pt>
                <c:pt idx="361">
                  <c:v>107.17597045701184</c:v>
                </c:pt>
                <c:pt idx="362">
                  <c:v>107.74908359911781</c:v>
                </c:pt>
                <c:pt idx="363">
                  <c:v>108.32336532903568</c:v>
                </c:pt>
                <c:pt idx="364">
                  <c:v>108.89881227042797</c:v>
                </c:pt>
                <c:pt idx="365">
                  <c:v>109.4754210438452</c:v>
                </c:pt>
                <c:pt idx="366">
                  <c:v>110.05318889854975</c:v>
                </c:pt>
                <c:pt idx="367">
                  <c:v>110.63211434500974</c:v>
                </c:pt>
                <c:pt idx="368">
                  <c:v>111.21219652358572</c:v>
                </c:pt>
                <c:pt idx="369">
                  <c:v>111.79343457253319</c:v>
                </c:pt>
                <c:pt idx="370">
                  <c:v>112.37582762801661</c:v>
                </c:pt>
                <c:pt idx="371">
                  <c:v>112.95937482412332</c:v>
                </c:pt>
                <c:pt idx="372">
                  <c:v>113.54407529287742</c:v>
                </c:pt>
                <c:pt idx="373">
                  <c:v>114.12992816425367</c:v>
                </c:pt>
                <c:pt idx="374">
                  <c:v>114.71693256619133</c:v>
                </c:pt>
                <c:pt idx="375">
                  <c:v>115.30508762460799</c:v>
                </c:pt>
                <c:pt idx="376">
                  <c:v>115.89439246341334</c:v>
                </c:pt>
                <c:pt idx="377">
                  <c:v>116.48484620452295</c:v>
                </c:pt>
                <c:pt idx="378">
                  <c:v>117.076447967872</c:v>
                </c:pt>
                <c:pt idx="379">
                  <c:v>117.66919687142898</c:v>
                </c:pt>
                <c:pt idx="380">
                  <c:v>118.26309203120938</c:v>
                </c:pt>
                <c:pt idx="381">
                  <c:v>118.8581318751377</c:v>
                </c:pt>
                <c:pt idx="382">
                  <c:v>119.45431345622654</c:v>
                </c:pt>
                <c:pt idx="383">
                  <c:v>120.05163313835463</c:v>
                </c:pt>
                <c:pt idx="384">
                  <c:v>120.65008728274208</c:v>
                </c:pt>
                <c:pt idx="385">
                  <c:v>121.24967224799249</c:v>
                </c:pt>
                <c:pt idx="386">
                  <c:v>121.85038439013486</c:v>
                </c:pt>
                <c:pt idx="387">
                  <c:v>122.45222006266523</c:v>
                </c:pt>
                <c:pt idx="388">
                  <c:v>123.05517561658813</c:v>
                </c:pt>
                <c:pt idx="389">
                  <c:v>123.65924740045783</c:v>
                </c:pt>
                <c:pt idx="390">
                  <c:v>124.26443176041943</c:v>
                </c:pt>
                <c:pt idx="391">
                  <c:v>124.87072504024961</c:v>
                </c:pt>
                <c:pt idx="392">
                  <c:v>125.47812358139731</c:v>
                </c:pt>
                <c:pt idx="393">
                  <c:v>126.08662372302412</c:v>
                </c:pt>
                <c:pt idx="394">
                  <c:v>126.69622180204446</c:v>
                </c:pt>
                <c:pt idx="395">
                  <c:v>127.30691415316564</c:v>
                </c:pt>
                <c:pt idx="396">
                  <c:v>127.91869710892753</c:v>
                </c:pt>
                <c:pt idx="397">
                  <c:v>128.53156699974224</c:v>
                </c:pt>
                <c:pt idx="398">
                  <c:v>129.14552015393343</c:v>
                </c:pt>
                <c:pt idx="399">
                  <c:v>129.76055289777551</c:v>
                </c:pt>
                <c:pt idx="400">
                  <c:v>130.37666155553248</c:v>
                </c:pt>
                <c:pt idx="401">
                  <c:v>130.99384190657932</c:v>
                </c:pt>
                <c:pt idx="402">
                  <c:v>131.61208864205489</c:v>
                </c:pt>
                <c:pt idx="403">
                  <c:v>132.23139590763139</c:v>
                </c:pt>
                <c:pt idx="404">
                  <c:v>132.85175784676557</c:v>
                </c:pt>
                <c:pt idx="405">
                  <c:v>133.47316860076381</c:v>
                </c:pt>
                <c:pt idx="406">
                  <c:v>134.09562230884686</c:v>
                </c:pt>
                <c:pt idx="407">
                  <c:v>134.71911310821403</c:v>
                </c:pt>
                <c:pt idx="408">
                  <c:v>135.34363513410702</c:v>
                </c:pt>
                <c:pt idx="409">
                  <c:v>135.96918251987333</c:v>
                </c:pt>
                <c:pt idx="410">
                  <c:v>136.59574939702907</c:v>
                </c:pt>
                <c:pt idx="411">
                  <c:v>137.22332688706973</c:v>
                </c:pt>
                <c:pt idx="412">
                  <c:v>137.85190009096527</c:v>
                </c:pt>
                <c:pt idx="413">
                  <c:v>138.48145109692032</c:v>
                </c:pt>
                <c:pt idx="414">
                  <c:v>139.11196199057437</c:v>
                </c:pt>
                <c:pt idx="415">
                  <c:v>139.74341485531102</c:v>
                </c:pt>
                <c:pt idx="416">
                  <c:v>140.37579177256396</c:v>
                </c:pt>
                <c:pt idx="417">
                  <c:v>141.00907482211963</c:v>
                </c:pt>
                <c:pt idx="418">
                  <c:v>141.6432460824166</c:v>
                </c:pt>
                <c:pt idx="419">
                  <c:v>142.2782876308417</c:v>
                </c:pt>
                <c:pt idx="420">
                  <c:v>142.91417982858007</c:v>
                </c:pt>
                <c:pt idx="421">
                  <c:v>143.55089960444428</c:v>
                </c:pt>
                <c:pt idx="422">
                  <c:v>144.1884221707775</c:v>
                </c:pt>
                <c:pt idx="423">
                  <c:v>144.82672274047721</c:v>
                </c:pt>
                <c:pt idx="424">
                  <c:v>145.4657765274855</c:v>
                </c:pt>
                <c:pt idx="425">
                  <c:v>146.10555874727305</c:v>
                </c:pt>
                <c:pt idx="426">
                  <c:v>146.7460446173171</c:v>
                </c:pt>
                <c:pt idx="427">
                  <c:v>147.3872093575732</c:v>
                </c:pt>
                <c:pt idx="428">
                  <c:v>148.02902819094095</c:v>
                </c:pt>
                <c:pt idx="429">
                  <c:v>148.67147634372341</c:v>
                </c:pt>
                <c:pt idx="430">
                  <c:v>149.31452904608062</c:v>
                </c:pt>
                <c:pt idx="431">
                  <c:v>149.95816153247671</c:v>
                </c:pt>
                <c:pt idx="432">
                  <c:v>150.60234626872005</c:v>
                </c:pt>
                <c:pt idx="433">
                  <c:v>151.24705017814543</c:v>
                </c:pt>
                <c:pt idx="434">
                  <c:v>151.89223741696352</c:v>
                </c:pt>
                <c:pt idx="435">
                  <c:v>152.53787215067277</c:v>
                </c:pt>
                <c:pt idx="436">
                  <c:v>153.18391855490523</c:v>
                </c:pt>
                <c:pt idx="437">
                  <c:v>153.83034081626005</c:v>
                </c:pt>
                <c:pt idx="438">
                  <c:v>154.4771031331239</c:v>
                </c:pt>
                <c:pt idx="439">
                  <c:v>155.12416971647883</c:v>
                </c:pt>
                <c:pt idx="440">
                  <c:v>155.77150479069721</c:v>
                </c:pt>
                <c:pt idx="441">
                  <c:v>156.41907259432395</c:v>
                </c:pt>
                <c:pt idx="442">
                  <c:v>157.06683907004532</c:v>
                </c:pt>
                <c:pt idx="443">
                  <c:v>157.71477355464364</c:v>
                </c:pt>
                <c:pt idx="444">
                  <c:v>158.36284708883738</c:v>
                </c:pt>
                <c:pt idx="445">
                  <c:v>159.01103072698115</c:v>
                </c:pt>
                <c:pt idx="446">
                  <c:v>159.65929553752912</c:v>
                </c:pt>
                <c:pt idx="447">
                  <c:v>160.3076126034901</c:v>
                </c:pt>
                <c:pt idx="448">
                  <c:v>160.95595302287424</c:v>
                </c:pt>
                <c:pt idx="449">
                  <c:v>161.60428790913124</c:v>
                </c:pt>
                <c:pt idx="450">
                  <c:v>162.25258839158045</c:v>
                </c:pt>
                <c:pt idx="451">
                  <c:v>162.9008256158323</c:v>
                </c:pt>
                <c:pt idx="452">
                  <c:v>163.54897074420171</c:v>
                </c:pt>
                <c:pt idx="453">
                  <c:v>164.19699738304112</c:v>
                </c:pt>
                <c:pt idx="454">
                  <c:v>164.84488400947851</c:v>
                </c:pt>
                <c:pt idx="455">
                  <c:v>165.49261154160632</c:v>
                </c:pt>
                <c:pt idx="456">
                  <c:v>166.14016090912915</c:v>
                </c:pt>
                <c:pt idx="457">
                  <c:v>166.7875130534984</c:v>
                </c:pt>
                <c:pt idx="458">
                  <c:v>167.43464892804337</c:v>
                </c:pt>
                <c:pt idx="459">
                  <c:v>168.08154949809878</c:v>
                </c:pt>
                <c:pt idx="460">
                  <c:v>168.72819574112879</c:v>
                </c:pt>
                <c:pt idx="461">
                  <c:v>169.37457083648459</c:v>
                </c:pt>
                <c:pt idx="462">
                  <c:v>170.02066235441723</c:v>
                </c:pt>
                <c:pt idx="463">
                  <c:v>170.66646006333565</c:v>
                </c:pt>
                <c:pt idx="464">
                  <c:v>171.31195373775088</c:v>
                </c:pt>
                <c:pt idx="465">
                  <c:v>171.95713315828019</c:v>
                </c:pt>
                <c:pt idx="466">
                  <c:v>172.6019862691258</c:v>
                </c:pt>
                <c:pt idx="467">
                  <c:v>173.24649733623474</c:v>
                </c:pt>
                <c:pt idx="468">
                  <c:v>173.89062825988069</c:v>
                </c:pt>
                <c:pt idx="469">
                  <c:v>174.53432503145848</c:v>
                </c:pt>
                <c:pt idx="470">
                  <c:v>175.17756342364518</c:v>
                </c:pt>
                <c:pt idx="471">
                  <c:v>175.82034437102612</c:v>
                </c:pt>
                <c:pt idx="472">
                  <c:v>176.46266880545994</c:v>
                </c:pt>
                <c:pt idx="473">
                  <c:v>177.10453765608938</c:v>
                </c:pt>
                <c:pt idx="474">
                  <c:v>177.74595184935225</c:v>
                </c:pt>
                <c:pt idx="475">
                  <c:v>178.38691230899212</c:v>
                </c:pt>
                <c:pt idx="476">
                  <c:v>179.02741995606905</c:v>
                </c:pt>
                <c:pt idx="477">
                  <c:v>179.66747570897027</c:v>
                </c:pt>
                <c:pt idx="478">
                  <c:v>180.3070804834208</c:v>
                </c:pt>
                <c:pt idx="479">
                  <c:v>180.94623519249399</c:v>
                </c:pt>
                <c:pt idx="480">
                  <c:v>181.58494074662204</c:v>
                </c:pt>
                <c:pt idx="481">
                  <c:v>182.22319805360647</c:v>
                </c:pt>
                <c:pt idx="482">
                  <c:v>182.8610080186285</c:v>
                </c:pt>
                <c:pt idx="483">
                  <c:v>183.49837154425938</c:v>
                </c:pt>
                <c:pt idx="484">
                  <c:v>184.1352895304708</c:v>
                </c:pt>
                <c:pt idx="485">
                  <c:v>184.77176287464496</c:v>
                </c:pt>
                <c:pt idx="486">
                  <c:v>185.40779247158494</c:v>
                </c:pt>
                <c:pt idx="487">
                  <c:v>186.04337921352473</c:v>
                </c:pt>
                <c:pt idx="488">
                  <c:v>186.67852399013941</c:v>
                </c:pt>
                <c:pt idx="489">
                  <c:v>187.31322768855512</c:v>
                </c:pt>
                <c:pt idx="490">
                  <c:v>187.94749119335916</c:v>
                </c:pt>
                <c:pt idx="491">
                  <c:v>188.58131538660982</c:v>
                </c:pt>
                <c:pt idx="492">
                  <c:v>189.21470114784634</c:v>
                </c:pt>
                <c:pt idx="493">
                  <c:v>189.84764935409879</c:v>
                </c:pt>
                <c:pt idx="494">
                  <c:v>190.48016087989785</c:v>
                </c:pt>
                <c:pt idx="495">
                  <c:v>191.11223659728452</c:v>
                </c:pt>
                <c:pt idx="496">
                  <c:v>191.74387737581989</c:v>
                </c:pt>
                <c:pt idx="497">
                  <c:v>192.37508408259475</c:v>
                </c:pt>
                <c:pt idx="498">
                  <c:v>193.00585758223926</c:v>
                </c:pt>
                <c:pt idx="499">
                  <c:v>193.63619873693244</c:v>
                </c:pt>
                <c:pt idx="500">
                  <c:v>194.26610840641175</c:v>
                </c:pt>
                <c:pt idx="501">
                  <c:v>200.54153982829746</c:v>
                </c:pt>
                <c:pt idx="502">
                  <c:v>206.77437555038082</c:v>
                </c:pt>
                <c:pt idx="503">
                  <c:v>212.96545232950567</c:v>
                </c:pt>
                <c:pt idx="504">
                  <c:v>219.11558373801546</c:v>
                </c:pt>
                <c:pt idx="505">
                  <c:v>225.22556103796336</c:v>
                </c:pt>
                <c:pt idx="506">
                  <c:v>231.29615401419261</c:v>
                </c:pt>
                <c:pt idx="507">
                  <c:v>237.32811176860358</c:v>
                </c:pt>
                <c:pt idx="508">
                  <c:v>243.32216347777245</c:v>
                </c:pt>
                <c:pt idx="509">
                  <c:v>249.2790191159462</c:v>
                </c:pt>
                <c:pt idx="510">
                  <c:v>255.19937014530871</c:v>
                </c:pt>
                <c:pt idx="511">
                  <c:v>261.08389017529197</c:v>
                </c:pt>
                <c:pt idx="512">
                  <c:v>266.93323559259483</c:v>
                </c:pt>
                <c:pt idx="513">
                  <c:v>272.74804616346819</c:v>
                </c:pt>
                <c:pt idx="514">
                  <c:v>278.52894560972851</c:v>
                </c:pt>
                <c:pt idx="515">
                  <c:v>284.27654215987229</c:v>
                </c:pt>
                <c:pt idx="516">
                  <c:v>289.99142907658103</c:v>
                </c:pt>
                <c:pt idx="517">
                  <c:v>295.67418516182778</c:v>
                </c:pt>
                <c:pt idx="518">
                  <c:v>301.3253752407249</c:v>
                </c:pt>
                <c:pt idx="519">
                  <c:v>306.94555062518469</c:v>
                </c:pt>
                <c:pt idx="520">
                  <c:v>312.53524955840203</c:v>
                </c:pt>
                <c:pt idx="521">
                  <c:v>318.09499764110922</c:v>
                </c:pt>
                <c:pt idx="522">
                  <c:v>323.62530824049844</c:v>
                </c:pt>
                <c:pt idx="523">
                  <c:v>329.1266828826565</c:v>
                </c:pt>
                <c:pt idx="524">
                  <c:v>334.59961162930779</c:v>
                </c:pt>
                <c:pt idx="525">
                  <c:v>340.04457343961758</c:v>
                </c:pt>
                <c:pt idx="526">
                  <c:v>345.46203651776494</c:v>
                </c:pt>
                <c:pt idx="527">
                  <c:v>350.85245864695611</c:v>
                </c:pt>
                <c:pt idx="528">
                  <c:v>356.21628751051162</c:v>
                </c:pt>
                <c:pt idx="529">
                  <c:v>361.5539610006266</c:v>
                </c:pt>
                <c:pt idx="530">
                  <c:v>366.86590751537091</c:v>
                </c:pt>
                <c:pt idx="531">
                  <c:v>372.15254624446538</c:v>
                </c:pt>
                <c:pt idx="532">
                  <c:v>377.41428744434251</c:v>
                </c:pt>
                <c:pt idx="533">
                  <c:v>382.65153270297185</c:v>
                </c:pt>
                <c:pt idx="534">
                  <c:v>387.86467519490714</c:v>
                </c:pt>
                <c:pt idx="535">
                  <c:v>393.05409992698594</c:v>
                </c:pt>
                <c:pt idx="536">
                  <c:v>398.22018397509299</c:v>
                </c:pt>
                <c:pt idx="537">
                  <c:v>403.3632967123753</c:v>
                </c:pt>
                <c:pt idx="538">
                  <c:v>408.48380002927843</c:v>
                </c:pt>
                <c:pt idx="539">
                  <c:v>413.58204854575433</c:v>
                </c:pt>
                <c:pt idx="540">
                  <c:v>418.65838981597392</c:v>
                </c:pt>
                <c:pt idx="541">
                  <c:v>423.71316452586018</c:v>
                </c:pt>
                <c:pt idx="542">
                  <c:v>428.74670668374324</c:v>
                </c:pt>
                <c:pt idx="543">
                  <c:v>433.75934380442294</c:v>
                </c:pt>
                <c:pt idx="544">
                  <c:v>438.75139708691074</c:v>
                </c:pt>
                <c:pt idx="545">
                  <c:v>443.72318158611063</c:v>
                </c:pt>
                <c:pt idx="546">
                  <c:v>448.67500637868426</c:v>
                </c:pt>
                <c:pt idx="547">
                  <c:v>453.60717472333636</c:v>
                </c:pt>
                <c:pt idx="548">
                  <c:v>458.51998421574268</c:v>
                </c:pt>
                <c:pt idx="549">
                  <c:v>463.41372693833415</c:v>
                </c:pt>
                <c:pt idx="550">
                  <c:v>468.28868960514001</c:v>
                </c:pt>
                <c:pt idx="551">
                  <c:v>473.14515370188371</c:v>
                </c:pt>
                <c:pt idx="552">
                  <c:v>477.9833956215158</c:v>
                </c:pt>
                <c:pt idx="553">
                  <c:v>482.80368679536014</c:v>
                </c:pt>
                <c:pt idx="554">
                  <c:v>487.6062938200414</c:v>
                </c:pt>
                <c:pt idx="555">
                  <c:v>492.39147858035437</c:v>
                </c:pt>
                <c:pt idx="556">
                  <c:v>497.15949836822813</c:v>
                </c:pt>
                <c:pt idx="557">
                  <c:v>501.91060599793121</c:v>
                </c:pt>
                <c:pt idx="558">
                  <c:v>506.6450499176579</c:v>
                </c:pt>
                <c:pt idx="559">
                  <c:v>511.36307431762873</c:v>
                </c:pt>
                <c:pt idx="560">
                  <c:v>516.06491923483304</c:v>
                </c:pt>
                <c:pt idx="561">
                  <c:v>520.75082065453557</c:v>
                </c:pt>
                <c:pt idx="562">
                  <c:v>525.42101060866344</c:v>
                </c:pt>
                <c:pt idx="563">
                  <c:v>530.07571727118568</c:v>
                </c:pt>
                <c:pt idx="564">
                  <c:v>534.71516505059105</c:v>
                </c:pt>
                <c:pt idx="565">
                  <c:v>539.33957467956759</c:v>
                </c:pt>
                <c:pt idx="566">
                  <c:v>543.94916330197987</c:v>
                </c:pt>
                <c:pt idx="567">
                  <c:v>548.54414455723895</c:v>
                </c:pt>
                <c:pt idx="568">
                  <c:v>553.12472866215387</c:v>
                </c:pt>
                <c:pt idx="569">
                  <c:v>557.69112249034993</c:v>
                </c:pt>
                <c:pt idx="570">
                  <c:v>562.24352964933678</c:v>
                </c:pt>
                <c:pt idx="571">
                  <c:v>566.78215055530382</c:v>
                </c:pt>
                <c:pt idx="572">
                  <c:v>571.30718250571874</c:v>
                </c:pt>
                <c:pt idx="573">
                  <c:v>575.81881974980115</c:v>
                </c:pt>
                <c:pt idx="574">
                  <c:v>580.3172535569397</c:v>
                </c:pt>
                <c:pt idx="575">
                  <c:v>584.80267228311959</c:v>
                </c:pt>
                <c:pt idx="576">
                  <c:v>589.2752614354232</c:v>
                </c:pt>
                <c:pt idx="577">
                  <c:v>593.73520373466431</c:v>
                </c:pt>
                <c:pt idx="578">
                  <c:v>598.18267917621438</c:v>
                </c:pt>
                <c:pt idx="579">
                  <c:v>602.61786508907585</c:v>
                </c:pt>
                <c:pt idx="580">
                  <c:v>607.04093619325624</c:v>
                </c:pt>
                <c:pt idx="581">
                  <c:v>611.45206465549359</c:v>
                </c:pt>
                <c:pt idx="582">
                  <c:v>615.8514201433818</c:v>
                </c:pt>
                <c:pt idx="583">
                  <c:v>620.23916987794314</c:v>
                </c:pt>
                <c:pt idx="584">
                  <c:v>624.61547868469165</c:v>
                </c:pt>
                <c:pt idx="585">
                  <c:v>628.98050904323077</c:v>
                </c:pt>
                <c:pt idx="586">
                  <c:v>633.3344211354256</c:v>
                </c:pt>
                <c:pt idx="587">
                  <c:v>637.67737289218883</c:v>
                </c:pt>
                <c:pt idx="588">
                  <c:v>642.00952003891757</c:v>
                </c:pt>
                <c:pt idx="589">
                  <c:v>646.33101613961639</c:v>
                </c:pt>
                <c:pt idx="590">
                  <c:v>650.64201263974053</c:v>
                </c:pt>
                <c:pt idx="591">
                  <c:v>654.94265890779138</c:v>
                </c:pt>
                <c:pt idx="592">
                  <c:v>659.23310227569516</c:v>
                </c:pt>
                <c:pt idx="593">
                  <c:v>663.51348807799354</c:v>
                </c:pt>
                <c:pt idx="594">
                  <c:v>667.78395968987468</c:v>
                </c:pt>
                <c:pt idx="595">
                  <c:v>672.04465856406955</c:v>
                </c:pt>
                <c:pt idx="596">
                  <c:v>676.29572426664038</c:v>
                </c:pt>
                <c:pt idx="597">
                  <c:v>680.5372945116826</c:v>
                </c:pt>
                <c:pt idx="598">
                  <c:v>684.76950519496438</c:v>
                </c:pt>
                <c:pt idx="599">
                  <c:v>688.99249042652286</c:v>
                </c:pt>
                <c:pt idx="600">
                  <c:v>693.20638256223833</c:v>
                </c:pt>
                <c:pt idx="601">
                  <c:v>697.41131223440323</c:v>
                </c:pt>
                <c:pt idx="602">
                  <c:v>701.6074083813038</c:v>
                </c:pt>
                <c:pt idx="603">
                  <c:v>705.79479827582998</c:v>
                </c:pt>
                <c:pt idx="604">
                  <c:v>709.97360755312843</c:v>
                </c:pt>
                <c:pt idx="605">
                  <c:v>714.14396023731115</c:v>
                </c:pt>
                <c:pt idx="606">
                  <c:v>718.30597876723311</c:v>
                </c:pt>
                <c:pt idx="607">
                  <c:v>722.45978402134915</c:v>
                </c:pt>
                <c:pt idx="608">
                  <c:v>726.60549534165989</c:v>
                </c:pt>
                <c:pt idx="609">
                  <c:v>730.74323055675552</c:v>
                </c:pt>
                <c:pt idx="610">
                  <c:v>734.87310600396472</c:v>
                </c:pt>
                <c:pt idx="611">
                  <c:v>738.99523655061546</c:v>
                </c:pt>
                <c:pt idx="612">
                  <c:v>743.10973561441187</c:v>
                </c:pt>
                <c:pt idx="613">
                  <c:v>747.21671518293147</c:v>
                </c:pt>
                <c:pt idx="614">
                  <c:v>751.31628583224585</c:v>
                </c:pt>
                <c:pt idx="615">
                  <c:v>755.40855674466547</c:v>
                </c:pt>
                <c:pt idx="616">
                  <c:v>759.49363572560935</c:v>
                </c:pt>
                <c:pt idx="617">
                  <c:v>763.57162921959844</c:v>
                </c:pt>
                <c:pt idx="618">
                  <c:v>767.64264232537073</c:v>
                </c:pt>
                <c:pt idx="619">
                  <c:v>771.70677881011443</c:v>
                </c:pt>
                <c:pt idx="620">
                  <c:v>775.76414112281441</c:v>
                </c:pt>
                <c:pt idx="621">
                  <c:v>779.81483040670628</c:v>
                </c:pt>
                <c:pt idx="622">
                  <c:v>783.85894651083117</c:v>
                </c:pt>
                <c:pt idx="623">
                  <c:v>787.89658800068185</c:v>
                </c:pt>
                <c:pt idx="624">
                  <c:v>791.92785216793106</c:v>
                </c:pt>
                <c:pt idx="625">
                  <c:v>795.95283503923167</c:v>
                </c:pt>
                <c:pt idx="626">
                  <c:v>799.97163138407495</c:v>
                </c:pt>
                <c:pt idx="627">
                  <c:v>803.98433472169484</c:v>
                </c:pt>
                <c:pt idx="628">
                  <c:v>807.99103732700269</c:v>
                </c:pt>
                <c:pt idx="629">
                  <c:v>811.99183023553701</c:v>
                </c:pt>
                <c:pt idx="630">
                  <c:v>815.98680324741053</c:v>
                </c:pt>
                <c:pt idx="631">
                  <c:v>819.97604493023755</c:v>
                </c:pt>
                <c:pt idx="632">
                  <c:v>823.95964262102018</c:v>
                </c:pt>
                <c:pt idx="633">
                  <c:v>827.93768242697581</c:v>
                </c:pt>
                <c:pt idx="634">
                  <c:v>831.91024922528197</c:v>
                </c:pt>
                <c:pt idx="635">
                  <c:v>835.8774266617188</c:v>
                </c:pt>
                <c:pt idx="636">
                  <c:v>839.8392971481843</c:v>
                </c:pt>
                <c:pt idx="637">
                  <c:v>843.79594185906137</c:v>
                </c:pt>
                <c:pt idx="638">
                  <c:v>847.74744072641067</c:v>
                </c:pt>
                <c:pt idx="639">
                  <c:v>851.69387243396784</c:v>
                </c:pt>
                <c:pt idx="640">
                  <c:v>855.6353144099196</c:v>
                </c:pt>
                <c:pt idx="641">
                  <c:v>859.57184281843718</c:v>
                </c:pt>
                <c:pt idx="642">
                  <c:v>863.50353254994297</c:v>
                </c:pt>
                <c:pt idx="643">
                  <c:v>867.43045721009116</c:v>
                </c:pt>
                <c:pt idx="644">
                  <c:v>871.3526891074406</c:v>
                </c:pt>
                <c:pt idx="645">
                  <c:v>875.27029923980388</c:v>
                </c:pt>
                <c:pt idx="646">
                  <c:v>879.18335727925648</c:v>
                </c:pt>
                <c:pt idx="647">
                  <c:v>883.09193155579555</c:v>
                </c:pt>
                <c:pt idx="648">
                  <c:v>886.99608903963872</c:v>
                </c:pt>
                <c:pt idx="649">
                  <c:v>890.89589532216166</c:v>
                </c:pt>
                <c:pt idx="650">
                  <c:v>894.79141459547611</c:v>
                </c:pt>
                <c:pt idx="651">
                  <c:v>898.68270963065629</c:v>
                </c:pt>
                <c:pt idx="652">
                  <c:v>902.56984175463197</c:v>
                </c:pt>
                <c:pt idx="653">
                  <c:v>906.45287082577079</c:v>
                </c:pt>
                <c:pt idx="654">
                  <c:v>910.3318552081854</c:v>
                </c:pt>
                <c:pt idx="655">
                  <c:v>914.20685174480957</c:v>
                </c:pt>
                <c:pt idx="656">
                  <c:v>918.07791572929966</c:v>
                </c:pt>
                <c:pt idx="657">
                  <c:v>921.9451008768317</c:v>
                </c:pt>
                <c:pt idx="658">
                  <c:v>925.80845929387624</c:v>
                </c:pt>
                <c:pt idx="659">
                  <c:v>929.66804144705077</c:v>
                </c:pt>
                <c:pt idx="660">
                  <c:v>933.52389613116338</c:v>
                </c:pt>
                <c:pt idx="661">
                  <c:v>937.37607043657977</c:v>
                </c:pt>
                <c:pt idx="662">
                  <c:v>941.22460971606301</c:v>
                </c:pt>
                <c:pt idx="663">
                  <c:v>945.0695575512525</c:v>
                </c:pt>
                <c:pt idx="664">
                  <c:v>948.91095571896847</c:v>
                </c:pt>
                <c:pt idx="665">
                  <c:v>952.74884415754593</c:v>
                </c:pt>
                <c:pt idx="666">
                  <c:v>956.58326093341805</c:v>
                </c:pt>
                <c:pt idx="667">
                  <c:v>960.41424220818863</c:v>
                </c:pt>
                <c:pt idx="668">
                  <c:v>964.24182220644536</c:v>
                </c:pt>
                <c:pt idx="669">
                  <c:v>968.06603318458144</c:v>
                </c:pt>
                <c:pt idx="670">
                  <c:v>971.88690540090124</c:v>
                </c:pt>
                <c:pt idx="671">
                  <c:v>975.70446708729651</c:v>
                </c:pt>
                <c:pt idx="672">
                  <c:v>979.51874442278097</c:v>
                </c:pt>
                <c:pt idx="673">
                  <c:v>983.3297615091733</c:v>
                </c:pt>
                <c:pt idx="674">
                  <c:v>987.13754034921396</c:v>
                </c:pt>
                <c:pt idx="675">
                  <c:v>990.94210082739221</c:v>
                </c:pt>
                <c:pt idx="676">
                  <c:v>994.74346069374599</c:v>
                </c:pt>
                <c:pt idx="677">
                  <c:v>998.54163555087928</c:v>
                </c:pt>
                <c:pt idx="678">
                  <c:v>1002.3366388444177</c:v>
                </c:pt>
                <c:pt idx="679">
                  <c:v>1006.1284818570956</c:v>
                </c:pt>
                <c:pt idx="680">
                  <c:v>1009.9171737066348</c:v>
                </c:pt>
                <c:pt idx="681">
                  <c:v>1013.7027213475407</c:v>
                </c:pt>
                <c:pt idx="682">
                  <c:v>1017.4851295769014</c:v>
                </c:pt>
                <c:pt idx="683">
                  <c:v>1021.264401044237</c:v>
                </c:pt>
                <c:pt idx="684">
                  <c:v>1025.0405362654024</c:v>
                </c:pt>
                <c:pt idx="685">
                  <c:v>1028.8135336405051</c:v>
                </c:pt>
                <c:pt idx="686">
                  <c:v>1032.5833894757618</c:v>
                </c:pt>
                <c:pt idx="687">
                  <c:v>1036.3500980091742</c:v>
                </c:pt>
                <c:pt idx="688">
                  <c:v>1040.1136514398688</c:v>
                </c:pt>
                <c:pt idx="689">
                  <c:v>1043.8740399609144</c:v>
                </c:pt>
                <c:pt idx="690">
                  <c:v>1047.6312517954011</c:v>
                </c:pt>
                <c:pt idx="691">
                  <c:v>1051.3852732355369</c:v>
                </c:pt>
                <c:pt idx="692">
                  <c:v>1055.136088684503</c:v>
                </c:pt>
                <c:pt idx="693">
                  <c:v>1058.8836807007899</c:v>
                </c:pt>
                <c:pt idx="694">
                  <c:v>1062.6280300447313</c:v>
                </c:pt>
                <c:pt idx="695">
                  <c:v>1066.3691157269407</c:v>
                </c:pt>
                <c:pt idx="696">
                  <c:v>1070.1069150583635</c:v>
                </c:pt>
                <c:pt idx="697">
                  <c:v>1073.8414037016544</c:v>
                </c:pt>
                <c:pt idx="698">
                  <c:v>1077.5725557236021</c:v>
                </c:pt>
                <c:pt idx="699">
                  <c:v>1081.30034364833</c:v>
                </c:pt>
                <c:pt idx="700">
                  <c:v>1085.0247385110176</c:v>
                </c:pt>
                <c:pt idx="701">
                  <c:v>1088.7457099119038</c:v>
                </c:pt>
                <c:pt idx="702">
                  <c:v>1092.4632260703443</c:v>
                </c:pt>
                <c:pt idx="703">
                  <c:v>1096.1772538787231</c:v>
                </c:pt>
                <c:pt idx="704">
                  <c:v>1099.8877589560282</c:v>
                </c:pt>
                <c:pt idx="705">
                  <c:v>1103.594705700923</c:v>
                </c:pt>
                <c:pt idx="706">
                  <c:v>1107.2980573441696</c:v>
                </c:pt>
                <c:pt idx="707">
                  <c:v>1110.9977760002682</c:v>
                </c:pt>
                <c:pt idx="708">
                  <c:v>1114.6938227182047</c:v>
                </c:pt>
                <c:pt idx="709">
                  <c:v>1118.3861575312071</c:v>
                </c:pt>
                <c:pt idx="710">
                  <c:v>1122.0747395054359</c:v>
                </c:pt>
                <c:pt idx="711">
                  <c:v>1125.7595267875386</c:v>
                </c:pt>
                <c:pt idx="712">
                  <c:v>1129.4404766510206</c:v>
                </c:pt>
                <c:pt idx="713">
                  <c:v>1133.1175455413938</c:v>
                </c:pt>
                <c:pt idx="714">
                  <c:v>1136.7906891200719</c:v>
                </c:pt>
                <c:pt idx="715">
                  <c:v>1140.459862306999</c:v>
                </c:pt>
                <c:pt idx="716">
                  <c:v>1144.1250193220008</c:v>
                </c:pt>
                <c:pt idx="717">
                  <c:v>1147.7861137248574</c:v>
                </c:pt>
                <c:pt idx="718">
                  <c:v>1151.4430984541052</c:v>
                </c:pt>
                <c:pt idx="719">
                  <c:v>1155.0959258645778</c:v>
                </c:pt>
                <c:pt idx="720">
                  <c:v>1158.7445477637036</c:v>
                </c:pt>
                <c:pt idx="721">
                  <c:v>1162.3889154465826</c:v>
                </c:pt>
                <c:pt idx="722">
                  <c:v>1166.028979729864</c:v>
                </c:pt>
                <c:pt idx="723">
                  <c:v>1169.6646909844551</c:v>
                </c:pt>
                <c:pt idx="724">
                  <c:v>1173.2959991670873</c:v>
                </c:pt>
                <c:pt idx="725">
                  <c:v>1176.9228538507748</c:v>
                </c:pt>
                <c:pt idx="726">
                  <c:v>1180.5452042541947</c:v>
                </c:pt>
                <c:pt idx="727">
                  <c:v>1184.1629992700246</c:v>
                </c:pt>
                <c:pt idx="728">
                  <c:v>1187.7761874922696</c:v>
                </c:pt>
                <c:pt idx="729">
                  <c:v>1191.3847172426154</c:v>
                </c:pt>
                <c:pt idx="730">
                  <c:v>1194.9885365958385</c:v>
                </c:pt>
                <c:pt idx="731">
                  <c:v>1198.5875934043104</c:v>
                </c:pt>
                <c:pt idx="732">
                  <c:v>1202.181835321627</c:v>
                </c:pt>
                <c:pt idx="733">
                  <c:v>1205.7712098253983</c:v>
                </c:pt>
                <c:pt idx="734">
                  <c:v>1209.3556642392282</c:v>
                </c:pt>
                <c:pt idx="735">
                  <c:v>1212.9351457539192</c:v>
                </c:pt>
                <c:pt idx="736">
                  <c:v>1216.5096014479284</c:v>
                </c:pt>
                <c:pt idx="737">
                  <c:v>1220.0789783071093</c:v>
                </c:pt>
                <c:pt idx="738">
                  <c:v>1223.6432232437637</c:v>
                </c:pt>
                <c:pt idx="739">
                  <c:v>1227.2022831150352</c:v>
                </c:pt>
                <c:pt idx="740">
                  <c:v>1230.7561047406687</c:v>
                </c:pt>
                <c:pt idx="741">
                  <c:v>1234.3046349201622</c:v>
                </c:pt>
                <c:pt idx="742">
                  <c:v>1237.8478204493376</c:v>
                </c:pt>
                <c:pt idx="743">
                  <c:v>1241.3856081363501</c:v>
                </c:pt>
                <c:pt idx="744">
                  <c:v>1244.917944817164</c:v>
                </c:pt>
                <c:pt idx="745">
                  <c:v>1248.4447773705133</c:v>
                </c:pt>
                <c:pt idx="746">
                  <c:v>1251.966052732369</c:v>
                </c:pt>
                <c:pt idx="747">
                  <c:v>1255.4817179099327</c:v>
                </c:pt>
                <c:pt idx="748">
                  <c:v>1258.9917199951774</c:v>
                </c:pt>
                <c:pt idx="749">
                  <c:v>1262.4960061779498</c:v>
                </c:pt>
                <c:pt idx="750">
                  <c:v>1265.9945237586564</c:v>
                </c:pt>
                <c:pt idx="751">
                  <c:v>1269.4872201605458</c:v>
                </c:pt>
                <c:pt idx="752">
                  <c:v>1272.9740429416045</c:v>
                </c:pt>
                <c:pt idx="753">
                  <c:v>1276.4549398060824</c:v>
                </c:pt>
                <c:pt idx="754">
                  <c:v>1279.9298586156604</c:v>
                </c:pt>
                <c:pt idx="755">
                  <c:v>1283.3987474002736</c:v>
                </c:pt>
                <c:pt idx="756">
                  <c:v>1286.861554368606</c:v>
                </c:pt>
                <c:pt idx="757">
                  <c:v>1290.3182279182649</c:v>
                </c:pt>
                <c:pt idx="758">
                  <c:v>1293.7687166456494</c:v>
                </c:pt>
                <c:pt idx="759">
                  <c:v>1297.2129693555239</c:v>
                </c:pt>
                <c:pt idx="760">
                  <c:v>1300.6509350703059</c:v>
                </c:pt>
                <c:pt idx="761">
                  <c:v>1304.0825630390793</c:v>
                </c:pt>
                <c:pt idx="762">
                  <c:v>1307.5078027463435</c:v>
                </c:pt>
                <c:pt idx="763">
                  <c:v>1310.926603920504</c:v>
                </c:pt>
                <c:pt idx="764">
                  <c:v>1314.3389165421183</c:v>
                </c:pt>
                <c:pt idx="765">
                  <c:v>1317.7446908519003</c:v>
                </c:pt>
                <c:pt idx="766">
                  <c:v>1321.1438773584944</c:v>
                </c:pt>
                <c:pt idx="767">
                  <c:v>1324.536426846026</c:v>
                </c:pt>
                <c:pt idx="768">
                  <c:v>1327.9222903814341</c:v>
                </c:pt>
                <c:pt idx="769">
                  <c:v>1331.301419321594</c:v>
                </c:pt>
                <c:pt idx="770">
                  <c:v>1334.6737653202372</c:v>
                </c:pt>
                <c:pt idx="771">
                  <c:v>1338.0392803346722</c:v>
                </c:pt>
                <c:pt idx="772">
                  <c:v>1341.3979166323147</c:v>
                </c:pt>
                <c:pt idx="773">
                  <c:v>1344.7496267970309</c:v>
                </c:pt>
                <c:pt idx="774">
                  <c:v>1348.0943637352998</c:v>
                </c:pt>
                <c:pt idx="775">
                  <c:v>1351.4320806821991</c:v>
                </c:pt>
                <c:pt idx="776">
                  <c:v>1354.7627312072204</c:v>
                </c:pt>
                <c:pt idx="777">
                  <c:v>1358.0862692199184</c:v>
                </c:pt>
                <c:pt idx="778">
                  <c:v>1361.4026489753951</c:v>
                </c:pt>
                <c:pt idx="779">
                  <c:v>1364.7118250796286</c:v>
                </c:pt>
                <c:pt idx="780">
                  <c:v>1368.0137524946458</c:v>
                </c:pt>
                <c:pt idx="781">
                  <c:v>1371.3083865435451</c:v>
                </c:pt>
                <c:pt idx="782">
                  <c:v>1374.5956829153724</c:v>
                </c:pt>
                <c:pt idx="783">
                  <c:v>1377.8755976698531</c:v>
                </c:pt>
                <c:pt idx="784">
                  <c:v>1381.1480872419834</c:v>
                </c:pt>
                <c:pt idx="785">
                  <c:v>1384.4131084464855</c:v>
                </c:pt>
                <c:pt idx="786">
                  <c:v>1387.6706184821278</c:v>
                </c:pt>
                <c:pt idx="787">
                  <c:v>1390.9205749359141</c:v>
                </c:pt>
                <c:pt idx="788">
                  <c:v>1394.1629357871443</c:v>
                </c:pt>
                <c:pt idx="789">
                  <c:v>1397.3976594113483</c:v>
                </c:pt>
                <c:pt idx="790">
                  <c:v>1400.6247045840976</c:v>
                </c:pt>
                <c:pt idx="791">
                  <c:v>1403.8440304846952</c:v>
                </c:pt>
                <c:pt idx="792">
                  <c:v>1407.0555966997467</c:v>
                </c:pt>
                <c:pt idx="793">
                  <c:v>1410.2593632266151</c:v>
                </c:pt>
                <c:pt idx="794">
                  <c:v>1413.4552904767609</c:v>
                </c:pt>
                <c:pt idx="795">
                  <c:v>1416.6433392789697</c:v>
                </c:pt>
                <c:pt idx="796">
                  <c:v>1419.8234708824702</c:v>
                </c:pt>
                <c:pt idx="797">
                  <c:v>1422.9956469599424</c:v>
                </c:pt>
                <c:pt idx="798">
                  <c:v>1426.1598296104198</c:v>
                </c:pt>
                <c:pt idx="799">
                  <c:v>1429.3159813620866</c:v>
                </c:pt>
                <c:pt idx="800">
                  <c:v>1432.4640651749714</c:v>
                </c:pt>
                <c:pt idx="801">
                  <c:v>1435.6040444435391</c:v>
                </c:pt>
                <c:pt idx="802">
                  <c:v>1438.7358829991831</c:v>
                </c:pt>
                <c:pt idx="803">
                  <c:v>1441.8595451126184</c:v>
                </c:pt>
                <c:pt idx="804">
                  <c:v>1444.9749954961781</c:v>
                </c:pt>
                <c:pt idx="805">
                  <c:v>1448.0821993060129</c:v>
                </c:pt>
                <c:pt idx="806">
                  <c:v>1451.1811221441985</c:v>
                </c:pt>
                <c:pt idx="807">
                  <c:v>1454.271730060748</c:v>
                </c:pt>
                <c:pt idx="808">
                  <c:v>1457.3539895555334</c:v>
                </c:pt>
                <c:pt idx="809">
                  <c:v>1460.4278675801161</c:v>
                </c:pt>
                <c:pt idx="810">
                  <c:v>1463.4933315394887</c:v>
                </c:pt>
                <c:pt idx="811">
                  <c:v>1466.5503492937291</c:v>
                </c:pt>
                <c:pt idx="812">
                  <c:v>1469.5988891595662</c:v>
                </c:pt>
                <c:pt idx="813">
                  <c:v>1472.638919911861</c:v>
                </c:pt>
                <c:pt idx="814">
                  <c:v>1475.6704107850032</c:v>
                </c:pt>
                <c:pt idx="815">
                  <c:v>1478.6933314742232</c:v>
                </c:pt>
                <c:pt idx="816">
                  <c:v>1481.7076521368222</c:v>
                </c:pt>
                <c:pt idx="817">
                  <c:v>1484.71334339332</c:v>
                </c:pt>
                <c:pt idx="818">
                  <c:v>1487.7103763285238</c:v>
                </c:pt>
                <c:pt idx="819">
                  <c:v>1490.6987224925158</c:v>
                </c:pt>
                <c:pt idx="820">
                  <c:v>1493.6783539015626</c:v>
                </c:pt>
                <c:pt idx="821">
                  <c:v>1496.6492430389474</c:v>
                </c:pt>
                <c:pt idx="822">
                  <c:v>1499.6113628557252</c:v>
                </c:pt>
                <c:pt idx="823">
                  <c:v>1502.5646867714024</c:v>
                </c:pt>
                <c:pt idx="824">
                  <c:v>1505.5091886745408</c:v>
                </c:pt>
                <c:pt idx="825">
                  <c:v>1508.4448429232884</c:v>
                </c:pt>
                <c:pt idx="826">
                  <c:v>1511.3716243458362</c:v>
                </c:pt>
                <c:pt idx="827">
                  <c:v>1514.2895082408031</c:v>
                </c:pt>
                <c:pt idx="828">
                  <c:v>1517.1984703775502</c:v>
                </c:pt>
                <c:pt idx="829">
                  <c:v>1520.0984869964227</c:v>
                </c:pt>
                <c:pt idx="830">
                  <c:v>1522.9895348089231</c:v>
                </c:pt>
                <c:pt idx="831">
                  <c:v>1525.8715909978157</c:v>
                </c:pt>
                <c:pt idx="832">
                  <c:v>1528.7446332171621</c:v>
                </c:pt>
                <c:pt idx="833">
                  <c:v>1531.6086395922896</c:v>
                </c:pt>
                <c:pt idx="834">
                  <c:v>1534.4635887196939</c:v>
                </c:pt>
                <c:pt idx="835">
                  <c:v>1537.3094596668745</c:v>
                </c:pt>
                <c:pt idx="836">
                  <c:v>1540.1462319721063</c:v>
                </c:pt>
                <c:pt idx="837">
                  <c:v>1542.9738856441465</c:v>
                </c:pt>
                <c:pt idx="838">
                  <c:v>1545.7924011618786</c:v>
                </c:pt>
                <c:pt idx="839">
                  <c:v>1548.6017594738926</c:v>
                </c:pt>
                <c:pt idx="840">
                  <c:v>1551.4019419980043</c:v>
                </c:pt>
                <c:pt idx="841">
                  <c:v>1554.1929306207137</c:v>
                </c:pt>
                <c:pt idx="842">
                  <c:v>1556.9747076966019</c:v>
                </c:pt>
                <c:pt idx="843">
                  <c:v>1559.7472560476688</c:v>
                </c:pt>
                <c:pt idx="844">
                  <c:v>1562.5105589626128</c:v>
                </c:pt>
                <c:pt idx="845">
                  <c:v>1565.2646001960513</c:v>
                </c:pt>
                <c:pt idx="846">
                  <c:v>1568.0093639676843</c:v>
                </c:pt>
                <c:pt idx="847">
                  <c:v>1570.7448349614008</c:v>
                </c:pt>
                <c:pt idx="848">
                  <c:v>1573.4709983243301</c:v>
                </c:pt>
                <c:pt idx="849">
                  <c:v>1576.1878396658378</c:v>
                </c:pt>
                <c:pt idx="850">
                  <c:v>1578.895345056467</c:v>
                </c:pt>
                <c:pt idx="851">
                  <c:v>1581.5935010268256</c:v>
                </c:pt>
                <c:pt idx="852">
                  <c:v>1584.2822945664216</c:v>
                </c:pt>
                <c:pt idx="853">
                  <c:v>1586.9617131224454</c:v>
                </c:pt>
                <c:pt idx="854">
                  <c:v>1589.6317445985007</c:v>
                </c:pt>
                <c:pt idx="855">
                  <c:v>1592.292377353285</c:v>
                </c:pt>
                <c:pt idx="856">
                  <c:v>1594.9436001992194</c:v>
                </c:pt>
                <c:pt idx="857">
                  <c:v>1597.58540240103</c:v>
                </c:pt>
                <c:pt idx="858">
                  <c:v>1600.2177736742804</c:v>
                </c:pt>
                <c:pt idx="859">
                  <c:v>1602.8407041838555</c:v>
                </c:pt>
                <c:pt idx="860">
                  <c:v>1605.4541845423998</c:v>
                </c:pt>
                <c:pt idx="861">
                  <c:v>1608.0582058087082</c:v>
                </c:pt>
                <c:pt idx="862">
                  <c:v>1610.6527594860709</c:v>
                </c:pt>
                <c:pt idx="863">
                  <c:v>1613.237837520574</c:v>
                </c:pt>
                <c:pt idx="864">
                  <c:v>1615.8134322993562</c:v>
                </c:pt>
                <c:pt idx="865">
                  <c:v>1618.3795366488214</c:v>
                </c:pt>
                <c:pt idx="866">
                  <c:v>1620.9361438328081</c:v>
                </c:pt>
                <c:pt idx="867">
                  <c:v>1623.483247550718</c:v>
                </c:pt>
                <c:pt idx="868">
                  <c:v>1626.0208419356024</c:v>
                </c:pt>
                <c:pt idx="869">
                  <c:v>1628.548921552208</c:v>
                </c:pt>
                <c:pt idx="870">
                  <c:v>1631.0674813949829</c:v>
                </c:pt>
                <c:pt idx="871">
                  <c:v>1633.5765168860444</c:v>
                </c:pt>
                <c:pt idx="872">
                  <c:v>1636.0760238731064</c:v>
                </c:pt>
                <c:pt idx="873">
                  <c:v>1638.5659986273708</c:v>
                </c:pt>
                <c:pt idx="874">
                  <c:v>1641.0464378413817</c:v>
                </c:pt>
                <c:pt idx="875">
                  <c:v>1643.5173386268416</c:v>
                </c:pt>
                <c:pt idx="876">
                  <c:v>1645.9786985123944</c:v>
                </c:pt>
                <c:pt idx="877">
                  <c:v>1648.4305154413721</c:v>
                </c:pt>
                <c:pt idx="878">
                  <c:v>1650.8727877695078</c:v>
                </c:pt>
                <c:pt idx="879">
                  <c:v>1653.3055142626145</c:v>
                </c:pt>
                <c:pt idx="880">
                  <c:v>1655.7286940942327</c:v>
                </c:pt>
                <c:pt idx="881">
                  <c:v>1658.1423268432443</c:v>
                </c:pt>
                <c:pt idx="882">
                  <c:v>1660.5464124914567</c:v>
                </c:pt>
                <c:pt idx="883">
                  <c:v>1662.9409514211548</c:v>
                </c:pt>
                <c:pt idx="884">
                  <c:v>1665.325944412624</c:v>
                </c:pt>
                <c:pt idx="885">
                  <c:v>1667.7013926416444</c:v>
                </c:pt>
                <c:pt idx="886">
                  <c:v>1670.0672976769547</c:v>
                </c:pt>
                <c:pt idx="887">
                  <c:v>1672.423661477691</c:v>
                </c:pt>
                <c:pt idx="888">
                  <c:v>1674.7704863907959</c:v>
                </c:pt>
                <c:pt idx="889">
                  <c:v>1677.1077751484022</c:v>
                </c:pt>
                <c:pt idx="890">
                  <c:v>1679.4355308651914</c:v>
                </c:pt>
                <c:pt idx="891">
                  <c:v>1681.7537570357267</c:v>
                </c:pt>
                <c:pt idx="892">
                  <c:v>1684.0624575317611</c:v>
                </c:pt>
                <c:pt idx="893">
                  <c:v>1686.3616365995224</c:v>
                </c:pt>
                <c:pt idx="894">
                  <c:v>1688.6512988569759</c:v>
                </c:pt>
                <c:pt idx="895">
                  <c:v>1690.9314492910628</c:v>
                </c:pt>
                <c:pt idx="896">
                  <c:v>1693.2020932549192</c:v>
                </c:pt>
                <c:pt idx="897">
                  <c:v>1695.4632364650724</c:v>
                </c:pt>
                <c:pt idx="898">
                  <c:v>1697.7148849986181</c:v>
                </c:pt>
                <c:pt idx="899">
                  <c:v>1699.957045290377</c:v>
                </c:pt>
                <c:pt idx="900">
                  <c:v>1702.189724130033</c:v>
                </c:pt>
                <c:pt idx="901">
                  <c:v>1704.4129286592536</c:v>
                </c:pt>
                <c:pt idx="902">
                  <c:v>1706.6266663687909</c:v>
                </c:pt>
                <c:pt idx="903">
                  <c:v>1708.8309450955674</c:v>
                </c:pt>
                <c:pt idx="904">
                  <c:v>1711.0257730197445</c:v>
                </c:pt>
                <c:pt idx="905">
                  <c:v>1713.2111586617762</c:v>
                </c:pt>
                <c:pt idx="906">
                  <c:v>1715.3871108794456</c:v>
                </c:pt>
                <c:pt idx="907">
                  <c:v>1717.5536388648898</c:v>
                </c:pt>
                <c:pt idx="908">
                  <c:v>1719.7107521416087</c:v>
                </c:pt>
                <c:pt idx="909">
                  <c:v>1721.8584605614624</c:v>
                </c:pt>
                <c:pt idx="910">
                  <c:v>1723.9967743016541</c:v>
                </c:pt>
                <c:pt idx="911">
                  <c:v>1726.1257038617027</c:v>
                </c:pt>
                <c:pt idx="912">
                  <c:v>1728.2452600604038</c:v>
                </c:pt>
                <c:pt idx="913">
                  <c:v>1730.3554540327789</c:v>
                </c:pt>
                <c:pt idx="914">
                  <c:v>1732.4562972270157</c:v>
                </c:pt>
                <c:pt idx="915">
                  <c:v>1734.5478014013988</c:v>
                </c:pt>
                <c:pt idx="916">
                  <c:v>1736.6299786212303</c:v>
                </c:pt>
                <c:pt idx="917">
                  <c:v>1738.7028412557436</c:v>
                </c:pt>
                <c:pt idx="918">
                  <c:v>1740.7664019750084</c:v>
                </c:pt>
                <c:pt idx="919">
                  <c:v>1742.8206737468297</c:v>
                </c:pt>
                <c:pt idx="920">
                  <c:v>1744.8656698336381</c:v>
                </c:pt>
                <c:pt idx="921">
                  <c:v>1746.9014037893767</c:v>
                </c:pt>
                <c:pt idx="922">
                  <c:v>1748.9278894563802</c:v>
                </c:pt>
                <c:pt idx="923">
                  <c:v>1750.9451409622511</c:v>
                </c:pt>
                <c:pt idx="924">
                  <c:v>1752.9531727167305</c:v>
                </c:pt>
                <c:pt idx="925">
                  <c:v>1754.9519994085645</c:v>
                </c:pt>
                <c:pt idx="926">
                  <c:v>1756.941636002369</c:v>
                </c:pt>
                <c:pt idx="927">
                  <c:v>1758.9220977354905</c:v>
                </c:pt>
                <c:pt idx="928">
                  <c:v>1760.893400114865</c:v>
                </c:pt>
                <c:pt idx="929">
                  <c:v>1762.8555589138755</c:v>
                </c:pt>
                <c:pt idx="930">
                  <c:v>1764.8085901692084</c:v>
                </c:pt>
                <c:pt idx="931">
                  <c:v>1766.7525101777089</c:v>
                </c:pt>
                <c:pt idx="932">
                  <c:v>1768.6873354932363</c:v>
                </c:pt>
                <c:pt idx="933">
                  <c:v>1770.6130829235206</c:v>
                </c:pt>
                <c:pt idx="934">
                  <c:v>1772.5297695270178</c:v>
                </c:pt>
                <c:pt idx="935">
                  <c:v>1774.43741260977</c:v>
                </c:pt>
                <c:pt idx="936">
                  <c:v>1776.3360297222632</c:v>
                </c:pt>
                <c:pt idx="937">
                  <c:v>1778.2256386562913</c:v>
                </c:pt>
                <c:pt idx="938">
                  <c:v>1780.1062574418202</c:v>
                </c:pt>
                <c:pt idx="939">
                  <c:v>1781.9779043438564</c:v>
                </c:pt>
                <c:pt idx="940">
                  <c:v>1783.8405978593189</c:v>
                </c:pt>
                <c:pt idx="941">
                  <c:v>1785.6943567139158</c:v>
                </c:pt>
                <c:pt idx="942">
                  <c:v>1787.5391998590244</c:v>
                </c:pt>
                <c:pt idx="943">
                  <c:v>1789.3751464685777</c:v>
                </c:pt>
                <c:pt idx="944">
                  <c:v>1789.3751464685777</c:v>
                </c:pt>
                <c:pt idx="945">
                  <c:v>1789.3751464685777</c:v>
                </c:pt>
                <c:pt idx="946">
                  <c:v>1789.3751464685777</c:v>
                </c:pt>
                <c:pt idx="947">
                  <c:v>1789.3751464685777</c:v>
                </c:pt>
                <c:pt idx="948">
                  <c:v>1789.3751464685777</c:v>
                </c:pt>
                <c:pt idx="949">
                  <c:v>1789.3751464685777</c:v>
                </c:pt>
                <c:pt idx="950">
                  <c:v>1789.3751464685777</c:v>
                </c:pt>
                <c:pt idx="951">
                  <c:v>1789.3751464685777</c:v>
                </c:pt>
                <c:pt idx="952">
                  <c:v>1789.3751464685777</c:v>
                </c:pt>
                <c:pt idx="953">
                  <c:v>1789.3751464685777</c:v>
                </c:pt>
                <c:pt idx="954">
                  <c:v>1789.3751464685777</c:v>
                </c:pt>
                <c:pt idx="955">
                  <c:v>1789.3751464685777</c:v>
                </c:pt>
                <c:pt idx="956">
                  <c:v>1789.3751464685777</c:v>
                </c:pt>
                <c:pt idx="957">
                  <c:v>1789.3751464685777</c:v>
                </c:pt>
                <c:pt idx="958">
                  <c:v>1789.3751464685777</c:v>
                </c:pt>
                <c:pt idx="959">
                  <c:v>1789.3751464685777</c:v>
                </c:pt>
                <c:pt idx="960">
                  <c:v>1789.3751464685777</c:v>
                </c:pt>
                <c:pt idx="961">
                  <c:v>1789.3751464685777</c:v>
                </c:pt>
                <c:pt idx="962">
                  <c:v>1789.3751464685777</c:v>
                </c:pt>
                <c:pt idx="963">
                  <c:v>1789.3751464685777</c:v>
                </c:pt>
                <c:pt idx="964">
                  <c:v>1789.3751464685777</c:v>
                </c:pt>
                <c:pt idx="965">
                  <c:v>1789.3751464685777</c:v>
                </c:pt>
                <c:pt idx="966">
                  <c:v>1789.3751464685777</c:v>
                </c:pt>
                <c:pt idx="967">
                  <c:v>1789.3751464685777</c:v>
                </c:pt>
                <c:pt idx="968">
                  <c:v>1789.3751464685777</c:v>
                </c:pt>
                <c:pt idx="969">
                  <c:v>1789.3751464685777</c:v>
                </c:pt>
                <c:pt idx="970">
                  <c:v>1789.3751464685777</c:v>
                </c:pt>
                <c:pt idx="971">
                  <c:v>1789.3751464685777</c:v>
                </c:pt>
                <c:pt idx="972">
                  <c:v>1789.3751464685777</c:v>
                </c:pt>
                <c:pt idx="973">
                  <c:v>1789.3751464685777</c:v>
                </c:pt>
                <c:pt idx="974">
                  <c:v>1789.3751464685777</c:v>
                </c:pt>
                <c:pt idx="975">
                  <c:v>1789.3751464685777</c:v>
                </c:pt>
                <c:pt idx="976">
                  <c:v>1789.3751464685777</c:v>
                </c:pt>
                <c:pt idx="977">
                  <c:v>1789.3751464685777</c:v>
                </c:pt>
                <c:pt idx="978">
                  <c:v>1789.3751464685777</c:v>
                </c:pt>
                <c:pt idx="979">
                  <c:v>1789.3751464685777</c:v>
                </c:pt>
                <c:pt idx="980">
                  <c:v>1789.3751464685777</c:v>
                </c:pt>
                <c:pt idx="981">
                  <c:v>1789.3751464685777</c:v>
                </c:pt>
                <c:pt idx="982">
                  <c:v>1789.3751464685777</c:v>
                </c:pt>
                <c:pt idx="983">
                  <c:v>1789.3751464685777</c:v>
                </c:pt>
                <c:pt idx="984">
                  <c:v>1789.3751464685777</c:v>
                </c:pt>
                <c:pt idx="985">
                  <c:v>1789.3751464685777</c:v>
                </c:pt>
                <c:pt idx="986">
                  <c:v>1789.3751464685777</c:v>
                </c:pt>
                <c:pt idx="987">
                  <c:v>1789.3751464685777</c:v>
                </c:pt>
                <c:pt idx="988">
                  <c:v>1789.3751464685777</c:v>
                </c:pt>
                <c:pt idx="989">
                  <c:v>1789.3751464685777</c:v>
                </c:pt>
                <c:pt idx="990">
                  <c:v>1789.3751464685777</c:v>
                </c:pt>
                <c:pt idx="991">
                  <c:v>1789.3751464685777</c:v>
                </c:pt>
                <c:pt idx="992">
                  <c:v>1789.3751464685777</c:v>
                </c:pt>
                <c:pt idx="993">
                  <c:v>1789.3751464685777</c:v>
                </c:pt>
                <c:pt idx="994">
                  <c:v>1789.3751464685777</c:v>
                </c:pt>
                <c:pt idx="995">
                  <c:v>1789.3751464685777</c:v>
                </c:pt>
                <c:pt idx="996">
                  <c:v>1789.3751464685777</c:v>
                </c:pt>
                <c:pt idx="997">
                  <c:v>1789.3751464685777</c:v>
                </c:pt>
                <c:pt idx="998">
                  <c:v>1789.3751464685777</c:v>
                </c:pt>
                <c:pt idx="999">
                  <c:v>1789.3751464685777</c:v>
                </c:pt>
                <c:pt idx="1000">
                  <c:v>1789.3751464685777</c:v>
                </c:pt>
              </c:numCache>
            </c:numRef>
          </c:yVal>
          <c:smooth val="0"/>
          <c:extLst>
            <c:ext xmlns:c16="http://schemas.microsoft.com/office/drawing/2014/chart" uri="{C3380CC4-5D6E-409C-BE32-E72D297353CC}">
              <c16:uniqueId val="{00000000-8016-4DF9-AB17-EDCEE1754333}"/>
            </c:ext>
          </c:extLst>
        </c:ser>
        <c:ser>
          <c:idx val="1"/>
          <c:order val="1"/>
          <c:tx>
            <c:strRef>
              <c:f>Courbes!$B$143</c:f>
              <c:strCache>
                <c:ptCount val="1"/>
                <c:pt idx="0">
                  <c:v>Altitude</c:v>
                </c:pt>
              </c:strCache>
            </c:strRef>
          </c:tx>
          <c:spPr>
            <a:ln w="12700">
              <a:solidFill>
                <a:srgbClr val="00008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2.0100000000000011</c:v>
                </c:pt>
                <c:pt idx="202">
                  <c:v>2.0200000000000009</c:v>
                </c:pt>
                <c:pt idx="203">
                  <c:v>2.0300000000000007</c:v>
                </c:pt>
                <c:pt idx="204">
                  <c:v>2.0400000000000005</c:v>
                </c:pt>
                <c:pt idx="205">
                  <c:v>2.0500000000000003</c:v>
                </c:pt>
                <c:pt idx="206">
                  <c:v>2.06</c:v>
                </c:pt>
                <c:pt idx="207">
                  <c:v>2.0699999999999998</c:v>
                </c:pt>
                <c:pt idx="208">
                  <c:v>2.0799999999999996</c:v>
                </c:pt>
                <c:pt idx="209">
                  <c:v>2.0899999999999994</c:v>
                </c:pt>
                <c:pt idx="210">
                  <c:v>2.0999999999999992</c:v>
                </c:pt>
                <c:pt idx="211">
                  <c:v>2.109999999999999</c:v>
                </c:pt>
                <c:pt idx="212">
                  <c:v>2.1199999999999988</c:v>
                </c:pt>
                <c:pt idx="213">
                  <c:v>2.1299999999999986</c:v>
                </c:pt>
                <c:pt idx="214">
                  <c:v>2.1399999999999983</c:v>
                </c:pt>
                <c:pt idx="215">
                  <c:v>2.1499999999999981</c:v>
                </c:pt>
                <c:pt idx="216">
                  <c:v>2.1599999999999979</c:v>
                </c:pt>
                <c:pt idx="217">
                  <c:v>2.1699999999999977</c:v>
                </c:pt>
                <c:pt idx="218">
                  <c:v>2.1799999999999975</c:v>
                </c:pt>
                <c:pt idx="219">
                  <c:v>2.1899999999999973</c:v>
                </c:pt>
                <c:pt idx="220">
                  <c:v>2.1999999999999971</c:v>
                </c:pt>
                <c:pt idx="221">
                  <c:v>2.2099999999999969</c:v>
                </c:pt>
                <c:pt idx="222">
                  <c:v>2.2199999999999966</c:v>
                </c:pt>
                <c:pt idx="223">
                  <c:v>2.2299999999999964</c:v>
                </c:pt>
                <c:pt idx="224">
                  <c:v>2.2399999999999962</c:v>
                </c:pt>
                <c:pt idx="225">
                  <c:v>2.249999999999996</c:v>
                </c:pt>
                <c:pt idx="226">
                  <c:v>2.2599999999999958</c:v>
                </c:pt>
                <c:pt idx="227">
                  <c:v>2.2699999999999956</c:v>
                </c:pt>
                <c:pt idx="228">
                  <c:v>2.2799999999999954</c:v>
                </c:pt>
                <c:pt idx="229">
                  <c:v>2.2899999999999952</c:v>
                </c:pt>
                <c:pt idx="230">
                  <c:v>2.2999999999999949</c:v>
                </c:pt>
                <c:pt idx="231">
                  <c:v>2.3099999999999947</c:v>
                </c:pt>
                <c:pt idx="232">
                  <c:v>2.3199999999999945</c:v>
                </c:pt>
                <c:pt idx="233">
                  <c:v>2.3299999999999943</c:v>
                </c:pt>
                <c:pt idx="234">
                  <c:v>2.3399999999999941</c:v>
                </c:pt>
                <c:pt idx="235">
                  <c:v>2.3499999999999939</c:v>
                </c:pt>
                <c:pt idx="236">
                  <c:v>2.3599999999999937</c:v>
                </c:pt>
                <c:pt idx="237">
                  <c:v>2.3699999999999934</c:v>
                </c:pt>
                <c:pt idx="238">
                  <c:v>2.3799999999999932</c:v>
                </c:pt>
                <c:pt idx="239">
                  <c:v>2.389999999999993</c:v>
                </c:pt>
                <c:pt idx="240">
                  <c:v>2.3999999999999928</c:v>
                </c:pt>
                <c:pt idx="241">
                  <c:v>2.4099999999999926</c:v>
                </c:pt>
                <c:pt idx="242">
                  <c:v>2.4199999999999924</c:v>
                </c:pt>
                <c:pt idx="243">
                  <c:v>2.4299999999999922</c:v>
                </c:pt>
                <c:pt idx="244">
                  <c:v>2.439999999999992</c:v>
                </c:pt>
                <c:pt idx="245">
                  <c:v>2.4499999999999917</c:v>
                </c:pt>
                <c:pt idx="246">
                  <c:v>2.4599999999999915</c:v>
                </c:pt>
                <c:pt idx="247">
                  <c:v>2.4699999999999913</c:v>
                </c:pt>
                <c:pt idx="248">
                  <c:v>2.4799999999999911</c:v>
                </c:pt>
                <c:pt idx="249">
                  <c:v>2.4899999999999909</c:v>
                </c:pt>
                <c:pt idx="250">
                  <c:v>2.4999999999999907</c:v>
                </c:pt>
                <c:pt idx="251">
                  <c:v>2.5099999999999905</c:v>
                </c:pt>
                <c:pt idx="252">
                  <c:v>2.5199999999999902</c:v>
                </c:pt>
                <c:pt idx="253">
                  <c:v>2.52999999999999</c:v>
                </c:pt>
                <c:pt idx="254">
                  <c:v>2.5399999999999898</c:v>
                </c:pt>
                <c:pt idx="255">
                  <c:v>2.5499999999999896</c:v>
                </c:pt>
                <c:pt idx="256">
                  <c:v>2.5599999999999894</c:v>
                </c:pt>
                <c:pt idx="257">
                  <c:v>2.5699999999999892</c:v>
                </c:pt>
                <c:pt idx="258">
                  <c:v>2.579999999999989</c:v>
                </c:pt>
                <c:pt idx="259">
                  <c:v>2.5899999999999888</c:v>
                </c:pt>
                <c:pt idx="260">
                  <c:v>2.5999999999999885</c:v>
                </c:pt>
                <c:pt idx="261">
                  <c:v>2.6099999999999883</c:v>
                </c:pt>
                <c:pt idx="262">
                  <c:v>2.6199999999999881</c:v>
                </c:pt>
                <c:pt idx="263">
                  <c:v>2.6299999999999879</c:v>
                </c:pt>
                <c:pt idx="264">
                  <c:v>2.6399999999999877</c:v>
                </c:pt>
                <c:pt idx="265">
                  <c:v>2.6499999999999875</c:v>
                </c:pt>
                <c:pt idx="266">
                  <c:v>2.6599999999999873</c:v>
                </c:pt>
                <c:pt idx="267">
                  <c:v>2.6699999999999871</c:v>
                </c:pt>
                <c:pt idx="268">
                  <c:v>2.6799999999999868</c:v>
                </c:pt>
                <c:pt idx="269">
                  <c:v>2.6899999999999866</c:v>
                </c:pt>
                <c:pt idx="270">
                  <c:v>2.6999999999999864</c:v>
                </c:pt>
                <c:pt idx="271">
                  <c:v>2.7099999999999862</c:v>
                </c:pt>
                <c:pt idx="272">
                  <c:v>2.719999999999986</c:v>
                </c:pt>
                <c:pt idx="273">
                  <c:v>2.7299999999999858</c:v>
                </c:pt>
                <c:pt idx="274">
                  <c:v>2.7399999999999856</c:v>
                </c:pt>
                <c:pt idx="275">
                  <c:v>2.7499999999999853</c:v>
                </c:pt>
                <c:pt idx="276">
                  <c:v>2.7599999999999851</c:v>
                </c:pt>
                <c:pt idx="277">
                  <c:v>2.7699999999999849</c:v>
                </c:pt>
                <c:pt idx="278">
                  <c:v>2.7799999999999847</c:v>
                </c:pt>
                <c:pt idx="279">
                  <c:v>2.7899999999999845</c:v>
                </c:pt>
                <c:pt idx="280">
                  <c:v>2.7999999999999843</c:v>
                </c:pt>
                <c:pt idx="281">
                  <c:v>2.8099999999999841</c:v>
                </c:pt>
                <c:pt idx="282">
                  <c:v>2.8199999999999839</c:v>
                </c:pt>
                <c:pt idx="283">
                  <c:v>2.8299999999999836</c:v>
                </c:pt>
                <c:pt idx="284">
                  <c:v>2.8399999999999834</c:v>
                </c:pt>
                <c:pt idx="285">
                  <c:v>2.8499999999999832</c:v>
                </c:pt>
                <c:pt idx="286">
                  <c:v>2.859999999999983</c:v>
                </c:pt>
                <c:pt idx="287">
                  <c:v>2.8699999999999828</c:v>
                </c:pt>
                <c:pt idx="288">
                  <c:v>2.8799999999999826</c:v>
                </c:pt>
                <c:pt idx="289">
                  <c:v>2.8899999999999824</c:v>
                </c:pt>
                <c:pt idx="290">
                  <c:v>2.8999999999999821</c:v>
                </c:pt>
                <c:pt idx="291">
                  <c:v>2.9099999999999819</c:v>
                </c:pt>
                <c:pt idx="292">
                  <c:v>2.9199999999999817</c:v>
                </c:pt>
                <c:pt idx="293">
                  <c:v>2.9299999999999815</c:v>
                </c:pt>
                <c:pt idx="294">
                  <c:v>2.9399999999999813</c:v>
                </c:pt>
                <c:pt idx="295">
                  <c:v>2.9499999999999811</c:v>
                </c:pt>
                <c:pt idx="296">
                  <c:v>2.9599999999999809</c:v>
                </c:pt>
                <c:pt idx="297">
                  <c:v>2.9699999999999807</c:v>
                </c:pt>
                <c:pt idx="298">
                  <c:v>2.9799999999999804</c:v>
                </c:pt>
                <c:pt idx="299">
                  <c:v>2.9899999999999802</c:v>
                </c:pt>
                <c:pt idx="300">
                  <c:v>2.99999999999998</c:v>
                </c:pt>
                <c:pt idx="301">
                  <c:v>3.0099999999999798</c:v>
                </c:pt>
                <c:pt idx="302">
                  <c:v>3.0199999999999796</c:v>
                </c:pt>
                <c:pt idx="303">
                  <c:v>3.0299999999999794</c:v>
                </c:pt>
                <c:pt idx="304">
                  <c:v>3.0399999999999792</c:v>
                </c:pt>
                <c:pt idx="305">
                  <c:v>3.049999999999979</c:v>
                </c:pt>
                <c:pt idx="306">
                  <c:v>3.0599999999999787</c:v>
                </c:pt>
                <c:pt idx="307">
                  <c:v>3.0699999999999785</c:v>
                </c:pt>
                <c:pt idx="308">
                  <c:v>3.0799999999999783</c:v>
                </c:pt>
                <c:pt idx="309">
                  <c:v>3.0899999999999781</c:v>
                </c:pt>
                <c:pt idx="310">
                  <c:v>3.0999999999999779</c:v>
                </c:pt>
                <c:pt idx="311">
                  <c:v>3.1099999999999777</c:v>
                </c:pt>
                <c:pt idx="312">
                  <c:v>3.1199999999999775</c:v>
                </c:pt>
                <c:pt idx="313">
                  <c:v>3.1299999999999772</c:v>
                </c:pt>
                <c:pt idx="314">
                  <c:v>3.139999999999977</c:v>
                </c:pt>
                <c:pt idx="315">
                  <c:v>3.1499999999999768</c:v>
                </c:pt>
                <c:pt idx="316">
                  <c:v>3.1599999999999766</c:v>
                </c:pt>
                <c:pt idx="317">
                  <c:v>3.1699999999999764</c:v>
                </c:pt>
                <c:pt idx="318">
                  <c:v>3.1799999999999762</c:v>
                </c:pt>
                <c:pt idx="319">
                  <c:v>3.189999999999976</c:v>
                </c:pt>
                <c:pt idx="320">
                  <c:v>3.1999999999999758</c:v>
                </c:pt>
                <c:pt idx="321">
                  <c:v>3.2099999999999755</c:v>
                </c:pt>
                <c:pt idx="322">
                  <c:v>3.2199999999999753</c:v>
                </c:pt>
                <c:pt idx="323">
                  <c:v>3.2299999999999751</c:v>
                </c:pt>
                <c:pt idx="324">
                  <c:v>3.2399999999999749</c:v>
                </c:pt>
                <c:pt idx="325">
                  <c:v>3.2499999999999747</c:v>
                </c:pt>
                <c:pt idx="326">
                  <c:v>3.2599999999999745</c:v>
                </c:pt>
                <c:pt idx="327">
                  <c:v>3.2699999999999743</c:v>
                </c:pt>
                <c:pt idx="328">
                  <c:v>3.279999999999974</c:v>
                </c:pt>
                <c:pt idx="329">
                  <c:v>3.2899999999999738</c:v>
                </c:pt>
                <c:pt idx="330">
                  <c:v>3.2999999999999736</c:v>
                </c:pt>
                <c:pt idx="331">
                  <c:v>3.3099999999999734</c:v>
                </c:pt>
                <c:pt idx="332">
                  <c:v>3.3199999999999732</c:v>
                </c:pt>
                <c:pt idx="333">
                  <c:v>3.329999999999973</c:v>
                </c:pt>
                <c:pt idx="334">
                  <c:v>3.3399999999999728</c:v>
                </c:pt>
                <c:pt idx="335">
                  <c:v>3.3499999999999726</c:v>
                </c:pt>
                <c:pt idx="336">
                  <c:v>3.3599999999999723</c:v>
                </c:pt>
                <c:pt idx="337">
                  <c:v>3.3699999999999721</c:v>
                </c:pt>
                <c:pt idx="338">
                  <c:v>3.3799999999999719</c:v>
                </c:pt>
                <c:pt idx="339">
                  <c:v>3.3899999999999717</c:v>
                </c:pt>
                <c:pt idx="340">
                  <c:v>3.3999999999999715</c:v>
                </c:pt>
                <c:pt idx="341">
                  <c:v>3.4099999999999713</c:v>
                </c:pt>
                <c:pt idx="342">
                  <c:v>3.4199999999999711</c:v>
                </c:pt>
                <c:pt idx="343">
                  <c:v>3.4299999999999708</c:v>
                </c:pt>
                <c:pt idx="344">
                  <c:v>3.4399999999999706</c:v>
                </c:pt>
                <c:pt idx="345">
                  <c:v>3.4499999999999704</c:v>
                </c:pt>
                <c:pt idx="346">
                  <c:v>3.4599999999999702</c:v>
                </c:pt>
                <c:pt idx="347">
                  <c:v>3.46999999999997</c:v>
                </c:pt>
                <c:pt idx="348">
                  <c:v>3.4799999999999698</c:v>
                </c:pt>
                <c:pt idx="349">
                  <c:v>3.4899999999999696</c:v>
                </c:pt>
                <c:pt idx="350">
                  <c:v>3.4999999999999694</c:v>
                </c:pt>
                <c:pt idx="351">
                  <c:v>3.5099999999999691</c:v>
                </c:pt>
                <c:pt idx="352">
                  <c:v>3.5199999999999689</c:v>
                </c:pt>
                <c:pt idx="353">
                  <c:v>3.5299999999999687</c:v>
                </c:pt>
                <c:pt idx="354">
                  <c:v>3.5399999999999685</c:v>
                </c:pt>
                <c:pt idx="355">
                  <c:v>3.5499999999999683</c:v>
                </c:pt>
                <c:pt idx="356">
                  <c:v>3.5599999999999681</c:v>
                </c:pt>
                <c:pt idx="357">
                  <c:v>3.5699999999999679</c:v>
                </c:pt>
                <c:pt idx="358">
                  <c:v>3.5799999999999677</c:v>
                </c:pt>
                <c:pt idx="359">
                  <c:v>3.5899999999999674</c:v>
                </c:pt>
                <c:pt idx="360">
                  <c:v>3.5999999999999672</c:v>
                </c:pt>
                <c:pt idx="361">
                  <c:v>3.609999999999967</c:v>
                </c:pt>
                <c:pt idx="362">
                  <c:v>3.6199999999999668</c:v>
                </c:pt>
                <c:pt idx="363">
                  <c:v>3.6299999999999666</c:v>
                </c:pt>
                <c:pt idx="364">
                  <c:v>3.6399999999999664</c:v>
                </c:pt>
                <c:pt idx="365">
                  <c:v>3.6499999999999662</c:v>
                </c:pt>
                <c:pt idx="366">
                  <c:v>3.6599999999999659</c:v>
                </c:pt>
                <c:pt idx="367">
                  <c:v>3.6699999999999657</c:v>
                </c:pt>
                <c:pt idx="368">
                  <c:v>3.6799999999999655</c:v>
                </c:pt>
                <c:pt idx="369">
                  <c:v>3.6899999999999653</c:v>
                </c:pt>
                <c:pt idx="370">
                  <c:v>3.6999999999999651</c:v>
                </c:pt>
                <c:pt idx="371">
                  <c:v>3.7099999999999649</c:v>
                </c:pt>
                <c:pt idx="372">
                  <c:v>3.7199999999999647</c:v>
                </c:pt>
                <c:pt idx="373">
                  <c:v>3.7299999999999645</c:v>
                </c:pt>
                <c:pt idx="374">
                  <c:v>3.7399999999999642</c:v>
                </c:pt>
                <c:pt idx="375">
                  <c:v>3.749999999999964</c:v>
                </c:pt>
                <c:pt idx="376">
                  <c:v>3.7599999999999638</c:v>
                </c:pt>
                <c:pt idx="377">
                  <c:v>3.7699999999999636</c:v>
                </c:pt>
                <c:pt idx="378">
                  <c:v>3.7799999999999634</c:v>
                </c:pt>
                <c:pt idx="379">
                  <c:v>3.7899999999999632</c:v>
                </c:pt>
                <c:pt idx="380">
                  <c:v>3.799999999999963</c:v>
                </c:pt>
                <c:pt idx="381">
                  <c:v>3.8099999999999627</c:v>
                </c:pt>
                <c:pt idx="382">
                  <c:v>3.8199999999999625</c:v>
                </c:pt>
                <c:pt idx="383">
                  <c:v>3.8299999999999623</c:v>
                </c:pt>
                <c:pt idx="384">
                  <c:v>3.8399999999999621</c:v>
                </c:pt>
                <c:pt idx="385">
                  <c:v>3.8499999999999619</c:v>
                </c:pt>
                <c:pt idx="386">
                  <c:v>3.8599999999999617</c:v>
                </c:pt>
                <c:pt idx="387">
                  <c:v>3.8699999999999615</c:v>
                </c:pt>
                <c:pt idx="388">
                  <c:v>3.8799999999999613</c:v>
                </c:pt>
                <c:pt idx="389">
                  <c:v>3.889999999999961</c:v>
                </c:pt>
                <c:pt idx="390">
                  <c:v>3.8999999999999608</c:v>
                </c:pt>
                <c:pt idx="391">
                  <c:v>3.9099999999999606</c:v>
                </c:pt>
                <c:pt idx="392">
                  <c:v>3.9199999999999604</c:v>
                </c:pt>
                <c:pt idx="393">
                  <c:v>3.9299999999999602</c:v>
                </c:pt>
                <c:pt idx="394">
                  <c:v>3.93999999999996</c:v>
                </c:pt>
                <c:pt idx="395">
                  <c:v>3.9499999999999598</c:v>
                </c:pt>
                <c:pt idx="396">
                  <c:v>3.9599999999999596</c:v>
                </c:pt>
                <c:pt idx="397">
                  <c:v>3.9699999999999593</c:v>
                </c:pt>
                <c:pt idx="398">
                  <c:v>3.9799999999999591</c:v>
                </c:pt>
                <c:pt idx="399">
                  <c:v>3.9899999999999589</c:v>
                </c:pt>
                <c:pt idx="400">
                  <c:v>3.9999999999999587</c:v>
                </c:pt>
                <c:pt idx="401">
                  <c:v>4.0099999999999589</c:v>
                </c:pt>
                <c:pt idx="402">
                  <c:v>4.0199999999999587</c:v>
                </c:pt>
                <c:pt idx="403">
                  <c:v>4.0299999999999585</c:v>
                </c:pt>
                <c:pt idx="404">
                  <c:v>4.0399999999999583</c:v>
                </c:pt>
                <c:pt idx="405">
                  <c:v>4.0499999999999581</c:v>
                </c:pt>
                <c:pt idx="406">
                  <c:v>4.0599999999999579</c:v>
                </c:pt>
                <c:pt idx="407">
                  <c:v>4.0699999999999577</c:v>
                </c:pt>
                <c:pt idx="408">
                  <c:v>4.0799999999999574</c:v>
                </c:pt>
                <c:pt idx="409">
                  <c:v>4.0899999999999572</c:v>
                </c:pt>
                <c:pt idx="410">
                  <c:v>4.099999999999957</c:v>
                </c:pt>
                <c:pt idx="411">
                  <c:v>4.1099999999999568</c:v>
                </c:pt>
                <c:pt idx="412">
                  <c:v>4.1199999999999566</c:v>
                </c:pt>
                <c:pt idx="413">
                  <c:v>4.1299999999999564</c:v>
                </c:pt>
                <c:pt idx="414">
                  <c:v>4.1399999999999562</c:v>
                </c:pt>
                <c:pt idx="415">
                  <c:v>4.1499999999999559</c:v>
                </c:pt>
                <c:pt idx="416">
                  <c:v>4.1599999999999557</c:v>
                </c:pt>
                <c:pt idx="417">
                  <c:v>4.1699999999999555</c:v>
                </c:pt>
                <c:pt idx="418">
                  <c:v>4.1799999999999553</c:v>
                </c:pt>
                <c:pt idx="419">
                  <c:v>4.1899999999999551</c:v>
                </c:pt>
                <c:pt idx="420">
                  <c:v>4.1999999999999549</c:v>
                </c:pt>
                <c:pt idx="421">
                  <c:v>4.2099999999999547</c:v>
                </c:pt>
                <c:pt idx="422">
                  <c:v>4.2199999999999545</c:v>
                </c:pt>
                <c:pt idx="423">
                  <c:v>4.2299999999999542</c:v>
                </c:pt>
                <c:pt idx="424">
                  <c:v>4.239999999999954</c:v>
                </c:pt>
                <c:pt idx="425">
                  <c:v>4.2499999999999538</c:v>
                </c:pt>
                <c:pt idx="426">
                  <c:v>4.2599999999999536</c:v>
                </c:pt>
                <c:pt idx="427">
                  <c:v>4.2699999999999534</c:v>
                </c:pt>
                <c:pt idx="428">
                  <c:v>4.2799999999999532</c:v>
                </c:pt>
                <c:pt idx="429">
                  <c:v>4.289999999999953</c:v>
                </c:pt>
                <c:pt idx="430">
                  <c:v>4.2999999999999527</c:v>
                </c:pt>
                <c:pt idx="431">
                  <c:v>4.3099999999999525</c:v>
                </c:pt>
                <c:pt idx="432">
                  <c:v>4.3199999999999523</c:v>
                </c:pt>
                <c:pt idx="433">
                  <c:v>4.3299999999999521</c:v>
                </c:pt>
                <c:pt idx="434">
                  <c:v>4.3399999999999519</c:v>
                </c:pt>
                <c:pt idx="435">
                  <c:v>4.3499999999999517</c:v>
                </c:pt>
                <c:pt idx="436">
                  <c:v>4.3599999999999515</c:v>
                </c:pt>
                <c:pt idx="437">
                  <c:v>4.3699999999999513</c:v>
                </c:pt>
                <c:pt idx="438">
                  <c:v>4.379999999999951</c:v>
                </c:pt>
                <c:pt idx="439">
                  <c:v>4.3899999999999508</c:v>
                </c:pt>
                <c:pt idx="440">
                  <c:v>4.3999999999999506</c:v>
                </c:pt>
                <c:pt idx="441">
                  <c:v>4.4099999999999504</c:v>
                </c:pt>
                <c:pt idx="442">
                  <c:v>4.4199999999999502</c:v>
                </c:pt>
                <c:pt idx="443">
                  <c:v>4.42999999999995</c:v>
                </c:pt>
                <c:pt idx="444">
                  <c:v>4.4399999999999498</c:v>
                </c:pt>
                <c:pt idx="445">
                  <c:v>4.4499999999999496</c:v>
                </c:pt>
                <c:pt idx="446">
                  <c:v>4.4599999999999493</c:v>
                </c:pt>
                <c:pt idx="447">
                  <c:v>4.4699999999999491</c:v>
                </c:pt>
                <c:pt idx="448">
                  <c:v>4.4799999999999489</c:v>
                </c:pt>
                <c:pt idx="449">
                  <c:v>4.4899999999999487</c:v>
                </c:pt>
                <c:pt idx="450">
                  <c:v>4.4999999999999485</c:v>
                </c:pt>
                <c:pt idx="451">
                  <c:v>4.5099999999999483</c:v>
                </c:pt>
                <c:pt idx="452">
                  <c:v>4.5199999999999481</c:v>
                </c:pt>
                <c:pt idx="453">
                  <c:v>4.5299999999999478</c:v>
                </c:pt>
                <c:pt idx="454">
                  <c:v>4.5399999999999476</c:v>
                </c:pt>
                <c:pt idx="455">
                  <c:v>4.5499999999999474</c:v>
                </c:pt>
                <c:pt idx="456">
                  <c:v>4.5599999999999472</c:v>
                </c:pt>
                <c:pt idx="457">
                  <c:v>4.569999999999947</c:v>
                </c:pt>
                <c:pt idx="458">
                  <c:v>4.5799999999999468</c:v>
                </c:pt>
                <c:pt idx="459">
                  <c:v>4.5899999999999466</c:v>
                </c:pt>
                <c:pt idx="460">
                  <c:v>4.5999999999999464</c:v>
                </c:pt>
                <c:pt idx="461">
                  <c:v>4.6099999999999461</c:v>
                </c:pt>
                <c:pt idx="462">
                  <c:v>4.6199999999999459</c:v>
                </c:pt>
                <c:pt idx="463">
                  <c:v>4.6299999999999457</c:v>
                </c:pt>
                <c:pt idx="464">
                  <c:v>4.6399999999999455</c:v>
                </c:pt>
                <c:pt idx="465">
                  <c:v>4.6499999999999453</c:v>
                </c:pt>
                <c:pt idx="466">
                  <c:v>4.6599999999999451</c:v>
                </c:pt>
                <c:pt idx="467">
                  <c:v>4.6699999999999449</c:v>
                </c:pt>
                <c:pt idx="468">
                  <c:v>4.6799999999999446</c:v>
                </c:pt>
                <c:pt idx="469">
                  <c:v>4.6899999999999444</c:v>
                </c:pt>
                <c:pt idx="470">
                  <c:v>4.6999999999999442</c:v>
                </c:pt>
                <c:pt idx="471">
                  <c:v>4.709999999999944</c:v>
                </c:pt>
                <c:pt idx="472">
                  <c:v>4.7199999999999438</c:v>
                </c:pt>
                <c:pt idx="473">
                  <c:v>4.7299999999999436</c:v>
                </c:pt>
                <c:pt idx="474">
                  <c:v>4.7399999999999434</c:v>
                </c:pt>
                <c:pt idx="475">
                  <c:v>4.7499999999999432</c:v>
                </c:pt>
                <c:pt idx="476">
                  <c:v>4.7599999999999429</c:v>
                </c:pt>
                <c:pt idx="477">
                  <c:v>4.7699999999999427</c:v>
                </c:pt>
                <c:pt idx="478">
                  <c:v>4.7799999999999425</c:v>
                </c:pt>
                <c:pt idx="479">
                  <c:v>4.7899999999999423</c:v>
                </c:pt>
                <c:pt idx="480">
                  <c:v>4.7999999999999421</c:v>
                </c:pt>
                <c:pt idx="481">
                  <c:v>4.8099999999999419</c:v>
                </c:pt>
                <c:pt idx="482">
                  <c:v>4.8199999999999417</c:v>
                </c:pt>
                <c:pt idx="483">
                  <c:v>4.8299999999999415</c:v>
                </c:pt>
                <c:pt idx="484">
                  <c:v>4.8399999999999412</c:v>
                </c:pt>
                <c:pt idx="485">
                  <c:v>4.849999999999941</c:v>
                </c:pt>
                <c:pt idx="486">
                  <c:v>4.8599999999999408</c:v>
                </c:pt>
                <c:pt idx="487">
                  <c:v>4.8699999999999406</c:v>
                </c:pt>
                <c:pt idx="488">
                  <c:v>4.8799999999999404</c:v>
                </c:pt>
                <c:pt idx="489">
                  <c:v>4.8899999999999402</c:v>
                </c:pt>
                <c:pt idx="490">
                  <c:v>4.89999999999994</c:v>
                </c:pt>
                <c:pt idx="491">
                  <c:v>4.9099999999999397</c:v>
                </c:pt>
                <c:pt idx="492">
                  <c:v>4.9199999999999395</c:v>
                </c:pt>
                <c:pt idx="493">
                  <c:v>4.9299999999999393</c:v>
                </c:pt>
                <c:pt idx="494">
                  <c:v>4.9399999999999391</c:v>
                </c:pt>
                <c:pt idx="495">
                  <c:v>4.9499999999999389</c:v>
                </c:pt>
                <c:pt idx="496">
                  <c:v>4.9599999999999387</c:v>
                </c:pt>
                <c:pt idx="497">
                  <c:v>4.9699999999999385</c:v>
                </c:pt>
                <c:pt idx="498">
                  <c:v>4.9799999999999383</c:v>
                </c:pt>
                <c:pt idx="499">
                  <c:v>4.989999999999938</c:v>
                </c:pt>
                <c:pt idx="500">
                  <c:v>4.9999999999999378</c:v>
                </c:pt>
                <c:pt idx="501">
                  <c:v>5.0999999999999375</c:v>
                </c:pt>
                <c:pt idx="502">
                  <c:v>5.1999999999999371</c:v>
                </c:pt>
                <c:pt idx="503">
                  <c:v>5.2999999999999368</c:v>
                </c:pt>
                <c:pt idx="504">
                  <c:v>5.3999999999999364</c:v>
                </c:pt>
                <c:pt idx="505">
                  <c:v>5.4999999999999361</c:v>
                </c:pt>
                <c:pt idx="506">
                  <c:v>5.5999999999999357</c:v>
                </c:pt>
                <c:pt idx="507">
                  <c:v>5.6999999999999353</c:v>
                </c:pt>
                <c:pt idx="508">
                  <c:v>5.799999999999935</c:v>
                </c:pt>
                <c:pt idx="509">
                  <c:v>5.8999999999999346</c:v>
                </c:pt>
                <c:pt idx="510">
                  <c:v>5.9999999999999343</c:v>
                </c:pt>
                <c:pt idx="511">
                  <c:v>6.0999999999999339</c:v>
                </c:pt>
                <c:pt idx="512">
                  <c:v>6.1999999999999336</c:v>
                </c:pt>
                <c:pt idx="513">
                  <c:v>6.2999999999999332</c:v>
                </c:pt>
                <c:pt idx="514">
                  <c:v>6.3999999999999329</c:v>
                </c:pt>
                <c:pt idx="515">
                  <c:v>6.4999999999999325</c:v>
                </c:pt>
                <c:pt idx="516">
                  <c:v>6.5999999999999321</c:v>
                </c:pt>
                <c:pt idx="517">
                  <c:v>6.6999999999999318</c:v>
                </c:pt>
                <c:pt idx="518">
                  <c:v>6.7999999999999314</c:v>
                </c:pt>
                <c:pt idx="519">
                  <c:v>6.8999999999999311</c:v>
                </c:pt>
                <c:pt idx="520">
                  <c:v>6.9999999999999307</c:v>
                </c:pt>
                <c:pt idx="521">
                  <c:v>7.0999999999999304</c:v>
                </c:pt>
                <c:pt idx="522">
                  <c:v>7.19999999999993</c:v>
                </c:pt>
                <c:pt idx="523">
                  <c:v>7.2999999999999297</c:v>
                </c:pt>
                <c:pt idx="524">
                  <c:v>7.3999999999999293</c:v>
                </c:pt>
                <c:pt idx="525">
                  <c:v>7.4999999999999289</c:v>
                </c:pt>
                <c:pt idx="526">
                  <c:v>7.5999999999999286</c:v>
                </c:pt>
                <c:pt idx="527">
                  <c:v>7.6999999999999282</c:v>
                </c:pt>
                <c:pt idx="528">
                  <c:v>7.7999999999999279</c:v>
                </c:pt>
                <c:pt idx="529">
                  <c:v>7.8999999999999275</c:v>
                </c:pt>
                <c:pt idx="530">
                  <c:v>7.9999999999999272</c:v>
                </c:pt>
                <c:pt idx="531">
                  <c:v>8.0999999999999268</c:v>
                </c:pt>
                <c:pt idx="532">
                  <c:v>8.1999999999999265</c:v>
                </c:pt>
                <c:pt idx="533">
                  <c:v>8.2999999999999261</c:v>
                </c:pt>
                <c:pt idx="534">
                  <c:v>8.3999999999999257</c:v>
                </c:pt>
                <c:pt idx="535">
                  <c:v>8.4999999999999254</c:v>
                </c:pt>
                <c:pt idx="536">
                  <c:v>8.599999999999925</c:v>
                </c:pt>
                <c:pt idx="537">
                  <c:v>8.6999999999999247</c:v>
                </c:pt>
                <c:pt idx="538">
                  <c:v>8.7999999999999243</c:v>
                </c:pt>
                <c:pt idx="539">
                  <c:v>8.899999999999924</c:v>
                </c:pt>
                <c:pt idx="540">
                  <c:v>8.9999999999999236</c:v>
                </c:pt>
                <c:pt idx="541">
                  <c:v>9.0999999999999233</c:v>
                </c:pt>
                <c:pt idx="542">
                  <c:v>9.1999999999999229</c:v>
                </c:pt>
                <c:pt idx="543">
                  <c:v>9.2999999999999226</c:v>
                </c:pt>
                <c:pt idx="544">
                  <c:v>9.3999999999999222</c:v>
                </c:pt>
                <c:pt idx="545">
                  <c:v>9.4999999999999218</c:v>
                </c:pt>
                <c:pt idx="546">
                  <c:v>9.5999999999999215</c:v>
                </c:pt>
                <c:pt idx="547">
                  <c:v>9.6999999999999211</c:v>
                </c:pt>
                <c:pt idx="548">
                  <c:v>9.7999999999999208</c:v>
                </c:pt>
                <c:pt idx="549">
                  <c:v>9.8999999999999204</c:v>
                </c:pt>
                <c:pt idx="550">
                  <c:v>9.9999999999999201</c:v>
                </c:pt>
                <c:pt idx="551">
                  <c:v>10.09999999999992</c:v>
                </c:pt>
                <c:pt idx="552">
                  <c:v>10.199999999999919</c:v>
                </c:pt>
                <c:pt idx="553">
                  <c:v>10.299999999999919</c:v>
                </c:pt>
                <c:pt idx="554">
                  <c:v>10.399999999999919</c:v>
                </c:pt>
                <c:pt idx="555">
                  <c:v>10.499999999999918</c:v>
                </c:pt>
                <c:pt idx="556">
                  <c:v>10.599999999999918</c:v>
                </c:pt>
                <c:pt idx="557">
                  <c:v>10.699999999999918</c:v>
                </c:pt>
                <c:pt idx="558">
                  <c:v>10.799999999999917</c:v>
                </c:pt>
                <c:pt idx="559">
                  <c:v>10.899999999999917</c:v>
                </c:pt>
                <c:pt idx="560">
                  <c:v>10.999999999999917</c:v>
                </c:pt>
                <c:pt idx="561">
                  <c:v>11.099999999999916</c:v>
                </c:pt>
                <c:pt idx="562">
                  <c:v>11.199999999999916</c:v>
                </c:pt>
                <c:pt idx="563">
                  <c:v>11.299999999999915</c:v>
                </c:pt>
                <c:pt idx="564">
                  <c:v>11.399999999999915</c:v>
                </c:pt>
                <c:pt idx="565">
                  <c:v>11.499999999999915</c:v>
                </c:pt>
                <c:pt idx="566">
                  <c:v>11.599999999999914</c:v>
                </c:pt>
                <c:pt idx="567">
                  <c:v>11.699999999999914</c:v>
                </c:pt>
                <c:pt idx="568">
                  <c:v>11.799999999999914</c:v>
                </c:pt>
                <c:pt idx="569">
                  <c:v>11.899999999999913</c:v>
                </c:pt>
                <c:pt idx="570">
                  <c:v>11.999999999999913</c:v>
                </c:pt>
                <c:pt idx="571">
                  <c:v>12.099999999999913</c:v>
                </c:pt>
                <c:pt idx="572">
                  <c:v>12.199999999999912</c:v>
                </c:pt>
                <c:pt idx="573">
                  <c:v>12.299999999999912</c:v>
                </c:pt>
                <c:pt idx="574">
                  <c:v>12.399999999999912</c:v>
                </c:pt>
                <c:pt idx="575">
                  <c:v>12.499999999999911</c:v>
                </c:pt>
                <c:pt idx="576">
                  <c:v>12.599999999999911</c:v>
                </c:pt>
                <c:pt idx="577">
                  <c:v>12.69999999999991</c:v>
                </c:pt>
                <c:pt idx="578">
                  <c:v>12.79999999999991</c:v>
                </c:pt>
                <c:pt idx="579">
                  <c:v>12.89999999999991</c:v>
                </c:pt>
                <c:pt idx="580">
                  <c:v>12.999999999999909</c:v>
                </c:pt>
                <c:pt idx="581">
                  <c:v>13.099999999999909</c:v>
                </c:pt>
                <c:pt idx="582">
                  <c:v>13.199999999999909</c:v>
                </c:pt>
                <c:pt idx="583">
                  <c:v>13.299999999999908</c:v>
                </c:pt>
                <c:pt idx="584">
                  <c:v>13.399999999999908</c:v>
                </c:pt>
                <c:pt idx="585">
                  <c:v>13.499999999999908</c:v>
                </c:pt>
                <c:pt idx="586">
                  <c:v>13.599999999999907</c:v>
                </c:pt>
                <c:pt idx="587">
                  <c:v>13.699999999999907</c:v>
                </c:pt>
                <c:pt idx="588">
                  <c:v>13.799999999999907</c:v>
                </c:pt>
                <c:pt idx="589">
                  <c:v>13.899999999999906</c:v>
                </c:pt>
                <c:pt idx="590">
                  <c:v>13.999999999999906</c:v>
                </c:pt>
                <c:pt idx="591">
                  <c:v>14.099999999999905</c:v>
                </c:pt>
                <c:pt idx="592">
                  <c:v>14.199999999999905</c:v>
                </c:pt>
                <c:pt idx="593">
                  <c:v>14.299999999999905</c:v>
                </c:pt>
                <c:pt idx="594">
                  <c:v>14.399999999999904</c:v>
                </c:pt>
                <c:pt idx="595">
                  <c:v>14.499999999999904</c:v>
                </c:pt>
                <c:pt idx="596">
                  <c:v>14.599999999999904</c:v>
                </c:pt>
                <c:pt idx="597">
                  <c:v>14.699999999999903</c:v>
                </c:pt>
                <c:pt idx="598">
                  <c:v>14.799999999999903</c:v>
                </c:pt>
                <c:pt idx="599">
                  <c:v>14.899999999999903</c:v>
                </c:pt>
                <c:pt idx="600">
                  <c:v>14.999999999999902</c:v>
                </c:pt>
                <c:pt idx="601">
                  <c:v>15.099999999999902</c:v>
                </c:pt>
                <c:pt idx="602">
                  <c:v>15.199999999999902</c:v>
                </c:pt>
                <c:pt idx="603">
                  <c:v>15.299999999999901</c:v>
                </c:pt>
                <c:pt idx="604">
                  <c:v>15.399999999999901</c:v>
                </c:pt>
                <c:pt idx="605">
                  <c:v>15.499999999999901</c:v>
                </c:pt>
                <c:pt idx="606">
                  <c:v>15.5999999999999</c:v>
                </c:pt>
                <c:pt idx="607">
                  <c:v>15.6999999999999</c:v>
                </c:pt>
                <c:pt idx="608">
                  <c:v>15.799999999999899</c:v>
                </c:pt>
                <c:pt idx="609">
                  <c:v>15.899999999999899</c:v>
                </c:pt>
                <c:pt idx="610">
                  <c:v>15.999999999999899</c:v>
                </c:pt>
                <c:pt idx="611">
                  <c:v>16.099999999999898</c:v>
                </c:pt>
                <c:pt idx="612">
                  <c:v>16.1999999999999</c:v>
                </c:pt>
                <c:pt idx="613">
                  <c:v>16.299999999999901</c:v>
                </c:pt>
                <c:pt idx="614">
                  <c:v>16.399999999999903</c:v>
                </c:pt>
                <c:pt idx="615">
                  <c:v>16.499999999999904</c:v>
                </c:pt>
                <c:pt idx="616">
                  <c:v>16.599999999999905</c:v>
                </c:pt>
                <c:pt idx="617">
                  <c:v>16.699999999999907</c:v>
                </c:pt>
                <c:pt idx="618">
                  <c:v>16.799999999999908</c:v>
                </c:pt>
                <c:pt idx="619">
                  <c:v>16.89999999999991</c:v>
                </c:pt>
                <c:pt idx="620">
                  <c:v>16.999999999999911</c:v>
                </c:pt>
                <c:pt idx="621">
                  <c:v>17.099999999999913</c:v>
                </c:pt>
                <c:pt idx="622">
                  <c:v>17.199999999999914</c:v>
                </c:pt>
                <c:pt idx="623">
                  <c:v>17.299999999999915</c:v>
                </c:pt>
                <c:pt idx="624">
                  <c:v>17.399999999999917</c:v>
                </c:pt>
                <c:pt idx="625">
                  <c:v>17.499999999999918</c:v>
                </c:pt>
                <c:pt idx="626">
                  <c:v>17.59999999999992</c:v>
                </c:pt>
                <c:pt idx="627">
                  <c:v>17.699999999999921</c:v>
                </c:pt>
                <c:pt idx="628">
                  <c:v>17.799999999999923</c:v>
                </c:pt>
                <c:pt idx="629">
                  <c:v>17.899999999999924</c:v>
                </c:pt>
                <c:pt idx="630">
                  <c:v>17.999999999999925</c:v>
                </c:pt>
                <c:pt idx="631">
                  <c:v>18.099999999999927</c:v>
                </c:pt>
                <c:pt idx="632">
                  <c:v>18.199999999999928</c:v>
                </c:pt>
                <c:pt idx="633">
                  <c:v>18.29999999999993</c:v>
                </c:pt>
                <c:pt idx="634">
                  <c:v>18.399999999999931</c:v>
                </c:pt>
                <c:pt idx="635">
                  <c:v>18.499999999999932</c:v>
                </c:pt>
                <c:pt idx="636">
                  <c:v>18.599999999999934</c:v>
                </c:pt>
                <c:pt idx="637">
                  <c:v>18.699999999999935</c:v>
                </c:pt>
                <c:pt idx="638">
                  <c:v>18.799999999999937</c:v>
                </c:pt>
                <c:pt idx="639">
                  <c:v>18.899999999999938</c:v>
                </c:pt>
                <c:pt idx="640">
                  <c:v>18.99999999999994</c:v>
                </c:pt>
                <c:pt idx="641">
                  <c:v>19.099999999999941</c:v>
                </c:pt>
                <c:pt idx="642">
                  <c:v>19.199999999999942</c:v>
                </c:pt>
                <c:pt idx="643">
                  <c:v>19.299999999999944</c:v>
                </c:pt>
                <c:pt idx="644">
                  <c:v>19.399999999999945</c:v>
                </c:pt>
                <c:pt idx="645">
                  <c:v>19.499999999999947</c:v>
                </c:pt>
                <c:pt idx="646">
                  <c:v>19.599999999999948</c:v>
                </c:pt>
                <c:pt idx="647">
                  <c:v>19.69999999999995</c:v>
                </c:pt>
                <c:pt idx="648">
                  <c:v>19.799999999999951</c:v>
                </c:pt>
                <c:pt idx="649">
                  <c:v>19.899999999999952</c:v>
                </c:pt>
                <c:pt idx="650">
                  <c:v>19.999999999999954</c:v>
                </c:pt>
                <c:pt idx="651">
                  <c:v>20.099999999999955</c:v>
                </c:pt>
                <c:pt idx="652">
                  <c:v>20.199999999999957</c:v>
                </c:pt>
                <c:pt idx="653">
                  <c:v>20.299999999999958</c:v>
                </c:pt>
                <c:pt idx="654">
                  <c:v>20.399999999999959</c:v>
                </c:pt>
                <c:pt idx="655">
                  <c:v>20.499999999999961</c:v>
                </c:pt>
                <c:pt idx="656">
                  <c:v>20.599999999999962</c:v>
                </c:pt>
                <c:pt idx="657">
                  <c:v>20.699999999999964</c:v>
                </c:pt>
                <c:pt idx="658">
                  <c:v>20.799999999999965</c:v>
                </c:pt>
                <c:pt idx="659">
                  <c:v>20.899999999999967</c:v>
                </c:pt>
                <c:pt idx="660">
                  <c:v>20.999999999999968</c:v>
                </c:pt>
                <c:pt idx="661">
                  <c:v>21.099999999999969</c:v>
                </c:pt>
                <c:pt idx="662">
                  <c:v>21.199999999999971</c:v>
                </c:pt>
                <c:pt idx="663">
                  <c:v>21.299999999999972</c:v>
                </c:pt>
                <c:pt idx="664">
                  <c:v>21.399999999999974</c:v>
                </c:pt>
                <c:pt idx="665">
                  <c:v>21.499999999999975</c:v>
                </c:pt>
                <c:pt idx="666">
                  <c:v>21.599999999999977</c:v>
                </c:pt>
                <c:pt idx="667">
                  <c:v>21.699999999999978</c:v>
                </c:pt>
                <c:pt idx="668">
                  <c:v>21.799999999999979</c:v>
                </c:pt>
                <c:pt idx="669">
                  <c:v>21.899999999999981</c:v>
                </c:pt>
                <c:pt idx="670">
                  <c:v>21.999999999999982</c:v>
                </c:pt>
                <c:pt idx="671">
                  <c:v>22.099999999999984</c:v>
                </c:pt>
                <c:pt idx="672">
                  <c:v>22.199999999999985</c:v>
                </c:pt>
                <c:pt idx="673">
                  <c:v>22.299999999999986</c:v>
                </c:pt>
                <c:pt idx="674">
                  <c:v>22.399999999999988</c:v>
                </c:pt>
                <c:pt idx="675">
                  <c:v>22.499999999999989</c:v>
                </c:pt>
                <c:pt idx="676">
                  <c:v>22.599999999999991</c:v>
                </c:pt>
                <c:pt idx="677">
                  <c:v>22.699999999999992</c:v>
                </c:pt>
                <c:pt idx="678">
                  <c:v>22.799999999999994</c:v>
                </c:pt>
                <c:pt idx="679">
                  <c:v>22.899999999999995</c:v>
                </c:pt>
                <c:pt idx="680">
                  <c:v>22.999999999999996</c:v>
                </c:pt>
                <c:pt idx="681">
                  <c:v>23.099999999999998</c:v>
                </c:pt>
                <c:pt idx="682">
                  <c:v>23.2</c:v>
                </c:pt>
                <c:pt idx="683">
                  <c:v>23.3</c:v>
                </c:pt>
                <c:pt idx="684">
                  <c:v>23.400000000000002</c:v>
                </c:pt>
                <c:pt idx="685">
                  <c:v>23.500000000000004</c:v>
                </c:pt>
                <c:pt idx="686">
                  <c:v>23.600000000000005</c:v>
                </c:pt>
                <c:pt idx="687">
                  <c:v>23.700000000000006</c:v>
                </c:pt>
                <c:pt idx="688">
                  <c:v>23.800000000000008</c:v>
                </c:pt>
                <c:pt idx="689">
                  <c:v>23.900000000000009</c:v>
                </c:pt>
                <c:pt idx="690">
                  <c:v>24.000000000000011</c:v>
                </c:pt>
                <c:pt idx="691">
                  <c:v>24.100000000000012</c:v>
                </c:pt>
                <c:pt idx="692">
                  <c:v>24.200000000000014</c:v>
                </c:pt>
                <c:pt idx="693">
                  <c:v>24.300000000000015</c:v>
                </c:pt>
                <c:pt idx="694">
                  <c:v>24.400000000000016</c:v>
                </c:pt>
                <c:pt idx="695">
                  <c:v>24.500000000000018</c:v>
                </c:pt>
                <c:pt idx="696">
                  <c:v>24.600000000000019</c:v>
                </c:pt>
                <c:pt idx="697">
                  <c:v>24.700000000000021</c:v>
                </c:pt>
                <c:pt idx="698">
                  <c:v>24.800000000000022</c:v>
                </c:pt>
                <c:pt idx="699">
                  <c:v>24.900000000000023</c:v>
                </c:pt>
                <c:pt idx="700">
                  <c:v>25.000000000000025</c:v>
                </c:pt>
                <c:pt idx="701">
                  <c:v>25.100000000000026</c:v>
                </c:pt>
                <c:pt idx="702">
                  <c:v>25.200000000000028</c:v>
                </c:pt>
                <c:pt idx="703">
                  <c:v>25.300000000000029</c:v>
                </c:pt>
                <c:pt idx="704">
                  <c:v>25.400000000000031</c:v>
                </c:pt>
                <c:pt idx="705">
                  <c:v>25.500000000000032</c:v>
                </c:pt>
                <c:pt idx="706">
                  <c:v>25.600000000000033</c:v>
                </c:pt>
                <c:pt idx="707">
                  <c:v>25.700000000000035</c:v>
                </c:pt>
                <c:pt idx="708">
                  <c:v>25.800000000000036</c:v>
                </c:pt>
                <c:pt idx="709">
                  <c:v>25.900000000000038</c:v>
                </c:pt>
                <c:pt idx="710">
                  <c:v>26.000000000000039</c:v>
                </c:pt>
                <c:pt idx="711">
                  <c:v>26.100000000000041</c:v>
                </c:pt>
                <c:pt idx="712">
                  <c:v>26.200000000000042</c:v>
                </c:pt>
                <c:pt idx="713">
                  <c:v>26.300000000000043</c:v>
                </c:pt>
                <c:pt idx="714">
                  <c:v>26.400000000000045</c:v>
                </c:pt>
                <c:pt idx="715">
                  <c:v>26.500000000000046</c:v>
                </c:pt>
                <c:pt idx="716">
                  <c:v>26.600000000000048</c:v>
                </c:pt>
                <c:pt idx="717">
                  <c:v>26.700000000000049</c:v>
                </c:pt>
                <c:pt idx="718">
                  <c:v>26.80000000000005</c:v>
                </c:pt>
                <c:pt idx="719">
                  <c:v>26.900000000000052</c:v>
                </c:pt>
                <c:pt idx="720">
                  <c:v>27.000000000000053</c:v>
                </c:pt>
                <c:pt idx="721">
                  <c:v>27.100000000000055</c:v>
                </c:pt>
                <c:pt idx="722">
                  <c:v>27.200000000000056</c:v>
                </c:pt>
                <c:pt idx="723">
                  <c:v>27.300000000000058</c:v>
                </c:pt>
                <c:pt idx="724">
                  <c:v>27.400000000000059</c:v>
                </c:pt>
                <c:pt idx="725">
                  <c:v>27.50000000000006</c:v>
                </c:pt>
                <c:pt idx="726">
                  <c:v>27.600000000000062</c:v>
                </c:pt>
                <c:pt idx="727">
                  <c:v>27.700000000000063</c:v>
                </c:pt>
                <c:pt idx="728">
                  <c:v>27.800000000000065</c:v>
                </c:pt>
                <c:pt idx="729">
                  <c:v>27.900000000000066</c:v>
                </c:pt>
                <c:pt idx="730">
                  <c:v>28.000000000000068</c:v>
                </c:pt>
                <c:pt idx="731">
                  <c:v>28.100000000000069</c:v>
                </c:pt>
                <c:pt idx="732">
                  <c:v>28.20000000000007</c:v>
                </c:pt>
                <c:pt idx="733">
                  <c:v>28.300000000000072</c:v>
                </c:pt>
                <c:pt idx="734">
                  <c:v>28.400000000000073</c:v>
                </c:pt>
                <c:pt idx="735">
                  <c:v>28.500000000000075</c:v>
                </c:pt>
                <c:pt idx="736">
                  <c:v>28.600000000000076</c:v>
                </c:pt>
                <c:pt idx="737">
                  <c:v>28.700000000000077</c:v>
                </c:pt>
                <c:pt idx="738">
                  <c:v>28.800000000000079</c:v>
                </c:pt>
                <c:pt idx="739">
                  <c:v>28.90000000000008</c:v>
                </c:pt>
                <c:pt idx="740">
                  <c:v>29.000000000000082</c:v>
                </c:pt>
                <c:pt idx="741">
                  <c:v>29.100000000000083</c:v>
                </c:pt>
                <c:pt idx="742">
                  <c:v>29.200000000000085</c:v>
                </c:pt>
                <c:pt idx="743">
                  <c:v>29.300000000000086</c:v>
                </c:pt>
                <c:pt idx="744">
                  <c:v>29.400000000000087</c:v>
                </c:pt>
                <c:pt idx="745">
                  <c:v>29.500000000000089</c:v>
                </c:pt>
                <c:pt idx="746">
                  <c:v>29.60000000000009</c:v>
                </c:pt>
                <c:pt idx="747">
                  <c:v>29.700000000000092</c:v>
                </c:pt>
                <c:pt idx="748">
                  <c:v>29.800000000000093</c:v>
                </c:pt>
                <c:pt idx="749">
                  <c:v>29.900000000000095</c:v>
                </c:pt>
                <c:pt idx="750">
                  <c:v>30.000000000000096</c:v>
                </c:pt>
                <c:pt idx="751">
                  <c:v>30.100000000000097</c:v>
                </c:pt>
                <c:pt idx="752">
                  <c:v>30.200000000000099</c:v>
                </c:pt>
                <c:pt idx="753">
                  <c:v>30.3000000000001</c:v>
                </c:pt>
                <c:pt idx="754">
                  <c:v>30.400000000000102</c:v>
                </c:pt>
                <c:pt idx="755">
                  <c:v>30.500000000000103</c:v>
                </c:pt>
                <c:pt idx="756">
                  <c:v>30.600000000000104</c:v>
                </c:pt>
                <c:pt idx="757">
                  <c:v>30.700000000000106</c:v>
                </c:pt>
                <c:pt idx="758">
                  <c:v>30.800000000000107</c:v>
                </c:pt>
                <c:pt idx="759">
                  <c:v>30.900000000000109</c:v>
                </c:pt>
                <c:pt idx="760">
                  <c:v>31.00000000000011</c:v>
                </c:pt>
                <c:pt idx="761">
                  <c:v>31.100000000000112</c:v>
                </c:pt>
                <c:pt idx="762">
                  <c:v>31.200000000000113</c:v>
                </c:pt>
                <c:pt idx="763">
                  <c:v>31.300000000000114</c:v>
                </c:pt>
                <c:pt idx="764">
                  <c:v>31.400000000000116</c:v>
                </c:pt>
                <c:pt idx="765">
                  <c:v>31.500000000000117</c:v>
                </c:pt>
                <c:pt idx="766">
                  <c:v>31.600000000000119</c:v>
                </c:pt>
                <c:pt idx="767">
                  <c:v>31.70000000000012</c:v>
                </c:pt>
                <c:pt idx="768">
                  <c:v>31.800000000000122</c:v>
                </c:pt>
                <c:pt idx="769">
                  <c:v>31.900000000000123</c:v>
                </c:pt>
                <c:pt idx="770">
                  <c:v>32.000000000000121</c:v>
                </c:pt>
                <c:pt idx="771">
                  <c:v>32.100000000000122</c:v>
                </c:pt>
                <c:pt idx="772">
                  <c:v>32.200000000000124</c:v>
                </c:pt>
                <c:pt idx="773">
                  <c:v>32.300000000000125</c:v>
                </c:pt>
                <c:pt idx="774">
                  <c:v>32.400000000000126</c:v>
                </c:pt>
                <c:pt idx="775">
                  <c:v>32.500000000000128</c:v>
                </c:pt>
                <c:pt idx="776">
                  <c:v>32.600000000000129</c:v>
                </c:pt>
                <c:pt idx="777">
                  <c:v>32.700000000000131</c:v>
                </c:pt>
                <c:pt idx="778">
                  <c:v>32.800000000000132</c:v>
                </c:pt>
                <c:pt idx="779">
                  <c:v>32.900000000000134</c:v>
                </c:pt>
                <c:pt idx="780">
                  <c:v>33.000000000000135</c:v>
                </c:pt>
                <c:pt idx="781">
                  <c:v>33.100000000000136</c:v>
                </c:pt>
                <c:pt idx="782">
                  <c:v>33.200000000000138</c:v>
                </c:pt>
                <c:pt idx="783">
                  <c:v>33.300000000000139</c:v>
                </c:pt>
                <c:pt idx="784">
                  <c:v>33.400000000000141</c:v>
                </c:pt>
                <c:pt idx="785">
                  <c:v>33.500000000000142</c:v>
                </c:pt>
                <c:pt idx="786">
                  <c:v>33.600000000000144</c:v>
                </c:pt>
                <c:pt idx="787">
                  <c:v>33.700000000000145</c:v>
                </c:pt>
                <c:pt idx="788">
                  <c:v>33.800000000000146</c:v>
                </c:pt>
                <c:pt idx="789">
                  <c:v>33.900000000000148</c:v>
                </c:pt>
                <c:pt idx="790">
                  <c:v>34.000000000000149</c:v>
                </c:pt>
                <c:pt idx="791">
                  <c:v>34.100000000000151</c:v>
                </c:pt>
                <c:pt idx="792">
                  <c:v>34.200000000000152</c:v>
                </c:pt>
                <c:pt idx="793">
                  <c:v>34.300000000000153</c:v>
                </c:pt>
                <c:pt idx="794">
                  <c:v>34.400000000000155</c:v>
                </c:pt>
                <c:pt idx="795">
                  <c:v>34.500000000000156</c:v>
                </c:pt>
                <c:pt idx="796">
                  <c:v>34.600000000000158</c:v>
                </c:pt>
                <c:pt idx="797">
                  <c:v>34.700000000000159</c:v>
                </c:pt>
                <c:pt idx="798">
                  <c:v>34.800000000000161</c:v>
                </c:pt>
                <c:pt idx="799">
                  <c:v>34.900000000000162</c:v>
                </c:pt>
                <c:pt idx="800">
                  <c:v>35.000000000000163</c:v>
                </c:pt>
                <c:pt idx="801">
                  <c:v>35.100000000000165</c:v>
                </c:pt>
                <c:pt idx="802">
                  <c:v>35.200000000000166</c:v>
                </c:pt>
                <c:pt idx="803">
                  <c:v>35.300000000000168</c:v>
                </c:pt>
                <c:pt idx="804">
                  <c:v>35.400000000000169</c:v>
                </c:pt>
                <c:pt idx="805">
                  <c:v>35.500000000000171</c:v>
                </c:pt>
                <c:pt idx="806">
                  <c:v>35.600000000000172</c:v>
                </c:pt>
                <c:pt idx="807">
                  <c:v>35.700000000000173</c:v>
                </c:pt>
                <c:pt idx="808">
                  <c:v>35.800000000000175</c:v>
                </c:pt>
                <c:pt idx="809">
                  <c:v>35.900000000000176</c:v>
                </c:pt>
                <c:pt idx="810">
                  <c:v>36.000000000000178</c:v>
                </c:pt>
                <c:pt idx="811">
                  <c:v>36.100000000000179</c:v>
                </c:pt>
                <c:pt idx="812">
                  <c:v>36.20000000000018</c:v>
                </c:pt>
                <c:pt idx="813">
                  <c:v>36.300000000000182</c:v>
                </c:pt>
                <c:pt idx="814">
                  <c:v>36.400000000000183</c:v>
                </c:pt>
                <c:pt idx="815">
                  <c:v>36.500000000000185</c:v>
                </c:pt>
                <c:pt idx="816">
                  <c:v>36.600000000000186</c:v>
                </c:pt>
                <c:pt idx="817">
                  <c:v>36.700000000000188</c:v>
                </c:pt>
                <c:pt idx="818">
                  <c:v>36.800000000000189</c:v>
                </c:pt>
                <c:pt idx="819">
                  <c:v>36.90000000000019</c:v>
                </c:pt>
                <c:pt idx="820">
                  <c:v>37.000000000000192</c:v>
                </c:pt>
                <c:pt idx="821">
                  <c:v>37.100000000000193</c:v>
                </c:pt>
                <c:pt idx="822">
                  <c:v>37.200000000000195</c:v>
                </c:pt>
                <c:pt idx="823">
                  <c:v>37.300000000000196</c:v>
                </c:pt>
                <c:pt idx="824">
                  <c:v>37.400000000000198</c:v>
                </c:pt>
                <c:pt idx="825">
                  <c:v>37.500000000000199</c:v>
                </c:pt>
                <c:pt idx="826">
                  <c:v>37.6000000000002</c:v>
                </c:pt>
                <c:pt idx="827">
                  <c:v>37.700000000000202</c:v>
                </c:pt>
                <c:pt idx="828">
                  <c:v>37.800000000000203</c:v>
                </c:pt>
                <c:pt idx="829">
                  <c:v>37.900000000000205</c:v>
                </c:pt>
                <c:pt idx="830">
                  <c:v>38.000000000000206</c:v>
                </c:pt>
                <c:pt idx="831">
                  <c:v>38.100000000000207</c:v>
                </c:pt>
                <c:pt idx="832">
                  <c:v>38.200000000000209</c:v>
                </c:pt>
                <c:pt idx="833">
                  <c:v>38.30000000000021</c:v>
                </c:pt>
                <c:pt idx="834">
                  <c:v>38.400000000000212</c:v>
                </c:pt>
                <c:pt idx="835">
                  <c:v>38.500000000000213</c:v>
                </c:pt>
                <c:pt idx="836">
                  <c:v>38.600000000000215</c:v>
                </c:pt>
                <c:pt idx="837">
                  <c:v>38.700000000000216</c:v>
                </c:pt>
                <c:pt idx="838">
                  <c:v>38.800000000000217</c:v>
                </c:pt>
                <c:pt idx="839">
                  <c:v>38.900000000000219</c:v>
                </c:pt>
                <c:pt idx="840">
                  <c:v>39.00000000000022</c:v>
                </c:pt>
                <c:pt idx="841">
                  <c:v>39.100000000000222</c:v>
                </c:pt>
                <c:pt idx="842">
                  <c:v>39.200000000000223</c:v>
                </c:pt>
                <c:pt idx="843">
                  <c:v>39.300000000000225</c:v>
                </c:pt>
                <c:pt idx="844">
                  <c:v>39.400000000000226</c:v>
                </c:pt>
                <c:pt idx="845">
                  <c:v>39.500000000000227</c:v>
                </c:pt>
                <c:pt idx="846">
                  <c:v>39.600000000000229</c:v>
                </c:pt>
                <c:pt idx="847">
                  <c:v>39.70000000000023</c:v>
                </c:pt>
                <c:pt idx="848">
                  <c:v>39.800000000000232</c:v>
                </c:pt>
                <c:pt idx="849">
                  <c:v>39.900000000000233</c:v>
                </c:pt>
                <c:pt idx="850">
                  <c:v>40.000000000000234</c:v>
                </c:pt>
                <c:pt idx="851">
                  <c:v>40.100000000000236</c:v>
                </c:pt>
                <c:pt idx="852">
                  <c:v>40.200000000000237</c:v>
                </c:pt>
                <c:pt idx="853">
                  <c:v>40.300000000000239</c:v>
                </c:pt>
                <c:pt idx="854">
                  <c:v>40.40000000000024</c:v>
                </c:pt>
                <c:pt idx="855">
                  <c:v>40.500000000000242</c:v>
                </c:pt>
                <c:pt idx="856">
                  <c:v>40.600000000000243</c:v>
                </c:pt>
                <c:pt idx="857">
                  <c:v>40.700000000000244</c:v>
                </c:pt>
                <c:pt idx="858">
                  <c:v>40.800000000000246</c:v>
                </c:pt>
                <c:pt idx="859">
                  <c:v>40.900000000000247</c:v>
                </c:pt>
                <c:pt idx="860">
                  <c:v>41.000000000000249</c:v>
                </c:pt>
                <c:pt idx="861">
                  <c:v>41.10000000000025</c:v>
                </c:pt>
                <c:pt idx="862">
                  <c:v>41.200000000000252</c:v>
                </c:pt>
                <c:pt idx="863">
                  <c:v>41.300000000000253</c:v>
                </c:pt>
                <c:pt idx="864">
                  <c:v>41.400000000000254</c:v>
                </c:pt>
                <c:pt idx="865">
                  <c:v>41.500000000000256</c:v>
                </c:pt>
                <c:pt idx="866">
                  <c:v>41.600000000000257</c:v>
                </c:pt>
                <c:pt idx="867">
                  <c:v>41.700000000000259</c:v>
                </c:pt>
                <c:pt idx="868">
                  <c:v>41.80000000000026</c:v>
                </c:pt>
                <c:pt idx="869">
                  <c:v>41.900000000000261</c:v>
                </c:pt>
                <c:pt idx="870">
                  <c:v>42.000000000000263</c:v>
                </c:pt>
                <c:pt idx="871">
                  <c:v>42.100000000000264</c:v>
                </c:pt>
                <c:pt idx="872">
                  <c:v>42.200000000000266</c:v>
                </c:pt>
                <c:pt idx="873">
                  <c:v>42.300000000000267</c:v>
                </c:pt>
                <c:pt idx="874">
                  <c:v>42.400000000000269</c:v>
                </c:pt>
                <c:pt idx="875">
                  <c:v>42.50000000000027</c:v>
                </c:pt>
                <c:pt idx="876">
                  <c:v>42.600000000000271</c:v>
                </c:pt>
                <c:pt idx="877">
                  <c:v>42.700000000000273</c:v>
                </c:pt>
                <c:pt idx="878">
                  <c:v>42.800000000000274</c:v>
                </c:pt>
                <c:pt idx="879">
                  <c:v>42.900000000000276</c:v>
                </c:pt>
                <c:pt idx="880">
                  <c:v>43.000000000000277</c:v>
                </c:pt>
                <c:pt idx="881">
                  <c:v>43.100000000000279</c:v>
                </c:pt>
                <c:pt idx="882">
                  <c:v>43.20000000000028</c:v>
                </c:pt>
                <c:pt idx="883">
                  <c:v>43.300000000000281</c:v>
                </c:pt>
                <c:pt idx="884">
                  <c:v>43.400000000000283</c:v>
                </c:pt>
                <c:pt idx="885">
                  <c:v>43.500000000000284</c:v>
                </c:pt>
                <c:pt idx="886">
                  <c:v>43.600000000000286</c:v>
                </c:pt>
                <c:pt idx="887">
                  <c:v>43.700000000000287</c:v>
                </c:pt>
                <c:pt idx="888">
                  <c:v>43.800000000000288</c:v>
                </c:pt>
                <c:pt idx="889">
                  <c:v>43.90000000000029</c:v>
                </c:pt>
                <c:pt idx="890">
                  <c:v>44.000000000000291</c:v>
                </c:pt>
                <c:pt idx="891">
                  <c:v>44.100000000000293</c:v>
                </c:pt>
                <c:pt idx="892">
                  <c:v>44.200000000000294</c:v>
                </c:pt>
                <c:pt idx="893">
                  <c:v>44.300000000000296</c:v>
                </c:pt>
                <c:pt idx="894">
                  <c:v>44.400000000000297</c:v>
                </c:pt>
                <c:pt idx="895">
                  <c:v>44.500000000000298</c:v>
                </c:pt>
                <c:pt idx="896">
                  <c:v>44.6000000000003</c:v>
                </c:pt>
                <c:pt idx="897">
                  <c:v>44.700000000000301</c:v>
                </c:pt>
                <c:pt idx="898">
                  <c:v>44.800000000000303</c:v>
                </c:pt>
                <c:pt idx="899">
                  <c:v>44.900000000000304</c:v>
                </c:pt>
                <c:pt idx="900">
                  <c:v>45.000000000000306</c:v>
                </c:pt>
                <c:pt idx="901">
                  <c:v>45.100000000000307</c:v>
                </c:pt>
                <c:pt idx="902">
                  <c:v>45.200000000000308</c:v>
                </c:pt>
                <c:pt idx="903">
                  <c:v>45.30000000000031</c:v>
                </c:pt>
                <c:pt idx="904">
                  <c:v>45.400000000000311</c:v>
                </c:pt>
                <c:pt idx="905">
                  <c:v>45.500000000000313</c:v>
                </c:pt>
                <c:pt idx="906">
                  <c:v>45.600000000000314</c:v>
                </c:pt>
                <c:pt idx="907">
                  <c:v>45.700000000000315</c:v>
                </c:pt>
                <c:pt idx="908">
                  <c:v>45.800000000000317</c:v>
                </c:pt>
                <c:pt idx="909">
                  <c:v>45.900000000000318</c:v>
                </c:pt>
                <c:pt idx="910">
                  <c:v>46.00000000000032</c:v>
                </c:pt>
                <c:pt idx="911">
                  <c:v>46.100000000000321</c:v>
                </c:pt>
                <c:pt idx="912">
                  <c:v>46.200000000000323</c:v>
                </c:pt>
                <c:pt idx="913">
                  <c:v>46.300000000000324</c:v>
                </c:pt>
                <c:pt idx="914">
                  <c:v>46.400000000000325</c:v>
                </c:pt>
                <c:pt idx="915">
                  <c:v>46.500000000000327</c:v>
                </c:pt>
                <c:pt idx="916">
                  <c:v>46.600000000000328</c:v>
                </c:pt>
                <c:pt idx="917">
                  <c:v>46.70000000000033</c:v>
                </c:pt>
                <c:pt idx="918">
                  <c:v>46.800000000000331</c:v>
                </c:pt>
                <c:pt idx="919">
                  <c:v>46.900000000000333</c:v>
                </c:pt>
                <c:pt idx="920">
                  <c:v>47.000000000000334</c:v>
                </c:pt>
                <c:pt idx="921">
                  <c:v>47.100000000000335</c:v>
                </c:pt>
                <c:pt idx="922">
                  <c:v>47.200000000000337</c:v>
                </c:pt>
                <c:pt idx="923">
                  <c:v>47.300000000000338</c:v>
                </c:pt>
                <c:pt idx="924">
                  <c:v>47.40000000000034</c:v>
                </c:pt>
                <c:pt idx="925">
                  <c:v>47.500000000000341</c:v>
                </c:pt>
                <c:pt idx="926">
                  <c:v>47.600000000000342</c:v>
                </c:pt>
                <c:pt idx="927">
                  <c:v>47.700000000000344</c:v>
                </c:pt>
                <c:pt idx="928">
                  <c:v>47.800000000000345</c:v>
                </c:pt>
                <c:pt idx="929">
                  <c:v>47.900000000000347</c:v>
                </c:pt>
                <c:pt idx="930">
                  <c:v>48.000000000000348</c:v>
                </c:pt>
                <c:pt idx="931">
                  <c:v>48.10000000000035</c:v>
                </c:pt>
                <c:pt idx="932">
                  <c:v>48.200000000000351</c:v>
                </c:pt>
                <c:pt idx="933">
                  <c:v>48.300000000000352</c:v>
                </c:pt>
                <c:pt idx="934">
                  <c:v>48.400000000000354</c:v>
                </c:pt>
                <c:pt idx="935">
                  <c:v>48.500000000000355</c:v>
                </c:pt>
                <c:pt idx="936">
                  <c:v>48.600000000000357</c:v>
                </c:pt>
                <c:pt idx="937">
                  <c:v>48.700000000000358</c:v>
                </c:pt>
                <c:pt idx="938">
                  <c:v>48.80000000000036</c:v>
                </c:pt>
                <c:pt idx="939">
                  <c:v>48.900000000000361</c:v>
                </c:pt>
                <c:pt idx="940">
                  <c:v>49.000000000000362</c:v>
                </c:pt>
                <c:pt idx="941">
                  <c:v>49.100000000000364</c:v>
                </c:pt>
                <c:pt idx="942">
                  <c:v>49.200000000000365</c:v>
                </c:pt>
                <c:pt idx="943">
                  <c:v>49.300000000000367</c:v>
                </c:pt>
                <c:pt idx="944">
                  <c:v>49.30010000000037</c:v>
                </c:pt>
                <c:pt idx="945">
                  <c:v>49.300200000000373</c:v>
                </c:pt>
                <c:pt idx="946">
                  <c:v>49.300300000000377</c:v>
                </c:pt>
                <c:pt idx="947">
                  <c:v>49.30040000000038</c:v>
                </c:pt>
                <c:pt idx="948">
                  <c:v>49.300500000000383</c:v>
                </c:pt>
                <c:pt idx="949">
                  <c:v>49.300600000000387</c:v>
                </c:pt>
                <c:pt idx="950">
                  <c:v>49.30070000000039</c:v>
                </c:pt>
                <c:pt idx="951">
                  <c:v>49.300800000000393</c:v>
                </c:pt>
                <c:pt idx="952">
                  <c:v>49.300900000000397</c:v>
                </c:pt>
                <c:pt idx="953">
                  <c:v>49.3010000000004</c:v>
                </c:pt>
                <c:pt idx="954">
                  <c:v>49.301100000000403</c:v>
                </c:pt>
                <c:pt idx="955">
                  <c:v>49.301200000000406</c:v>
                </c:pt>
                <c:pt idx="956">
                  <c:v>49.30130000000041</c:v>
                </c:pt>
                <c:pt idx="957">
                  <c:v>49.301400000000413</c:v>
                </c:pt>
                <c:pt idx="958">
                  <c:v>49.301500000000416</c:v>
                </c:pt>
                <c:pt idx="959">
                  <c:v>49.30160000000042</c:v>
                </c:pt>
                <c:pt idx="960">
                  <c:v>49.301700000000423</c:v>
                </c:pt>
                <c:pt idx="961">
                  <c:v>49.301800000000426</c:v>
                </c:pt>
                <c:pt idx="962">
                  <c:v>49.30190000000043</c:v>
                </c:pt>
                <c:pt idx="963">
                  <c:v>49.302000000000433</c:v>
                </c:pt>
                <c:pt idx="964">
                  <c:v>49.302100000000436</c:v>
                </c:pt>
                <c:pt idx="965">
                  <c:v>49.30220000000044</c:v>
                </c:pt>
                <c:pt idx="966">
                  <c:v>49.302300000000443</c:v>
                </c:pt>
                <c:pt idx="967">
                  <c:v>49.302400000000446</c:v>
                </c:pt>
                <c:pt idx="968">
                  <c:v>49.30250000000045</c:v>
                </c:pt>
                <c:pt idx="969">
                  <c:v>49.302600000000453</c:v>
                </c:pt>
                <c:pt idx="970">
                  <c:v>49.302700000000456</c:v>
                </c:pt>
                <c:pt idx="971">
                  <c:v>49.30280000000046</c:v>
                </c:pt>
                <c:pt idx="972">
                  <c:v>49.302900000000463</c:v>
                </c:pt>
                <c:pt idx="973">
                  <c:v>49.303000000000466</c:v>
                </c:pt>
                <c:pt idx="974">
                  <c:v>49.30310000000047</c:v>
                </c:pt>
                <c:pt idx="975">
                  <c:v>49.303200000000473</c:v>
                </c:pt>
                <c:pt idx="976">
                  <c:v>49.303300000000476</c:v>
                </c:pt>
                <c:pt idx="977">
                  <c:v>49.30340000000048</c:v>
                </c:pt>
                <c:pt idx="978">
                  <c:v>49.303500000000483</c:v>
                </c:pt>
                <c:pt idx="979">
                  <c:v>49.303600000000486</c:v>
                </c:pt>
                <c:pt idx="980">
                  <c:v>49.303700000000489</c:v>
                </c:pt>
                <c:pt idx="981">
                  <c:v>49.303800000000493</c:v>
                </c:pt>
                <c:pt idx="982">
                  <c:v>49.303900000000496</c:v>
                </c:pt>
                <c:pt idx="983">
                  <c:v>49.304000000000499</c:v>
                </c:pt>
                <c:pt idx="984">
                  <c:v>49.304100000000503</c:v>
                </c:pt>
                <c:pt idx="985">
                  <c:v>49.304200000000506</c:v>
                </c:pt>
                <c:pt idx="986">
                  <c:v>49.304300000000509</c:v>
                </c:pt>
                <c:pt idx="987">
                  <c:v>49.304400000000513</c:v>
                </c:pt>
                <c:pt idx="988">
                  <c:v>49.304500000000516</c:v>
                </c:pt>
                <c:pt idx="989">
                  <c:v>49.304600000000519</c:v>
                </c:pt>
                <c:pt idx="990">
                  <c:v>49.304700000000523</c:v>
                </c:pt>
                <c:pt idx="991">
                  <c:v>49.304800000000526</c:v>
                </c:pt>
                <c:pt idx="992">
                  <c:v>49.304900000000529</c:v>
                </c:pt>
                <c:pt idx="993">
                  <c:v>49.305000000000533</c:v>
                </c:pt>
                <c:pt idx="994">
                  <c:v>49.305100000000536</c:v>
                </c:pt>
                <c:pt idx="995">
                  <c:v>49.305200000000539</c:v>
                </c:pt>
                <c:pt idx="996">
                  <c:v>49.305300000000543</c:v>
                </c:pt>
                <c:pt idx="997">
                  <c:v>49.305400000000546</c:v>
                </c:pt>
                <c:pt idx="998">
                  <c:v>49.305500000000549</c:v>
                </c:pt>
                <c:pt idx="999">
                  <c:v>49.305600000000553</c:v>
                </c:pt>
                <c:pt idx="1000">
                  <c:v>49.305700000000556</c:v>
                </c:pt>
              </c:numCache>
            </c:numRef>
          </c:xVal>
          <c:yVal>
            <c:numRef>
              <c:f>Calculs!$K$4:$K$1004</c:f>
              <c:numCache>
                <c:formatCode>0.00</c:formatCode>
                <c:ptCount val="1001"/>
                <c:pt idx="0">
                  <c:v>0</c:v>
                </c:pt>
                <c:pt idx="1">
                  <c:v>4.4279572656441422E-4</c:v>
                </c:pt>
                <c:pt idx="2">
                  <c:v>2.7845659552549399E-3</c:v>
                </c:pt>
                <c:pt idx="3">
                  <c:v>8.4593506145101884E-3</c:v>
                </c:pt>
                <c:pt idx="4">
                  <c:v>1.8308779906268193E-2</c:v>
                </c:pt>
                <c:pt idx="5">
                  <c:v>3.3175168883948745E-2</c:v>
                </c:pt>
                <c:pt idx="6">
                  <c:v>5.3901621016958577E-2</c:v>
                </c:pt>
                <c:pt idx="7">
                  <c:v>8.1332131042135242E-2</c:v>
                </c:pt>
                <c:pt idx="8">
                  <c:v>0.11631168714046478</c:v>
                </c:pt>
                <c:pt idx="9">
                  <c:v>0.1596863724764486</c:v>
                </c:pt>
                <c:pt idx="10">
                  <c:v>0.21230346613657358</c:v>
                </c:pt>
                <c:pt idx="11">
                  <c:v>0.27476944495113026</c:v>
                </c:pt>
                <c:pt idx="12">
                  <c:v>0.34720740833581992</c:v>
                </c:pt>
                <c:pt idx="13">
                  <c:v>0.429496537796903</c:v>
                </c:pt>
                <c:pt idx="14">
                  <c:v>0.52151208103113078</c:v>
                </c:pt>
                <c:pt idx="15">
                  <c:v>0.62312719351328583</c:v>
                </c:pt>
                <c:pt idx="16">
                  <c:v>0.73421478414008723</c:v>
                </c:pt>
                <c:pt idx="17">
                  <c:v>0.85464751921865045</c:v>
                </c:pt>
                <c:pt idx="18">
                  <c:v>0.9842978264538047</c:v>
                </c:pt>
                <c:pt idx="19">
                  <c:v>1.1230378989337295</c:v>
                </c:pt>
                <c:pt idx="20">
                  <c:v>1.2707396991133766</c:v>
                </c:pt>
                <c:pt idx="21">
                  <c:v>1.4272749627951438</c:v>
                </c:pt>
                <c:pt idx="22">
                  <c:v>1.592515203106273</c:v>
                </c:pt>
                <c:pt idx="23">
                  <c:v>1.7663317144724466</c:v>
                </c:pt>
                <c:pt idx="24">
                  <c:v>1.9485955765870577</c:v>
                </c:pt>
                <c:pt idx="25">
                  <c:v>2.1391776583756372</c:v>
                </c:pt>
                <c:pt idx="26">
                  <c:v>2.3379486219549204</c:v>
                </c:pt>
                <c:pt idx="27">
                  <c:v>2.5448114640407384</c:v>
                </c:pt>
                <c:pt idx="28">
                  <c:v>2.7597341126961408</c:v>
                </c:pt>
                <c:pt idx="29">
                  <c:v>2.9827169737567556</c:v>
                </c:pt>
                <c:pt idx="30">
                  <c:v>3.213760419916297</c:v>
                </c:pt>
                <c:pt idx="31">
                  <c:v>3.4528647906839045</c:v>
                </c:pt>
                <c:pt idx="32">
                  <c:v>3.7000303923421236</c:v>
                </c:pt>
                <c:pt idx="33">
                  <c:v>3.9552574979055302</c:v>
                </c:pt>
                <c:pt idx="34">
                  <c:v>4.2185315499017708</c:v>
                </c:pt>
                <c:pt idx="35">
                  <c:v>4.4898374653202602</c:v>
                </c:pt>
                <c:pt idx="36">
                  <c:v>4.7691744365682753</c:v>
                </c:pt>
                <c:pt idx="37">
                  <c:v>5.0565416370551262</c:v>
                </c:pt>
                <c:pt idx="38">
                  <c:v>5.3519382274349248</c:v>
                </c:pt>
                <c:pt idx="39">
                  <c:v>5.6553633545803503</c:v>
                </c:pt>
                <c:pt idx="40">
                  <c:v>5.9668161506299482</c:v>
                </c:pt>
                <c:pt idx="41">
                  <c:v>6.2862957321018547</c:v>
                </c:pt>
                <c:pt idx="42">
                  <c:v>6.6138011990677033</c:v>
                </c:pt>
                <c:pt idx="43">
                  <c:v>6.9493316343811893</c:v>
                </c:pt>
                <c:pt idx="44">
                  <c:v>7.2928861029564178</c:v>
                </c:pt>
                <c:pt idx="45">
                  <c:v>7.6444636510916872</c:v>
                </c:pt>
                <c:pt idx="46">
                  <c:v>8.0040633058348529</c:v>
                </c:pt>
                <c:pt idx="47">
                  <c:v>8.3716840743868115</c:v>
                </c:pt>
                <c:pt idx="48">
                  <c:v>8.7473249435400202</c:v>
                </c:pt>
                <c:pt idx="49">
                  <c:v>9.1309848791492794</c:v>
                </c:pt>
                <c:pt idx="50">
                  <c:v>9.5226628256322758</c:v>
                </c:pt>
                <c:pt idx="51">
                  <c:v>9.9223577054976317</c:v>
                </c:pt>
                <c:pt idx="52">
                  <c:v>10.33006841889844</c:v>
                </c:pt>
                <c:pt idx="53">
                  <c:v>10.745793843209418</c:v>
                </c:pt>
                <c:pt idx="54">
                  <c:v>11.169532832626027</c:v>
                </c:pt>
                <c:pt idx="55">
                  <c:v>11.601284217784031</c:v>
                </c:pt>
                <c:pt idx="56">
                  <c:v>12.041046805398096</c:v>
                </c:pt>
                <c:pt idx="57">
                  <c:v>12.488819377918182</c:v>
                </c:pt>
                <c:pt idx="58">
                  <c:v>12.944600693202551</c:v>
                </c:pt>
                <c:pt idx="59">
                  <c:v>13.40838948420636</c:v>
                </c:pt>
                <c:pt idx="60">
                  <c:v>13.880184458684836</c:v>
                </c:pt>
                <c:pt idx="61">
                  <c:v>14.359984298910158</c:v>
                </c:pt>
                <c:pt idx="62">
                  <c:v>14.847787661401227</c:v>
                </c:pt>
                <c:pt idx="63">
                  <c:v>15.343593176665555</c:v>
                </c:pt>
                <c:pt idx="64">
                  <c:v>15.847399448952586</c:v>
                </c:pt>
                <c:pt idx="65">
                  <c:v>16.3592050560178</c:v>
                </c:pt>
                <c:pt idx="66">
                  <c:v>16.879008548897001</c:v>
                </c:pt>
                <c:pt idx="67">
                  <c:v>17.406808451690249</c:v>
                </c:pt>
                <c:pt idx="68">
                  <c:v>17.942603261354897</c:v>
                </c:pt>
                <c:pt idx="69">
                  <c:v>18.486391447507291</c:v>
                </c:pt>
                <c:pt idx="70">
                  <c:v>19.038171452232671</c:v>
                </c:pt>
                <c:pt idx="71">
                  <c:v>19.597941689902861</c:v>
                </c:pt>
                <c:pt idx="72">
                  <c:v>20.165700175768404</c:v>
                </c:pt>
                <c:pt idx="73">
                  <c:v>20.741444154050047</c:v>
                </c:pt>
                <c:pt idx="74">
                  <c:v>21.325170468296179</c:v>
                </c:pt>
                <c:pt idx="75">
                  <c:v>21.91687593226121</c:v>
                </c:pt>
                <c:pt idx="76">
                  <c:v>22.516557329770823</c:v>
                </c:pt>
                <c:pt idx="77">
                  <c:v>23.124211414593258</c:v>
                </c:pt>
                <c:pt idx="78">
                  <c:v>23.739834910316418</c:v>
                </c:pt>
                <c:pt idx="79">
                  <c:v>24.363424510230509</c:v>
                </c:pt>
                <c:pt idx="80">
                  <c:v>24.994976877216001</c:v>
                </c:pt>
                <c:pt idx="81">
                  <c:v>25.63448864363669</c:v>
                </c:pt>
                <c:pt idx="82">
                  <c:v>26.281956411237637</c:v>
                </c:pt>
                <c:pt idx="83">
                  <c:v>26.937376751047807</c:v>
                </c:pt>
                <c:pt idx="84">
                  <c:v>27.600746203287237</c:v>
                </c:pt>
                <c:pt idx="85">
                  <c:v>28.272061277278503</c:v>
                </c:pt>
                <c:pt idx="86">
                  <c:v>28.951318451362411</c:v>
                </c:pt>
                <c:pt idx="87">
                  <c:v>29.638514172817686</c:v>
                </c:pt>
                <c:pt idx="88">
                  <c:v>30.333644857784545</c:v>
                </c:pt>
                <c:pt idx="89">
                  <c:v>31.036706891192008</c:v>
                </c:pt>
                <c:pt idx="90">
                  <c:v>31.747696626688839</c:v>
                </c:pt>
                <c:pt idx="91">
                  <c:v>32.466610386577962</c:v>
                </c:pt>
                <c:pt idx="92">
                  <c:v>33.193444461754254</c:v>
                </c:pt>
                <c:pt idx="93">
                  <c:v>33.928195111645628</c:v>
                </c:pt>
                <c:pt idx="94">
                  <c:v>34.670858564157228</c:v>
                </c:pt>
                <c:pt idx="95">
                  <c:v>35.42143101561873</c:v>
                </c:pt>
                <c:pt idx="96">
                  <c:v>36.179908630734609</c:v>
                </c:pt>
                <c:pt idx="97">
                  <c:v>36.946287542537256</c:v>
                </c:pt>
                <c:pt idx="98">
                  <c:v>37.72056385234292</c:v>
                </c:pt>
                <c:pt idx="99">
                  <c:v>38.502733629710349</c:v>
                </c:pt>
                <c:pt idx="100">
                  <c:v>39.292792912402064</c:v>
                </c:pt>
                <c:pt idx="101">
                  <c:v>40.090737706348229</c:v>
                </c:pt>
                <c:pt idx="102">
                  <c:v>40.896563985612978</c:v>
                </c:pt>
                <c:pt idx="103">
                  <c:v>41.710267692363189</c:v>
                </c:pt>
                <c:pt idx="104">
                  <c:v>42.531844736839631</c:v>
                </c:pt>
                <c:pt idx="105">
                  <c:v>43.361290997330386</c:v>
                </c:pt>
                <c:pt idx="106">
                  <c:v>44.198602320146563</c:v>
                </c:pt>
                <c:pt idx="107">
                  <c:v>45.043774519600177</c:v>
                </c:pt>
                <c:pt idx="108">
                  <c:v>45.896803377984163</c:v>
                </c:pt>
                <c:pt idx="109">
                  <c:v>46.757684645554498</c:v>
                </c:pt>
                <c:pt idx="110">
                  <c:v>47.626414040514348</c:v>
                </c:pt>
                <c:pt idx="111">
                  <c:v>48.502987249000228</c:v>
                </c:pt>
                <c:pt idx="112">
                  <c:v>49.387399925070085</c:v>
                </c:pt>
                <c:pt idx="113">
                  <c:v>50.279647690693338</c:v>
                </c:pt>
                <c:pt idx="114">
                  <c:v>51.179726135742719</c:v>
                </c:pt>
                <c:pt idx="115">
                  <c:v>52.087630817988</c:v>
                </c:pt>
                <c:pt idx="116">
                  <c:v>53.003357263091495</c:v>
                </c:pt>
                <c:pt idx="117">
                  <c:v>53.926900964605295</c:v>
                </c:pt>
                <c:pt idx="118">
                  <c:v>54.858257383970262</c:v>
                </c:pt>
                <c:pt idx="119">
                  <c:v>55.797421950516672</c:v>
                </c:pt>
                <c:pt idx="120">
                  <c:v>56.74439006146654</c:v>
                </c:pt>
                <c:pt idx="121">
                  <c:v>57.699157081937571</c:v>
                </c:pt>
                <c:pt idx="122">
                  <c:v>58.661718344948689</c:v>
                </c:pt>
                <c:pt idx="123">
                  <c:v>59.632069151427139</c:v>
                </c:pt>
                <c:pt idx="124">
                  <c:v>60.610204770217138</c:v>
                </c:pt>
                <c:pt idx="125">
                  <c:v>61.596120438090033</c:v>
                </c:pt>
                <c:pt idx="126">
                  <c:v>62.589811359755934</c:v>
                </c:pt>
                <c:pt idx="127">
                  <c:v>63.591272707876847</c:v>
                </c:pt>
                <c:pt idx="128">
                  <c:v>64.600499623081177</c:v>
                </c:pt>
                <c:pt idx="129">
                  <c:v>65.617485503560786</c:v>
                </c:pt>
                <c:pt idx="130">
                  <c:v>66.642220292654955</c:v>
                </c:pt>
                <c:pt idx="131">
                  <c:v>67.674692186725679</c:v>
                </c:pt>
                <c:pt idx="132">
                  <c:v>68.714889345092374</c:v>
                </c:pt>
                <c:pt idx="133">
                  <c:v>69.762799890141025</c:v>
                </c:pt>
                <c:pt idx="134">
                  <c:v>70.818411907434822</c:v>
                </c:pt>
                <c:pt idx="135">
                  <c:v>71.881713445826264</c:v>
                </c:pt>
                <c:pt idx="136">
                  <c:v>72.952692517570782</c:v>
                </c:pt>
                <c:pt idx="137">
                  <c:v>74.031337098441824</c:v>
                </c:pt>
                <c:pt idx="138">
                  <c:v>75.117635127847279</c:v>
                </c:pt>
                <c:pt idx="139">
                  <c:v>76.211574508947365</c:v>
                </c:pt>
                <c:pt idx="140">
                  <c:v>77.313143108773858</c:v>
                </c:pt>
                <c:pt idx="141">
                  <c:v>78.422328758350659</c:v>
                </c:pt>
                <c:pt idx="142">
                  <c:v>79.539119252815667</c:v>
                </c:pt>
                <c:pt idx="143">
                  <c:v>80.663502351543983</c:v>
                </c:pt>
                <c:pt idx="144">
                  <c:v>81.795465778272359</c:v>
                </c:pt>
                <c:pt idx="145">
                  <c:v>82.934997221224876</c:v>
                </c:pt>
                <c:pt idx="146">
                  <c:v>84.082084333239891</c:v>
                </c:pt>
                <c:pt idx="147">
                  <c:v>85.236714731898161</c:v>
                </c:pt>
                <c:pt idx="148">
                  <c:v>86.398875999652148</c:v>
                </c:pt>
                <c:pt idx="149">
                  <c:v>87.568555683956518</c:v>
                </c:pt>
                <c:pt idx="150">
                  <c:v>88.745741297399718</c:v>
                </c:pt>
                <c:pt idx="151">
                  <c:v>89.930420317836763</c:v>
                </c:pt>
                <c:pt idx="152">
                  <c:v>91.12258018852306</c:v>
                </c:pt>
                <c:pt idx="153">
                  <c:v>92.322208318249324</c:v>
                </c:pt>
                <c:pt idx="154">
                  <c:v>93.529292081477607</c:v>
                </c:pt>
                <c:pt idx="155">
                  <c:v>94.743818818478303</c:v>
                </c:pt>
                <c:pt idx="156">
                  <c:v>95.965775835468264</c:v>
                </c:pt>
                <c:pt idx="157">
                  <c:v>97.195150404749867</c:v>
                </c:pt>
                <c:pt idx="158">
                  <c:v>98.431929764851077</c:v>
                </c:pt>
                <c:pt idx="159">
                  <c:v>99.676101120666544</c:v>
                </c:pt>
                <c:pt idx="160">
                  <c:v>100.92765164359959</c:v>
                </c:pt>
                <c:pt idx="161">
                  <c:v>102.18656847170519</c:v>
                </c:pt>
                <c:pt idx="162">
                  <c:v>103.45283870983388</c:v>
                </c:pt>
                <c:pt idx="163">
                  <c:v>104.72644942977657</c:v>
                </c:pt>
                <c:pt idx="164">
                  <c:v>106.0073876704102</c:v>
                </c:pt>
                <c:pt idx="165">
                  <c:v>107.2956404378444</c:v>
                </c:pt>
                <c:pt idx="166">
                  <c:v>108.5911947055689</c:v>
                </c:pt>
                <c:pt idx="167">
                  <c:v>109.89403741460185</c:v>
                </c:pt>
                <c:pt idx="168">
                  <c:v>111.20415547363901</c:v>
                </c:pt>
                <c:pt idx="169">
                  <c:v>112.5215357592036</c:v>
                </c:pt>
                <c:pt idx="170">
                  <c:v>113.84616511579723</c:v>
                </c:pt>
                <c:pt idx="171">
                  <c:v>115.17803035605138</c:v>
                </c:pt>
                <c:pt idx="172">
                  <c:v>116.51711826087977</c:v>
                </c:pt>
                <c:pt idx="173">
                  <c:v>117.86341557963149</c:v>
                </c:pt>
                <c:pt idx="174">
                  <c:v>119.21690903024488</c:v>
                </c:pt>
                <c:pt idx="175">
                  <c:v>120.57758529940213</c:v>
                </c:pt>
                <c:pt idx="176">
                  <c:v>121.94543104268463</c:v>
                </c:pt>
                <c:pt idx="177">
                  <c:v>123.32043288472903</c:v>
                </c:pt>
                <c:pt idx="178">
                  <c:v>124.70257741938399</c:v>
                </c:pt>
                <c:pt idx="179">
                  <c:v>126.09185120986761</c:v>
                </c:pt>
                <c:pt idx="180">
                  <c:v>127.48824078892561</c:v>
                </c:pt>
                <c:pt idx="181">
                  <c:v>128.89173265899001</c:v>
                </c:pt>
                <c:pt idx="182">
                  <c:v>130.30231329233868</c:v>
                </c:pt>
                <c:pt idx="183">
                  <c:v>131.71996913125531</c:v>
                </c:pt>
                <c:pt idx="184">
                  <c:v>133.14468658819018</c:v>
                </c:pt>
                <c:pt idx="185">
                  <c:v>134.5764520459214</c:v>
                </c:pt>
                <c:pt idx="186">
                  <c:v>136.01525185771692</c:v>
                </c:pt>
                <c:pt idx="187">
                  <c:v>137.46107234749695</c:v>
                </c:pt>
                <c:pt idx="188">
                  <c:v>138.91389980999708</c:v>
                </c:pt>
                <c:pt idx="189">
                  <c:v>140.37372051093192</c:v>
                </c:pt>
                <c:pt idx="190">
                  <c:v>141.84052068715931</c:v>
                </c:pt>
                <c:pt idx="191">
                  <c:v>143.3142865468451</c:v>
                </c:pt>
                <c:pt idx="192">
                  <c:v>144.79500426962835</c:v>
                </c:pt>
                <c:pt idx="193">
                  <c:v>146.28266000678727</c:v>
                </c:pt>
                <c:pt idx="194">
                  <c:v>147.77723988140539</c:v>
                </c:pt>
                <c:pt idx="195">
                  <c:v>149.27872998853849</c:v>
                </c:pt>
                <c:pt idx="196">
                  <c:v>150.78711639538182</c:v>
                </c:pt>
                <c:pt idx="197">
                  <c:v>152.30238514143795</c:v>
                </c:pt>
                <c:pt idx="198">
                  <c:v>153.82452223868503</c:v>
                </c:pt>
                <c:pt idx="199">
                  <c:v>155.35351367174545</c:v>
                </c:pt>
                <c:pt idx="200">
                  <c:v>156.88934539805496</c:v>
                </c:pt>
                <c:pt idx="201">
                  <c:v>158.43200334803237</c:v>
                </c:pt>
                <c:pt idx="202">
                  <c:v>159.9814734252495</c:v>
                </c:pt>
                <c:pt idx="203">
                  <c:v>161.53774150660163</c:v>
                </c:pt>
                <c:pt idx="204">
                  <c:v>163.10079344247833</c:v>
                </c:pt>
                <c:pt idx="205">
                  <c:v>164.67061505693471</c:v>
                </c:pt>
                <c:pt idx="206">
                  <c:v>166.24719173060396</c:v>
                </c:pt>
                <c:pt idx="207">
                  <c:v>167.83050798329563</c:v>
                </c:pt>
                <c:pt idx="208">
                  <c:v>169.42054789113925</c:v>
                </c:pt>
                <c:pt idx="209">
                  <c:v>171.01729550405503</c:v>
                </c:pt>
                <c:pt idx="210">
                  <c:v>172.62073484595024</c:v>
                </c:pt>
                <c:pt idx="211">
                  <c:v>174.23084991491604</c:v>
                </c:pt>
                <c:pt idx="212">
                  <c:v>175.84762468342444</c:v>
                </c:pt>
                <c:pt idx="213">
                  <c:v>177.47104309852568</c:v>
                </c:pt>
                <c:pt idx="214">
                  <c:v>179.10108908204572</c:v>
                </c:pt>
                <c:pt idx="215">
                  <c:v>180.73774653078399</c:v>
                </c:pt>
                <c:pt idx="216">
                  <c:v>182.38099931671158</c:v>
                </c:pt>
                <c:pt idx="217">
                  <c:v>184.03083128716938</c:v>
                </c:pt>
                <c:pt idx="218">
                  <c:v>185.68722626506656</c:v>
                </c:pt>
                <c:pt idx="219">
                  <c:v>187.35016804907931</c:v>
                </c:pt>
                <c:pt idx="220">
                  <c:v>189.01964041384969</c:v>
                </c:pt>
                <c:pt idx="221">
                  <c:v>190.69562711018463</c:v>
                </c:pt>
                <c:pt idx="222">
                  <c:v>192.37811186525525</c:v>
                </c:pt>
                <c:pt idx="223">
                  <c:v>194.06707838279615</c:v>
                </c:pt>
                <c:pt idx="224">
                  <c:v>195.76251034330505</c:v>
                </c:pt>
                <c:pt idx="225">
                  <c:v>197.46439140424241</c:v>
                </c:pt>
                <c:pt idx="226">
                  <c:v>199.17270520023123</c:v>
                </c:pt>
                <c:pt idx="227">
                  <c:v>200.8874353432571</c:v>
                </c:pt>
                <c:pt idx="228">
                  <c:v>202.60856542286811</c:v>
                </c:pt>
                <c:pt idx="229">
                  <c:v>204.33607900637509</c:v>
                </c:pt>
                <c:pt idx="230">
                  <c:v>206.0699596390518</c:v>
                </c:pt>
                <c:pt idx="231">
                  <c:v>207.81019084433535</c:v>
                </c:pt>
                <c:pt idx="232">
                  <c:v>209.55675612402646</c:v>
                </c:pt>
                <c:pt idx="233">
                  <c:v>211.30963895849001</c:v>
                </c:pt>
                <c:pt idx="234">
                  <c:v>213.06882280685559</c:v>
                </c:pt>
                <c:pt idx="235">
                  <c:v>214.83429110721798</c:v>
                </c:pt>
                <c:pt idx="236">
                  <c:v>216.60602727683781</c:v>
                </c:pt>
                <c:pt idx="237">
                  <c:v>218.38401471234209</c:v>
                </c:pt>
                <c:pt idx="238">
                  <c:v>220.168236789925</c:v>
                </c:pt>
                <c:pt idx="239">
                  <c:v>221.9586768655484</c:v>
                </c:pt>
                <c:pt idx="240">
                  <c:v>223.75531827514251</c:v>
                </c:pt>
                <c:pt idx="241">
                  <c:v>225.55814433480657</c:v>
                </c:pt>
                <c:pt idx="242">
                  <c:v>227.36713689740657</c:v>
                </c:pt>
                <c:pt idx="243">
                  <c:v>229.18227490839107</c:v>
                </c:pt>
                <c:pt idx="244">
                  <c:v>231.00353584916806</c:v>
                </c:pt>
                <c:pt idx="245">
                  <c:v>232.83089718130574</c:v>
                </c:pt>
                <c:pt idx="246">
                  <c:v>234.66433634681687</c:v>
                </c:pt>
                <c:pt idx="247">
                  <c:v>236.50383076844264</c:v>
                </c:pt>
                <c:pt idx="248">
                  <c:v>238.34935784993638</c:v>
                </c:pt>
                <c:pt idx="249">
                  <c:v>240.2008949763466</c:v>
                </c:pt>
                <c:pt idx="250">
                  <c:v>242.0584195142998</c:v>
                </c:pt>
                <c:pt idx="251">
                  <c:v>243.92190881228277</c:v>
                </c:pt>
                <c:pt idx="252">
                  <c:v>245.79134020092451</c:v>
                </c:pt>
                <c:pt idx="253">
                  <c:v>247.66669099327771</c:v>
                </c:pt>
                <c:pt idx="254">
                  <c:v>249.54793848509965</c:v>
                </c:pt>
                <c:pt idx="255">
                  <c:v>251.4350599551328</c:v>
                </c:pt>
                <c:pt idx="256">
                  <c:v>253.32803266538477</c:v>
                </c:pt>
                <c:pt idx="257">
                  <c:v>255.2268338614079</c:v>
                </c:pt>
                <c:pt idx="258">
                  <c:v>257.13144077257829</c:v>
                </c:pt>
                <c:pt idx="259">
                  <c:v>259.04183061237421</c:v>
                </c:pt>
                <c:pt idx="260">
                  <c:v>260.9579805786542</c:v>
                </c:pt>
                <c:pt idx="261">
                  <c:v>262.8798678539344</c:v>
                </c:pt>
                <c:pt idx="262">
                  <c:v>264.80746960566546</c:v>
                </c:pt>
                <c:pt idx="263">
                  <c:v>266.74076298650891</c:v>
                </c:pt>
                <c:pt idx="264">
                  <c:v>268.67972513461274</c:v>
                </c:pt>
                <c:pt idx="265">
                  <c:v>270.62433317388667</c:v>
                </c:pt>
                <c:pt idx="266">
                  <c:v>272.57456421427668</c:v>
                </c:pt>
                <c:pt idx="267">
                  <c:v>274.53039535203885</c:v>
                </c:pt>
                <c:pt idx="268">
                  <c:v>276.49180367001287</c:v>
                </c:pt>
                <c:pt idx="269">
                  <c:v>278.45876623789445</c:v>
                </c:pt>
                <c:pt idx="270">
                  <c:v>280.43126011250763</c:v>
                </c:pt>
                <c:pt idx="271">
                  <c:v>282.40926233807602</c:v>
                </c:pt>
                <c:pt idx="272">
                  <c:v>284.3927499464935</c:v>
                </c:pt>
                <c:pt idx="273">
                  <c:v>286.38169995759444</c:v>
                </c:pt>
                <c:pt idx="274">
                  <c:v>288.37608937942298</c:v>
                </c:pt>
                <c:pt idx="275">
                  <c:v>290.37589520850162</c:v>
                </c:pt>
                <c:pt idx="276">
                  <c:v>292.38109443009938</c:v>
                </c:pt>
                <c:pt idx="277">
                  <c:v>294.39166401849894</c:v>
                </c:pt>
                <c:pt idx="278">
                  <c:v>296.40758093726328</c:v>
                </c:pt>
                <c:pt idx="279">
                  <c:v>298.42882213950139</c:v>
                </c:pt>
                <c:pt idx="280">
                  <c:v>300.45536456813352</c:v>
                </c:pt>
                <c:pt idx="281">
                  <c:v>302.48718515615536</c:v>
                </c:pt>
                <c:pt idx="282">
                  <c:v>304.52426082690164</c:v>
                </c:pt>
                <c:pt idx="283">
                  <c:v>306.56656849430897</c:v>
                </c:pt>
                <c:pt idx="284">
                  <c:v>308.61408675959296</c:v>
                </c:pt>
                <c:pt idx="285">
                  <c:v>310.6667976083549</c:v>
                </c:pt>
                <c:pt idx="286">
                  <c:v>312.72468471406745</c:v>
                </c:pt>
                <c:pt idx="287">
                  <c:v>314.78773174108568</c:v>
                </c:pt>
                <c:pt idx="288">
                  <c:v>316.85592234481788</c:v>
                </c:pt>
                <c:pt idx="289">
                  <c:v>318.92924017189574</c:v>
                </c:pt>
                <c:pt idx="290">
                  <c:v>321.00766886034449</c:v>
                </c:pt>
                <c:pt idx="291">
                  <c:v>323.09119203975251</c:v>
                </c:pt>
                <c:pt idx="292">
                  <c:v>325.17979333144058</c:v>
                </c:pt>
                <c:pt idx="293">
                  <c:v>327.2734563486307</c:v>
                </c:pt>
                <c:pt idx="294">
                  <c:v>329.37216469661479</c:v>
                </c:pt>
                <c:pt idx="295">
                  <c:v>331.47590197292254</c:v>
                </c:pt>
                <c:pt idx="296">
                  <c:v>333.58465176748928</c:v>
                </c:pt>
                <c:pt idx="297">
                  <c:v>335.69839766282314</c:v>
                </c:pt>
                <c:pt idx="298">
                  <c:v>337.81712323417213</c:v>
                </c:pt>
                <c:pt idx="299">
                  <c:v>339.94081204969046</c:v>
                </c:pt>
                <c:pt idx="300">
                  <c:v>342.06944767060475</c:v>
                </c:pt>
                <c:pt idx="301">
                  <c:v>344.20301365137954</c:v>
                </c:pt>
                <c:pt idx="302">
                  <c:v>346.34149353988255</c:v>
                </c:pt>
                <c:pt idx="303">
                  <c:v>348.48487087754961</c:v>
                </c:pt>
                <c:pt idx="304">
                  <c:v>350.63312919954882</c:v>
                </c:pt>
                <c:pt idx="305">
                  <c:v>352.7862520349446</c:v>
                </c:pt>
                <c:pt idx="306">
                  <c:v>354.94422290686106</c:v>
                </c:pt>
                <c:pt idx="307">
                  <c:v>357.10702533264521</c:v>
                </c:pt>
                <c:pt idx="308">
                  <c:v>359.27464282402934</c:v>
                </c:pt>
                <c:pt idx="309">
                  <c:v>361.44705888729322</c:v>
                </c:pt>
                <c:pt idx="310">
                  <c:v>363.62425702342574</c:v>
                </c:pt>
                <c:pt idx="311">
                  <c:v>365.80622072828618</c:v>
                </c:pt>
                <c:pt idx="312">
                  <c:v>367.99293349276485</c:v>
                </c:pt>
                <c:pt idx="313">
                  <c:v>370.18437880294334</c:v>
                </c:pt>
                <c:pt idx="314">
                  <c:v>372.38054014025431</c:v>
                </c:pt>
                <c:pt idx="315">
                  <c:v>374.5814009816408</c:v>
                </c:pt>
                <c:pt idx="316">
                  <c:v>376.78694479971506</c:v>
                </c:pt>
                <c:pt idx="317">
                  <c:v>378.99715506291682</c:v>
                </c:pt>
                <c:pt idx="318">
                  <c:v>381.212015235671</c:v>
                </c:pt>
                <c:pt idx="319">
                  <c:v>383.43150877854532</c:v>
                </c:pt>
                <c:pt idx="320">
                  <c:v>385.65561914840691</c:v>
                </c:pt>
                <c:pt idx="321">
                  <c:v>387.88432979857862</c:v>
                </c:pt>
                <c:pt idx="322">
                  <c:v>390.1176241789949</c:v>
                </c:pt>
                <c:pt idx="323">
                  <c:v>392.35548573635714</c:v>
                </c:pt>
                <c:pt idx="324">
                  <c:v>394.59789791428835</c:v>
                </c:pt>
                <c:pt idx="325">
                  <c:v>396.84484415348749</c:v>
                </c:pt>
                <c:pt idx="326">
                  <c:v>399.09630799617696</c:v>
                </c:pt>
                <c:pt idx="327">
                  <c:v>401.35227319055349</c:v>
                </c:pt>
                <c:pt idx="328">
                  <c:v>403.61272358658442</c:v>
                </c:pt>
                <c:pt idx="329">
                  <c:v>405.87764303179728</c:v>
                </c:pt>
                <c:pt idx="330">
                  <c:v>408.14701537142707</c:v>
                </c:pt>
                <c:pt idx="331">
                  <c:v>410.42082444856277</c:v>
                </c:pt>
                <c:pt idx="332">
                  <c:v>412.69905410429345</c:v>
                </c:pt>
                <c:pt idx="333">
                  <c:v>414.98168817785404</c:v>
                </c:pt>
                <c:pt idx="334">
                  <c:v>417.26871050677016</c:v>
                </c:pt>
                <c:pt idx="335">
                  <c:v>419.56010492700295</c:v>
                </c:pt>
                <c:pt idx="336">
                  <c:v>421.8558552730928</c:v>
                </c:pt>
                <c:pt idx="337">
                  <c:v>424.15594537830304</c:v>
                </c:pt>
                <c:pt idx="338">
                  <c:v>426.46035907476289</c:v>
                </c:pt>
                <c:pt idx="339">
                  <c:v>428.76908019360974</c:v>
                </c:pt>
                <c:pt idx="340">
                  <c:v>431.08209256513118</c:v>
                </c:pt>
                <c:pt idx="341">
                  <c:v>433.39938001890624</c:v>
                </c:pt>
                <c:pt idx="342">
                  <c:v>435.72092638394628</c:v>
                </c:pt>
                <c:pt idx="343">
                  <c:v>438.04671548883516</c:v>
                </c:pt>
                <c:pt idx="344">
                  <c:v>440.37673116186897</c:v>
                </c:pt>
                <c:pt idx="345">
                  <c:v>442.71095723119515</c:v>
                </c:pt>
                <c:pt idx="346">
                  <c:v>445.04937752495101</c:v>
                </c:pt>
                <c:pt idx="347">
                  <c:v>447.39197587140194</c:v>
                </c:pt>
                <c:pt idx="348">
                  <c:v>449.73873609907872</c:v>
                </c:pt>
                <c:pt idx="349">
                  <c:v>452.08964203691443</c:v>
                </c:pt>
                <c:pt idx="350">
                  <c:v>454.44467751438094</c:v>
                </c:pt>
                <c:pt idx="351">
                  <c:v>456.80382636162449</c:v>
                </c:pt>
                <c:pt idx="352">
                  <c:v>459.16707240960096</c:v>
                </c:pt>
                <c:pt idx="353">
                  <c:v>461.53439949021055</c:v>
                </c:pt>
                <c:pt idx="354">
                  <c:v>463.9057914364318</c:v>
                </c:pt>
                <c:pt idx="355">
                  <c:v>466.28123208245512</c:v>
                </c:pt>
                <c:pt idx="356">
                  <c:v>468.66070526381549</c:v>
                </c:pt>
                <c:pt idx="357">
                  <c:v>471.04419481752507</c:v>
                </c:pt>
                <c:pt idx="358">
                  <c:v>473.4316845822047</c:v>
                </c:pt>
                <c:pt idx="359">
                  <c:v>475.82315839821513</c:v>
                </c:pt>
                <c:pt idx="360">
                  <c:v>478.21860010778767</c:v>
                </c:pt>
                <c:pt idx="361">
                  <c:v>480.61799355515399</c:v>
                </c:pt>
                <c:pt idx="362">
                  <c:v>483.02132258667564</c:v>
                </c:pt>
                <c:pt idx="363">
                  <c:v>485.42857105097283</c:v>
                </c:pt>
                <c:pt idx="364">
                  <c:v>487.83972279905254</c:v>
                </c:pt>
                <c:pt idx="365">
                  <c:v>490.25476168443623</c:v>
                </c:pt>
                <c:pt idx="366">
                  <c:v>492.67367420887518</c:v>
                </c:pt>
                <c:pt idx="367">
                  <c:v>495.09645216765875</c:v>
                </c:pt>
                <c:pt idx="368">
                  <c:v>497.52309000166952</c:v>
                </c:pt>
                <c:pt idx="369">
                  <c:v>499.95358214980331</c:v>
                </c:pt>
                <c:pt idx="370">
                  <c:v>502.38792304901108</c:v>
                </c:pt>
                <c:pt idx="371">
                  <c:v>504.82610713434059</c:v>
                </c:pt>
                <c:pt idx="372">
                  <c:v>507.26812883897844</c:v>
                </c:pt>
                <c:pt idx="373">
                  <c:v>509.71398259429139</c:v>
                </c:pt>
                <c:pt idx="374">
                  <c:v>512.16366282986826</c:v>
                </c:pt>
                <c:pt idx="375">
                  <c:v>514.61716397356111</c:v>
                </c:pt>
                <c:pt idx="376">
                  <c:v>517.07448045152682</c:v>
                </c:pt>
                <c:pt idx="377">
                  <c:v>519.53560668826844</c:v>
                </c:pt>
                <c:pt idx="378">
                  <c:v>522.00053710667646</c:v>
                </c:pt>
                <c:pt idx="379">
                  <c:v>524.46926612806988</c:v>
                </c:pt>
                <c:pt idx="380">
                  <c:v>526.94178817223735</c:v>
                </c:pt>
                <c:pt idx="381">
                  <c:v>529.41809480143672</c:v>
                </c:pt>
                <c:pt idx="382">
                  <c:v>531.89817186494156</c:v>
                </c:pt>
                <c:pt idx="383">
                  <c:v>534.38200235801844</c:v>
                </c:pt>
                <c:pt idx="384">
                  <c:v>536.86956928040161</c:v>
                </c:pt>
                <c:pt idx="385">
                  <c:v>539.36085563642223</c:v>
                </c:pt>
                <c:pt idx="386">
                  <c:v>541.85584443513699</c:v>
                </c:pt>
                <c:pt idx="387">
                  <c:v>544.35451869045528</c:v>
                </c:pt>
                <c:pt idx="388">
                  <c:v>546.85686142126667</c:v>
                </c:pt>
                <c:pt idx="389">
                  <c:v>549.36285565156709</c:v>
                </c:pt>
                <c:pt idx="390">
                  <c:v>551.87248441058443</c:v>
                </c:pt>
                <c:pt idx="391">
                  <c:v>554.38573073290354</c:v>
                </c:pt>
                <c:pt idx="392">
                  <c:v>556.9025776585903</c:v>
                </c:pt>
                <c:pt idx="393">
                  <c:v>559.42300823331561</c:v>
                </c:pt>
                <c:pt idx="394">
                  <c:v>561.94700550847767</c:v>
                </c:pt>
                <c:pt idx="395">
                  <c:v>564.47455254132467</c:v>
                </c:pt>
                <c:pt idx="396">
                  <c:v>567.00563239507608</c:v>
                </c:pt>
                <c:pt idx="397">
                  <c:v>569.54022813904328</c:v>
                </c:pt>
                <c:pt idx="398">
                  <c:v>572.07832284874985</c:v>
                </c:pt>
                <c:pt idx="399">
                  <c:v>574.61989960605081</c:v>
                </c:pt>
                <c:pt idx="400">
                  <c:v>577.16494149925143</c:v>
                </c:pt>
                <c:pt idx="401">
                  <c:v>579.7134293809554</c:v>
                </c:pt>
                <c:pt idx="402">
                  <c:v>582.26533962656458</c:v>
                </c:pt>
                <c:pt idx="403">
                  <c:v>584.82064637933536</c:v>
                </c:pt>
                <c:pt idx="404">
                  <c:v>587.37932379482743</c:v>
                </c:pt>
                <c:pt idx="405">
                  <c:v>589.94134604110957</c:v>
                </c:pt>
                <c:pt idx="406">
                  <c:v>592.50668729896449</c:v>
                </c:pt>
                <c:pt idx="407">
                  <c:v>595.07532176209168</c:v>
                </c:pt>
                <c:pt idx="408">
                  <c:v>597.64722363730891</c:v>
                </c:pt>
                <c:pt idx="409">
                  <c:v>600.2223671447523</c:v>
                </c:pt>
                <c:pt idx="410">
                  <c:v>602.80072651807461</c:v>
                </c:pt>
                <c:pt idx="411">
                  <c:v>605.38226362786168</c:v>
                </c:pt>
                <c:pt idx="412">
                  <c:v>607.96691560961267</c:v>
                </c:pt>
                <c:pt idx="413">
                  <c:v>610.55460725718456</c:v>
                </c:pt>
                <c:pt idx="414">
                  <c:v>613.14526341212638</c:v>
                </c:pt>
                <c:pt idx="415">
                  <c:v>615.73880896478317</c:v>
                </c:pt>
                <c:pt idx="416">
                  <c:v>618.33516885538825</c:v>
                </c:pt>
                <c:pt idx="417">
                  <c:v>620.93426807514436</c:v>
                </c:pt>
                <c:pt idx="418">
                  <c:v>623.53603166729283</c:v>
                </c:pt>
                <c:pt idx="419">
                  <c:v>626.14038472817185</c:v>
                </c:pt>
                <c:pt idx="420">
                  <c:v>628.74724537442728</c:v>
                </c:pt>
                <c:pt idx="421">
                  <c:v>631.35651771397045</c:v>
                </c:pt>
                <c:pt idx="422">
                  <c:v>633.96809889210795</c:v>
                </c:pt>
                <c:pt idx="423">
                  <c:v>636.58188613430775</c:v>
                </c:pt>
                <c:pt idx="424">
                  <c:v>639.19777674801162</c:v>
                </c:pt>
                <c:pt idx="425">
                  <c:v>641.8156681244252</c:v>
                </c:pt>
                <c:pt idx="426">
                  <c:v>644.43545774028735</c:v>
                </c:pt>
                <c:pt idx="427">
                  <c:v>647.05704315961793</c:v>
                </c:pt>
                <c:pt idx="428">
                  <c:v>649.68032203544362</c:v>
                </c:pt>
                <c:pt idx="429">
                  <c:v>652.30519211150329</c:v>
                </c:pt>
                <c:pt idx="430">
                  <c:v>654.93155122393091</c:v>
                </c:pt>
                <c:pt idx="431">
                  <c:v>657.5592973029178</c:v>
                </c:pt>
                <c:pt idx="432">
                  <c:v>660.18831705355319</c:v>
                </c:pt>
                <c:pt idx="433">
                  <c:v>662.81847464582984</c:v>
                </c:pt>
                <c:pt idx="434">
                  <c:v>665.44962306010348</c:v>
                </c:pt>
                <c:pt idx="435">
                  <c:v>668.08161542419873</c:v>
                </c:pt>
                <c:pt idx="436">
                  <c:v>670.71430501665748</c:v>
                </c:pt>
                <c:pt idx="437">
                  <c:v>673.34754526994288</c:v>
                </c:pt>
                <c:pt idx="438">
                  <c:v>675.98118977359934</c:v>
                </c:pt>
                <c:pt idx="439">
                  <c:v>678.6150922773669</c:v>
                </c:pt>
                <c:pt idx="440">
                  <c:v>681.24910669425208</c:v>
                </c:pt>
                <c:pt idx="441">
                  <c:v>683.88308710355341</c:v>
                </c:pt>
                <c:pt idx="442">
                  <c:v>686.51689462337754</c:v>
                </c:pt>
                <c:pt idx="443">
                  <c:v>689.15040427543317</c:v>
                </c:pt>
                <c:pt idx="444">
                  <c:v>691.78349810123439</c:v>
                </c:pt>
                <c:pt idx="445">
                  <c:v>694.41605828542538</c:v>
                </c:pt>
                <c:pt idx="446">
                  <c:v>697.04796715756731</c:v>
                </c:pt>
                <c:pt idx="447">
                  <c:v>699.67910719389579</c:v>
                </c:pt>
                <c:pt idx="448">
                  <c:v>702.30936101904945</c:v>
                </c:pt>
                <c:pt idx="449">
                  <c:v>704.93861140777028</c:v>
                </c:pt>
                <c:pt idx="450">
                  <c:v>707.56674128657414</c:v>
                </c:pt>
                <c:pt idx="451">
                  <c:v>710.19363373539363</c:v>
                </c:pt>
                <c:pt idx="452">
                  <c:v>712.81917198919189</c:v>
                </c:pt>
                <c:pt idx="453">
                  <c:v>715.44324926883144</c:v>
                </c:pt>
                <c:pt idx="454">
                  <c:v>718.06577859851507</c:v>
                </c:pt>
                <c:pt idx="455">
                  <c:v>720.68668295008877</c:v>
                </c:pt>
                <c:pt idx="456">
                  <c:v>723.30588540023746</c:v>
                </c:pt>
                <c:pt idx="457">
                  <c:v>725.92330913100648</c:v>
                </c:pt>
                <c:pt idx="458">
                  <c:v>728.53887743031214</c:v>
                </c:pt>
                <c:pt idx="459">
                  <c:v>731.15251369243992</c:v>
                </c:pt>
                <c:pt idx="460">
                  <c:v>733.76414141853127</c:v>
                </c:pt>
                <c:pt idx="461">
                  <c:v>736.37369305874404</c:v>
                </c:pt>
                <c:pt idx="462">
                  <c:v>738.98111884143589</c:v>
                </c:pt>
                <c:pt idx="463">
                  <c:v>741.58637790564012</c:v>
                </c:pt>
                <c:pt idx="464">
                  <c:v>744.18942944628725</c:v>
                </c:pt>
                <c:pt idx="465">
                  <c:v>746.79023271422307</c:v>
                </c:pt>
                <c:pt idx="466">
                  <c:v>749.38873959016667</c:v>
                </c:pt>
                <c:pt idx="467">
                  <c:v>751.98488716982456</c:v>
                </c:pt>
                <c:pt idx="468">
                  <c:v>754.57852252038674</c:v>
                </c:pt>
                <c:pt idx="469">
                  <c:v>757.16942874812855</c:v>
                </c:pt>
                <c:pt idx="470">
                  <c:v>759.75750897956016</c:v>
                </c:pt>
                <c:pt idx="471">
                  <c:v>762.34276767407391</c:v>
                </c:pt>
                <c:pt idx="472">
                  <c:v>764.92520927774012</c:v>
                </c:pt>
                <c:pt idx="473">
                  <c:v>767.50483822336014</c:v>
                </c:pt>
                <c:pt idx="474">
                  <c:v>770.08165893051876</c:v>
                </c:pt>
                <c:pt idx="475">
                  <c:v>772.65567580563686</c:v>
                </c:pt>
                <c:pt idx="476">
                  <c:v>775.22689324202315</c:v>
                </c:pt>
                <c:pt idx="477">
                  <c:v>777.79531561992633</c:v>
                </c:pt>
                <c:pt idx="478">
                  <c:v>780.36094730658658</c:v>
                </c:pt>
                <c:pt idx="479">
                  <c:v>782.92379265628688</c:v>
                </c:pt>
                <c:pt idx="480">
                  <c:v>785.48385601040411</c:v>
                </c:pt>
                <c:pt idx="481">
                  <c:v>788.04114169745981</c:v>
                </c:pt>
                <c:pt idx="482">
                  <c:v>790.59565403317083</c:v>
                </c:pt>
                <c:pt idx="483">
                  <c:v>793.14739732049964</c:v>
                </c:pt>
                <c:pt idx="484">
                  <c:v>795.69637584970417</c:v>
                </c:pt>
                <c:pt idx="485">
                  <c:v>798.24259389838801</c:v>
                </c:pt>
                <c:pt idx="486">
                  <c:v>800.78605573154982</c:v>
                </c:pt>
                <c:pt idx="487">
                  <c:v>803.32676560163247</c:v>
                </c:pt>
                <c:pt idx="488">
                  <c:v>805.86472774857225</c:v>
                </c:pt>
                <c:pt idx="489">
                  <c:v>808.39994639984786</c:v>
                </c:pt>
                <c:pt idx="490">
                  <c:v>810.93242577052888</c:v>
                </c:pt>
                <c:pt idx="491">
                  <c:v>813.46217006332404</c:v>
                </c:pt>
                <c:pt idx="492">
                  <c:v>815.98918346862934</c:v>
                </c:pt>
                <c:pt idx="493">
                  <c:v>818.51347016457623</c:v>
                </c:pt>
                <c:pt idx="494">
                  <c:v>821.03503431707884</c:v>
                </c:pt>
                <c:pt idx="495">
                  <c:v>823.55388007988165</c:v>
                </c:pt>
                <c:pt idx="496">
                  <c:v>826.07001159460663</c:v>
                </c:pt>
                <c:pt idx="497">
                  <c:v>828.58343299080002</c:v>
                </c:pt>
                <c:pt idx="498">
                  <c:v>831.09414838597945</c:v>
                </c:pt>
                <c:pt idx="499">
                  <c:v>833.60216188567995</c:v>
                </c:pt>
                <c:pt idx="500">
                  <c:v>836.10747758350044</c:v>
                </c:pt>
                <c:pt idx="501">
                  <c:v>861.01257165723757</c:v>
                </c:pt>
                <c:pt idx="502">
                  <c:v>885.65051542412959</c:v>
                </c:pt>
                <c:pt idx="503">
                  <c:v>910.02528700209302</c:v>
                </c:pt>
                <c:pt idx="504">
                  <c:v>934.14075123234056</c:v>
                </c:pt>
                <c:pt idx="505">
                  <c:v>958.0006639235088</c:v>
                </c:pt>
                <c:pt idx="506">
                  <c:v>981.60867589596035</c:v>
                </c:pt>
                <c:pt idx="507">
                  <c:v>1004.9683368375148</c:v>
                </c:pt>
                <c:pt idx="508">
                  <c:v>1028.0830989811241</c:v>
                </c:pt>
                <c:pt idx="509">
                  <c:v>1050.9563206143273</c:v>
                </c:pt>
                <c:pt idx="510">
                  <c:v>1073.5912694296894</c:v>
                </c:pt>
                <c:pt idx="511">
                  <c:v>1095.9911257248414</c:v>
                </c:pt>
                <c:pt idx="512">
                  <c:v>1118.1589854601978</c:v>
                </c:pt>
                <c:pt idx="513">
                  <c:v>1140.0978631819232</c:v>
                </c:pt>
                <c:pt idx="514">
                  <c:v>1161.8106948172513</c:v>
                </c:pt>
                <c:pt idx="515">
                  <c:v>1183.3003403488226</c:v>
                </c:pt>
                <c:pt idx="516">
                  <c:v>1204.5695863743065</c:v>
                </c:pt>
                <c:pt idx="517">
                  <c:v>1225.6211485571914</c:v>
                </c:pt>
                <c:pt idx="518">
                  <c:v>1246.4576739742779</c:v>
                </c:pt>
                <c:pt idx="519">
                  <c:v>1267.0817433650823</c:v>
                </c:pt>
                <c:pt idx="520">
                  <c:v>1287.4958732880539</c:v>
                </c:pt>
                <c:pt idx="521">
                  <c:v>1307.7025181882202</c:v>
                </c:pt>
                <c:pt idx="522">
                  <c:v>1327.7040723806124</c:v>
                </c:pt>
                <c:pt idx="523">
                  <c:v>1347.5028719535737</c:v>
                </c:pt>
                <c:pt idx="524">
                  <c:v>1367.1011965958194</c:v>
                </c:pt>
                <c:pt idx="525">
                  <c:v>1386.5012713508995</c:v>
                </c:pt>
                <c:pt idx="526">
                  <c:v>1405.7052683025154</c:v>
                </c:pt>
                <c:pt idx="527">
                  <c:v>1424.7153081939452</c:v>
                </c:pt>
                <c:pt idx="528">
                  <c:v>1443.5334619846592</c:v>
                </c:pt>
                <c:pt idx="529">
                  <c:v>1462.161752347035</c:v>
                </c:pt>
                <c:pt idx="530">
                  <c:v>1480.602155105928</c:v>
                </c:pt>
                <c:pt idx="531">
                  <c:v>1498.8566006237045</c:v>
                </c:pt>
                <c:pt idx="532">
                  <c:v>1516.9269751332042</c:v>
                </c:pt>
                <c:pt idx="533">
                  <c:v>1534.815122020972</c:v>
                </c:pt>
                <c:pt idx="534">
                  <c:v>1552.5228430629732</c:v>
                </c:pt>
                <c:pt idx="535">
                  <c:v>1570.0518996148946</c:v>
                </c:pt>
                <c:pt idx="536">
                  <c:v>1587.4040137590243</c:v>
                </c:pt>
                <c:pt idx="537">
                  <c:v>1604.5808694095983</c:v>
                </c:pt>
                <c:pt idx="538">
                  <c:v>1621.5841133784127</c:v>
                </c:pt>
                <c:pt idx="539">
                  <c:v>1638.4153564024016</c:v>
                </c:pt>
                <c:pt idx="540">
                  <c:v>1655.076174134804</c:v>
                </c:pt>
                <c:pt idx="541">
                  <c:v>1671.5681081014545</c:v>
                </c:pt>
                <c:pt idx="542">
                  <c:v>1687.8926666236644</c:v>
                </c:pt>
                <c:pt idx="543">
                  <c:v>1704.0513257090809</c:v>
                </c:pt>
                <c:pt idx="544">
                  <c:v>1720.0455299118523</c:v>
                </c:pt>
                <c:pt idx="545">
                  <c:v>1735.8766931633552</c:v>
                </c:pt>
                <c:pt idx="546">
                  <c:v>1751.5461995746853</c:v>
                </c:pt>
                <c:pt idx="547">
                  <c:v>1767.0554042120552</c:v>
                </c:pt>
                <c:pt idx="548">
                  <c:v>1782.4056338461851</c:v>
                </c:pt>
                <c:pt idx="549">
                  <c:v>1797.5981876767262</c:v>
                </c:pt>
                <c:pt idx="550">
                  <c:v>1812.634338032706</c:v>
                </c:pt>
                <c:pt idx="551">
                  <c:v>1827.5153310499368</c:v>
                </c:pt>
                <c:pt idx="552">
                  <c:v>1842.2423873262906</c:v>
                </c:pt>
                <c:pt idx="553">
                  <c:v>1856.8167025556961</c:v>
                </c:pt>
                <c:pt idx="554">
                  <c:v>1871.2394481416814</c:v>
                </c:pt>
                <c:pt idx="555">
                  <c:v>1885.5117717912422</c:v>
                </c:pt>
                <c:pt idx="556">
                  <c:v>1899.6347980897863</c:v>
                </c:pt>
                <c:pt idx="557">
                  <c:v>1913.6096290578682</c:v>
                </c:pt>
                <c:pt idx="558">
                  <c:v>1927.4373446903965</c:v>
                </c:pt>
                <c:pt idx="559">
                  <c:v>1941.1190034789684</c:v>
                </c:pt>
                <c:pt idx="560">
                  <c:v>1954.6556429179564</c:v>
                </c:pt>
                <c:pt idx="561">
                  <c:v>1968.0482799949443</c:v>
                </c:pt>
                <c:pt idx="562">
                  <c:v>1981.2979116660854</c:v>
                </c:pt>
                <c:pt idx="563">
                  <c:v>1994.4055153169286</c:v>
                </c:pt>
                <c:pt idx="564">
                  <c:v>2007.3720492092409</c:v>
                </c:pt>
                <c:pt idx="565">
                  <c:v>2020.198452914324</c:v>
                </c:pt>
                <c:pt idx="566">
                  <c:v>2032.8856477333097</c:v>
                </c:pt>
                <c:pt idx="567">
                  <c:v>2045.4345371048933</c:v>
                </c:pt>
                <c:pt idx="568">
                  <c:v>2057.8460070009473</c:v>
                </c:pt>
                <c:pt idx="569">
                  <c:v>2070.1209263104424</c:v>
                </c:pt>
                <c:pt idx="570">
                  <c:v>2082.2601472120764</c:v>
                </c:pt>
                <c:pt idx="571">
                  <c:v>2094.2645055360067</c:v>
                </c:pt>
                <c:pt idx="572">
                  <c:v>2106.1348211150585</c:v>
                </c:pt>
                <c:pt idx="573">
                  <c:v>2117.8718981257671</c:v>
                </c:pt>
                <c:pt idx="574">
                  <c:v>2129.4765254196027</c:v>
                </c:pt>
                <c:pt idx="575">
                  <c:v>2140.9494768447034</c:v>
                </c:pt>
                <c:pt idx="576">
                  <c:v>2152.2915115584415</c:v>
                </c:pt>
                <c:pt idx="577">
                  <c:v>2163.5033743311242</c:v>
                </c:pt>
                <c:pt idx="578">
                  <c:v>2174.5857958411243</c:v>
                </c:pt>
                <c:pt idx="579">
                  <c:v>2185.5394929617232</c:v>
                </c:pt>
                <c:pt idx="580">
                  <c:v>2196.3651690399392</c:v>
                </c:pt>
                <c:pt idx="581">
                  <c:v>2207.0635141676021</c:v>
                </c:pt>
                <c:pt idx="582">
                  <c:v>2217.6352054449248</c:v>
                </c:pt>
                <c:pt idx="583">
                  <c:v>2228.0809072368152</c:v>
                </c:pt>
                <c:pt idx="584">
                  <c:v>2238.4012714221617</c:v>
                </c:pt>
                <c:pt idx="585">
                  <c:v>2248.5969376363159</c:v>
                </c:pt>
                <c:pt idx="586">
                  <c:v>2258.6685335069915</c:v>
                </c:pt>
                <c:pt idx="587">
                  <c:v>2268.6166748837823</c:v>
                </c:pt>
                <c:pt idx="588">
                  <c:v>2278.4419660615085</c:v>
                </c:pt>
                <c:pt idx="589">
                  <c:v>2288.1449999975775</c:v>
                </c:pt>
                <c:pt idx="590">
                  <c:v>2297.7263585235505</c:v>
                </c:pt>
                <c:pt idx="591">
                  <c:v>2307.1866125510933</c:v>
                </c:pt>
                <c:pt idx="592">
                  <c:v>2316.5263222724875</c:v>
                </c:pt>
                <c:pt idx="593">
                  <c:v>2325.7460373558683</c:v>
                </c:pt>
                <c:pt idx="594">
                  <c:v>2334.8462971353511</c:v>
                </c:pt>
                <c:pt idx="595">
                  <c:v>2343.8276307962055</c:v>
                </c:pt>
                <c:pt idx="596">
                  <c:v>2352.6905575552287</c:v>
                </c:pt>
                <c:pt idx="597">
                  <c:v>2361.4355868364614</c:v>
                </c:pt>
                <c:pt idx="598">
                  <c:v>2370.0632184423944</c:v>
                </c:pt>
                <c:pt idx="599">
                  <c:v>2378.5739427207955</c:v>
                </c:pt>
                <c:pt idx="600">
                  <c:v>2386.9682407272971</c:v>
                </c:pt>
                <c:pt idx="601">
                  <c:v>2395.2465843838718</c:v>
                </c:pt>
                <c:pt idx="602">
                  <c:v>2403.4094366333156</c:v>
                </c:pt>
                <c:pt idx="603">
                  <c:v>2411.4572515898699</c:v>
                </c:pt>
                <c:pt idx="604">
                  <c:v>2419.3904746860908</c:v>
                </c:pt>
                <c:pt idx="605">
                  <c:v>2427.2095428160878</c:v>
                </c:pt>
                <c:pt idx="606">
                  <c:v>2434.9148844752381</c:v>
                </c:pt>
                <c:pt idx="607">
                  <c:v>2442.5069198964884</c:v>
                </c:pt>
                <c:pt idx="608">
                  <c:v>2449.9860611833487</c:v>
                </c:pt>
                <c:pt idx="609">
                  <c:v>2457.3527124396824</c:v>
                </c:pt>
                <c:pt idx="610">
                  <c:v>2464.6072698963894</c:v>
                </c:pt>
                <c:pt idx="611">
                  <c:v>2471.7501220350878</c:v>
                </c:pt>
                <c:pt idx="612">
                  <c:v>2478.7816497088838</c:v>
                </c:pt>
                <c:pt idx="613">
                  <c:v>2485.7022262603282</c:v>
                </c:pt>
                <c:pt idx="614">
                  <c:v>2492.5122176366513</c:v>
                </c:pt>
                <c:pt idx="615">
                  <c:v>2499.2119825023656</c:v>
                </c:pt>
                <c:pt idx="616">
                  <c:v>2505.8018723493301</c:v>
                </c:pt>
                <c:pt idx="617">
                  <c:v>2512.2822316043594</c:v>
                </c:pt>
                <c:pt idx="618">
                  <c:v>2518.6533977344707</c:v>
                </c:pt>
                <c:pt idx="619">
                  <c:v>2524.9157013498484</c:v>
                </c:pt>
                <c:pt idx="620">
                  <c:v>2531.0694663046202</c:v>
                </c:pt>
                <c:pt idx="621">
                  <c:v>2537.1150097955228</c:v>
                </c:pt>
                <c:pt idx="622">
                  <c:v>2543.0526424585464</c:v>
                </c:pt>
                <c:pt idx="623">
                  <c:v>2548.8826684636415</c:v>
                </c:pt>
                <c:pt idx="624">
                  <c:v>2554.6053856075737</c:v>
                </c:pt>
                <c:pt idx="625">
                  <c:v>2560.221085405009</c:v>
                </c:pt>
                <c:pt idx="626">
                  <c:v>2565.730053177921</c:v>
                </c:pt>
                <c:pt idx="627">
                  <c:v>2571.1325681433991</c:v>
                </c:pt>
                <c:pt idx="628">
                  <c:v>2576.428903499951</c:v>
                </c:pt>
                <c:pt idx="629">
                  <c:v>2581.6193265123866</c:v>
                </c:pt>
                <c:pt idx="630">
                  <c:v>2586.7040985953699</c:v>
                </c:pt>
                <c:pt idx="631">
                  <c:v>2591.683475395736</c:v>
                </c:pt>
                <c:pt idx="632">
                  <c:v>2596.5577068736634</c:v>
                </c:pt>
                <c:pt idx="633">
                  <c:v>2601.3270373827982</c:v>
                </c:pt>
                <c:pt idx="634">
                  <c:v>2605.9917057494276</c:v>
                </c:pt>
                <c:pt idx="635">
                  <c:v>2610.5519453508077</c:v>
                </c:pt>
                <c:pt idx="636">
                  <c:v>2615.0079841927441</c:v>
                </c:pt>
                <c:pt idx="637">
                  <c:v>2619.3600449865385</c:v>
                </c:pt>
                <c:pt idx="638">
                  <c:v>2623.6083452254079</c:v>
                </c:pt>
                <c:pt idx="639">
                  <c:v>2627.7530972604955</c:v>
                </c:pt>
                <c:pt idx="640">
                  <c:v>2631.7945083765894</c:v>
                </c:pt>
                <c:pt idx="641">
                  <c:v>2635.7327808676755</c:v>
                </c:pt>
                <c:pt idx="642">
                  <c:v>2639.5681121124526</c:v>
                </c:pt>
                <c:pt idx="643">
                  <c:v>2643.3006946499436</c:v>
                </c:pt>
                <c:pt idx="644">
                  <c:v>2646.9307162553405</c:v>
                </c:pt>
                <c:pt idx="645">
                  <c:v>2650.45836001623</c:v>
                </c:pt>
                <c:pt idx="646">
                  <c:v>2653.8838044093472</c:v>
                </c:pt>
                <c:pt idx="647">
                  <c:v>2657.2072233780164</c:v>
                </c:pt>
                <c:pt idx="648">
                  <c:v>2660.4287864104344</c:v>
                </c:pt>
                <c:pt idx="649">
                  <c:v>2663.5486586189718</c:v>
                </c:pt>
                <c:pt idx="650">
                  <c:v>2666.5670008206562</c:v>
                </c:pt>
                <c:pt idx="651">
                  <c:v>2669.4839696190184</c:v>
                </c:pt>
                <c:pt idx="652">
                  <c:v>2672.2997174874849</c:v>
                </c:pt>
                <c:pt idx="653">
                  <c:v>2675.0143928545012</c:v>
                </c:pt>
                <c:pt idx="654">
                  <c:v>2677.628140190574</c:v>
                </c:pt>
                <c:pt idx="655">
                  <c:v>2680.1411000974281</c:v>
                </c:pt>
                <c:pt idx="656">
                  <c:v>2682.553409399467</c:v>
                </c:pt>
                <c:pt idx="657">
                  <c:v>2684.8652012377352</c:v>
                </c:pt>
                <c:pt idx="658">
                  <c:v>2687.0766051665664</c:v>
                </c:pt>
                <c:pt idx="659">
                  <c:v>2689.1877472531137</c:v>
                </c:pt>
                <c:pt idx="660">
                  <c:v>2691.1987501799363</c:v>
                </c:pt>
                <c:pt idx="661">
                  <c:v>2693.1097333508205</c:v>
                </c:pt>
                <c:pt idx="662">
                  <c:v>2694.9208129999952</c:v>
                </c:pt>
                <c:pt idx="663">
                  <c:v>2696.6321023048909</c:v>
                </c:pt>
                <c:pt idx="664">
                  <c:v>2698.2437115025709</c:v>
                </c:pt>
                <c:pt idx="665">
                  <c:v>2699.7557480099513</c:v>
                </c:pt>
                <c:pt idx="666">
                  <c:v>2701.1683165478853</c:v>
                </c:pt>
                <c:pt idx="667">
                  <c:v>2702.4815192691813</c:v>
                </c:pt>
                <c:pt idx="668">
                  <c:v>2703.6954558905741</c:v>
                </c:pt>
                <c:pt idx="669">
                  <c:v>2704.8102238286442</c:v>
                </c:pt>
                <c:pt idx="670">
                  <c:v>2705.8259183396381</c:v>
                </c:pt>
                <c:pt idx="671">
                  <c:v>2706.7426326631048</c:v>
                </c:pt>
                <c:pt idx="672">
                  <c:v>2707.5604581692182</c:v>
                </c:pt>
                <c:pt idx="673">
                  <c:v>2708.2794845096073</c:v>
                </c:pt>
                <c:pt idx="674">
                  <c:v>2708.899799771481</c:v>
                </c:pt>
                <c:pt idx="675">
                  <c:v>2709.4214906347725</c:v>
                </c:pt>
                <c:pt idx="676">
                  <c:v>2709.8446425319994</c:v>
                </c:pt>
                <c:pt idx="677">
                  <c:v>2710.1693398104794</c:v>
                </c:pt>
                <c:pt idx="678">
                  <c:v>2710.3956658965089</c:v>
                </c:pt>
                <c:pt idx="679">
                  <c:v>2710.5237034610714</c:v>
                </c:pt>
                <c:pt idx="680">
                  <c:v>2710.5535345866106</c:v>
                </c:pt>
                <c:pt idx="681">
                  <c:v>2710.4852409343848</c:v>
                </c:pt>
                <c:pt idx="682">
                  <c:v>2710.3189039118829</c:v>
                </c:pt>
                <c:pt idx="683">
                  <c:v>2710.0546048397896</c:v>
                </c:pt>
                <c:pt idx="684">
                  <c:v>2709.6924251179685</c:v>
                </c:pt>
                <c:pt idx="685">
                  <c:v>2709.2324463899363</c:v>
                </c:pt>
                <c:pt idx="686">
                  <c:v>2708.6747507053196</c:v>
                </c:pt>
                <c:pt idx="687">
                  <c:v>2708.0194206797905</c:v>
                </c:pt>
                <c:pt idx="688">
                  <c:v>2707.2665396520129</c:v>
                </c:pt>
                <c:pt idx="689">
                  <c:v>2706.4161918371483</c:v>
                </c:pt>
                <c:pt idx="690">
                  <c:v>2705.4684624765223</c:v>
                </c:pt>
                <c:pt idx="691">
                  <c:v>2704.4234379830723</c:v>
                </c:pt>
                <c:pt idx="692">
                  <c:v>2703.2812060822566</c:v>
                </c:pt>
                <c:pt idx="693">
                  <c:v>2702.0418559481391</c:v>
                </c:pt>
                <c:pt idx="694">
                  <c:v>2700.7054783344133</c:v>
                </c:pt>
                <c:pt idx="695">
                  <c:v>2699.272165700178</c:v>
                </c:pt>
                <c:pt idx="696">
                  <c:v>2697.7420123303154</c:v>
                </c:pt>
                <c:pt idx="697">
                  <c:v>2696.1151144503724</c:v>
                </c:pt>
                <c:pt idx="698">
                  <c:v>2694.3915703358866</c:v>
                </c:pt>
                <c:pt idx="699">
                  <c:v>2692.5714804161335</c:v>
                </c:pt>
                <c:pt idx="700">
                  <c:v>2690.6549473723094</c:v>
                </c:pt>
                <c:pt idx="701">
                  <c:v>2688.6420762302005</c:v>
                </c:pt>
                <c:pt idx="702">
                  <c:v>2686.5329744474075</c:v>
                </c:pt>
                <c:pt idx="703">
                  <c:v>2684.3277519952321</c:v>
                </c:pt>
                <c:pt idx="704">
                  <c:v>2682.0265214353426</c:v>
                </c:pt>
                <c:pt idx="705">
                  <c:v>2679.6293979913589</c:v>
                </c:pt>
                <c:pt idx="706">
                  <c:v>2677.1364996155116</c:v>
                </c:pt>
                <c:pt idx="707">
                  <c:v>2674.5479470505393</c:v>
                </c:pt>
                <c:pt idx="708">
                  <c:v>2671.8638638869952</c:v>
                </c:pt>
                <c:pt idx="709">
                  <c:v>2669.0843766161456</c:v>
                </c:pt>
                <c:pt idx="710">
                  <c:v>2666.2096146786384</c:v>
                </c:pt>
                <c:pt idx="711">
                  <c:v>2663.2397105091281</c:v>
                </c:pt>
                <c:pt idx="712">
                  <c:v>2660.1747995770397</c:v>
                </c:pt>
                <c:pt idx="713">
                  <c:v>2657.0150204236515</c:v>
                </c:pt>
                <c:pt idx="714">
                  <c:v>2653.7605146956757</c:v>
                </c:pt>
                <c:pt idx="715">
                  <c:v>2650.4114271755102</c:v>
                </c:pt>
                <c:pt idx="716">
                  <c:v>2646.9679058083302</c:v>
                </c:pt>
                <c:pt idx="717">
                  <c:v>2643.4301017261851</c:v>
                </c:pt>
                <c:pt idx="718">
                  <c:v>2639.7981692692524</c:v>
                </c:pt>
                <c:pt idx="719">
                  <c:v>2636.072266004403</c:v>
                </c:pt>
                <c:pt idx="720">
                  <c:v>2632.2525527412213</c:v>
                </c:pt>
                <c:pt idx="721">
                  <c:v>2628.3391935456161</c:v>
                </c:pt>
                <c:pt idx="722">
                  <c:v>2624.3323557511517</c:v>
                </c:pt>
                <c:pt idx="723">
                  <c:v>2620.2322099682237</c:v>
                </c:pt>
                <c:pt idx="724">
                  <c:v>2616.0389300911975</c:v>
                </c:pt>
                <c:pt idx="725">
                  <c:v>2611.7526933036147</c:v>
                </c:pt>
                <c:pt idx="726">
                  <c:v>2607.3736800815786</c:v>
                </c:pt>
                <c:pt idx="727">
                  <c:v>2602.9020741954109</c:v>
                </c:pt>
                <c:pt idx="728">
                  <c:v>2598.3380627096731</c:v>
                </c:pt>
                <c:pt idx="729">
                  <c:v>2593.6818359816421</c:v>
                </c:pt>
                <c:pt idx="730">
                  <c:v>2588.9335876583164</c:v>
                </c:pt>
                <c:pt idx="731">
                  <c:v>2584.0935146720335</c:v>
                </c:pt>
                <c:pt idx="732">
                  <c:v>2579.1618172347685</c:v>
                </c:pt>
                <c:pt idx="733">
                  <c:v>2574.1386988311788</c:v>
                </c:pt>
                <c:pt idx="734">
                  <c:v>2569.0243662104622</c:v>
                </c:pt>
                <c:pt idx="735">
                  <c:v>2563.8190293770845</c:v>
                </c:pt>
                <c:pt idx="736">
                  <c:v>2558.5229015804316</c:v>
                </c:pt>
                <c:pt idx="737">
                  <c:v>2553.1361993034388</c:v>
                </c:pt>
                <c:pt idx="738">
                  <c:v>2547.659142250247</c:v>
                </c:pt>
                <c:pt idx="739">
                  <c:v>2542.0919533329279</c:v>
                </c:pt>
                <c:pt idx="740">
                  <c:v>2536.4348586573269</c:v>
                </c:pt>
                <c:pt idx="741">
                  <c:v>2530.6880875080556</c:v>
                </c:pt>
                <c:pt idx="742">
                  <c:v>2524.8518723326783</c:v>
                </c:pt>
                <c:pt idx="743">
                  <c:v>2518.9264487251271</c:v>
                </c:pt>
                <c:pt idx="744">
                  <c:v>2512.9120554083734</c:v>
                </c:pt>
                <c:pt idx="745">
                  <c:v>2506.8089342163953</c:v>
                </c:pt>
                <c:pt idx="746">
                  <c:v>2500.6173300754622</c:v>
                </c:pt>
                <c:pt idx="747">
                  <c:v>2494.3374909847721</c:v>
                </c:pt>
                <c:pt idx="748">
                  <c:v>2487.9696679964609</c:v>
                </c:pt>
                <c:pt idx="749">
                  <c:v>2481.5141151950124</c:v>
                </c:pt>
                <c:pt idx="750">
                  <c:v>2474.971089676093</c:v>
                </c:pt>
                <c:pt idx="751">
                  <c:v>2468.3408515248302</c:v>
                </c:pt>
                <c:pt idx="752">
                  <c:v>2461.6236637935576</c:v>
                </c:pt>
                <c:pt idx="753">
                  <c:v>2454.819792479047</c:v>
                </c:pt>
                <c:pt idx="754">
                  <c:v>2447.9295064992443</c:v>
                </c:pt>
                <c:pt idx="755">
                  <c:v>2440.9530776695306</c:v>
                </c:pt>
                <c:pt idx="756">
                  <c:v>2433.8907806785214</c:v>
                </c:pt>
                <c:pt idx="757">
                  <c:v>2426.7428930634237</c:v>
                </c:pt>
                <c:pt idx="758">
                  <c:v>2419.509695184965</c:v>
                </c:pt>
                <c:pt idx="759">
                  <c:v>2412.1914702019089</c:v>
                </c:pt>
                <c:pt idx="760">
                  <c:v>2404.7885040451738</c:v>
                </c:pt>
                <c:pt idx="761">
                  <c:v>2397.3010853915634</c:v>
                </c:pt>
                <c:pt idx="762">
                  <c:v>2389.729505637129</c:v>
                </c:pt>
                <c:pt idx="763">
                  <c:v>2382.074058870171</c:v>
                </c:pt>
                <c:pt idx="764">
                  <c:v>2374.3350418438927</c:v>
                </c:pt>
                <c:pt idx="765">
                  <c:v>2366.5127539487203</c:v>
                </c:pt>
                <c:pt idx="766">
                  <c:v>2358.6074971842986</c:v>
                </c:pt>
                <c:pt idx="767">
                  <c:v>2350.6195761311737</c:v>
                </c:pt>
                <c:pt idx="768">
                  <c:v>2342.5492979221731</c:v>
                </c:pt>
                <c:pt idx="769">
                  <c:v>2334.3969722134948</c:v>
                </c:pt>
                <c:pt idx="770">
                  <c:v>2326.1629111555139</c:v>
                </c:pt>
                <c:pt idx="771">
                  <c:v>2317.8474293633162</c:v>
                </c:pt>
                <c:pt idx="772">
                  <c:v>2309.4508438869711</c:v>
                </c:pt>
                <c:pt idx="773">
                  <c:v>2300.9734741815496</c:v>
                </c:pt>
                <c:pt idx="774">
                  <c:v>2292.4156420768968</c:v>
                </c:pt>
                <c:pt idx="775">
                  <c:v>2283.7776717471725</c:v>
                </c:pt>
                <c:pt idx="776">
                  <c:v>2275.0598896801598</c:v>
                </c:pt>
                <c:pt idx="777">
                  <c:v>2266.2626246463592</c:v>
                </c:pt>
                <c:pt idx="778">
                  <c:v>2257.3862076678702</c:v>
                </c:pt>
                <c:pt idx="779">
                  <c:v>2248.4309719870716</c:v>
                </c:pt>
                <c:pt idx="780">
                  <c:v>2239.397253035107</c:v>
                </c:pt>
                <c:pt idx="781">
                  <c:v>2230.2853884001843</c:v>
                </c:pt>
                <c:pt idx="782">
                  <c:v>2221.0957177956957</c:v>
                </c:pt>
                <c:pt idx="783">
                  <c:v>2211.8285830281675</c:v>
                </c:pt>
                <c:pt idx="784">
                  <c:v>2202.4843279650463</c:v>
                </c:pt>
                <c:pt idx="785">
                  <c:v>2193.0632985023276</c:v>
                </c:pt>
                <c:pt idx="786">
                  <c:v>2183.5658425320371</c:v>
                </c:pt>
                <c:pt idx="787">
                  <c:v>2173.9923099095677</c:v>
                </c:pt>
                <c:pt idx="788">
                  <c:v>2164.3430524208852</c:v>
                </c:pt>
                <c:pt idx="789">
                  <c:v>2154.6184237496027</c:v>
                </c:pt>
                <c:pt idx="790">
                  <c:v>2144.8187794439355</c:v>
                </c:pt>
                <c:pt idx="791">
                  <c:v>2134.9444768835428</c:v>
                </c:pt>
                <c:pt idx="792">
                  <c:v>2124.9958752462617</c:v>
                </c:pt>
                <c:pt idx="793">
                  <c:v>2114.9733354747386</c:v>
                </c:pt>
                <c:pt idx="794">
                  <c:v>2104.8772202429695</c:v>
                </c:pt>
                <c:pt idx="795">
                  <c:v>2094.7078939227517</c:v>
                </c:pt>
                <c:pt idx="796">
                  <c:v>2084.4657225500537</c:v>
                </c:pt>
                <c:pt idx="797">
                  <c:v>2074.1510737913122</c:v>
                </c:pt>
                <c:pt idx="798">
                  <c:v>2063.7643169096609</c:v>
                </c:pt>
                <c:pt idx="799">
                  <c:v>2053.3058227310962</c:v>
                </c:pt>
                <c:pt idx="800">
                  <c:v>2042.7759636105889</c:v>
                </c:pt>
                <c:pt idx="801">
                  <c:v>2032.1751133981463</c:v>
                </c:pt>
                <c:pt idx="802">
                  <c:v>2021.5036474048309</c:v>
                </c:pt>
                <c:pt idx="803">
                  <c:v>2010.7619423687429</c:v>
                </c:pt>
                <c:pt idx="804">
                  <c:v>1999.9503764209717</c:v>
                </c:pt>
                <c:pt idx="805">
                  <c:v>1989.0693290515226</c:v>
                </c:pt>
                <c:pt idx="806">
                  <c:v>1978.1191810752241</c:v>
                </c:pt>
                <c:pt idx="807">
                  <c:v>1967.100314597624</c:v>
                </c:pt>
                <c:pt idx="808">
                  <c:v>1956.0131129808772</c:v>
                </c:pt>
                <c:pt idx="809">
                  <c:v>1944.8579608096329</c:v>
                </c:pt>
                <c:pt idx="810">
                  <c:v>1933.6352438569265</c:v>
                </c:pt>
                <c:pt idx="811">
                  <c:v>1922.3453490500824</c:v>
                </c:pt>
                <c:pt idx="812">
                  <c:v>1910.9886644366322</c:v>
                </c:pt>
                <c:pt idx="813">
                  <c:v>1899.5655791502559</c:v>
                </c:pt>
                <c:pt idx="814">
                  <c:v>1888.0764833767496</c:v>
                </c:pt>
                <c:pt idx="815">
                  <c:v>1876.5217683200269</c:v>
                </c:pt>
                <c:pt idx="816">
                  <c:v>1864.901826168159</c:v>
                </c:pt>
                <c:pt idx="817">
                  <c:v>1853.2170500594582</c:v>
                </c:pt>
                <c:pt idx="818">
                  <c:v>1841.4678340486116</c:v>
                </c:pt>
                <c:pt idx="819">
                  <c:v>1829.6545730728697</c:v>
                </c:pt>
                <c:pt idx="820">
                  <c:v>1817.7776629182949</c:v>
                </c:pt>
                <c:pt idx="821">
                  <c:v>1805.8375001860766</c:v>
                </c:pt>
                <c:pt idx="822">
                  <c:v>1793.8344822589152</c:v>
                </c:pt>
                <c:pt idx="823">
                  <c:v>1781.7690072674841</c:v>
                </c:pt>
                <c:pt idx="824">
                  <c:v>1769.6414740569717</c:v>
                </c:pt>
                <c:pt idx="825">
                  <c:v>1757.4522821537103</c:v>
                </c:pt>
                <c:pt idx="826">
                  <c:v>1745.2018317318957</c:v>
                </c:pt>
                <c:pt idx="827">
                  <c:v>1732.8905235804039</c:v>
                </c:pt>
                <c:pt idx="828">
                  <c:v>1720.5187590697078</c:v>
                </c:pt>
                <c:pt idx="829">
                  <c:v>1708.0869401189022</c:v>
                </c:pt>
                <c:pt idx="830">
                  <c:v>1695.5954691628369</c:v>
                </c:pt>
                <c:pt idx="831">
                  <c:v>1683.0447491193681</c:v>
                </c:pt>
                <c:pt idx="832">
                  <c:v>1670.4351833567291</c:v>
                </c:pt>
                <c:pt idx="833">
                  <c:v>1657.7671756610262</c:v>
                </c:pt>
                <c:pt idx="834">
                  <c:v>1645.0411302038647</c:v>
                </c:pt>
                <c:pt idx="835">
                  <c:v>1632.2574515101091</c:v>
                </c:pt>
                <c:pt idx="836">
                  <c:v>1619.4165444257826</c:v>
                </c:pt>
                <c:pt idx="837">
                  <c:v>1606.5188140861087</c:v>
                </c:pt>
                <c:pt idx="838">
                  <c:v>1593.564665883702</c:v>
                </c:pt>
                <c:pt idx="839">
                  <c:v>1580.5545054369099</c:v>
                </c:pt>
                <c:pt idx="840">
                  <c:v>1567.4887385583115</c:v>
                </c:pt>
                <c:pt idx="841">
                  <c:v>1554.3677712233764</c:v>
                </c:pt>
                <c:pt idx="842">
                  <c:v>1541.1920095392884</c:v>
                </c:pt>
                <c:pt idx="843">
                  <c:v>1527.9618597139374</c:v>
                </c:pt>
                <c:pt idx="844">
                  <c:v>1514.6777280250856</c:v>
                </c:pt>
                <c:pt idx="845">
                  <c:v>1501.3400207897084</c:v>
                </c:pt>
                <c:pt idx="846">
                  <c:v>1487.9491443335178</c:v>
                </c:pt>
                <c:pt idx="847">
                  <c:v>1474.5055049606692</c:v>
                </c:pt>
                <c:pt idx="848">
                  <c:v>1461.0095089236565</c:v>
                </c:pt>
                <c:pt idx="849">
                  <c:v>1447.4615623933996</c:v>
                </c:pt>
                <c:pt idx="850">
                  <c:v>1433.8620714295278</c:v>
                </c:pt>
                <c:pt idx="851">
                  <c:v>1420.2114419508609</c:v>
                </c:pt>
                <c:pt idx="852">
                  <c:v>1406.5100797060954</c:v>
                </c:pt>
                <c:pt idx="853">
                  <c:v>1392.7583902446941</c:v>
                </c:pt>
                <c:pt idx="854">
                  <c:v>1378.9567788879872</c:v>
                </c:pt>
                <c:pt idx="855">
                  <c:v>1365.1056507004857</c:v>
                </c:pt>
                <c:pt idx="856">
                  <c:v>1351.205410461411</c:v>
                </c:pt>
                <c:pt idx="857">
                  <c:v>1337.2564626364428</c:v>
                </c:pt>
                <c:pt idx="858">
                  <c:v>1323.2592113496908</c:v>
                </c:pt>
                <c:pt idx="859">
                  <c:v>1309.2140603558903</c:v>
                </c:pt>
                <c:pt idx="860">
                  <c:v>1295.1214130128276</c:v>
                </c:pt>
                <c:pt idx="861">
                  <c:v>1280.9816722539956</c:v>
                </c:pt>
                <c:pt idx="862">
                  <c:v>1266.795240561484</c:v>
                </c:pt>
                <c:pt idx="863">
                  <c:v>1252.5625199391054</c:v>
                </c:pt>
                <c:pt idx="864">
                  <c:v>1238.2839118857623</c:v>
                </c:pt>
                <c:pt idx="865">
                  <c:v>1223.9598173690551</c:v>
                </c:pt>
                <c:pt idx="866">
                  <c:v>1209.5906367991354</c:v>
                </c:pt>
                <c:pt idx="867">
                  <c:v>1195.1767700028058</c:v>
                </c:pt>
                <c:pt idx="868">
                  <c:v>1180.7186161978696</c:v>
                </c:pt>
                <c:pt idx="869">
                  <c:v>1166.2165739677323</c:v>
                </c:pt>
                <c:pt idx="870">
                  <c:v>1151.6710412362575</c:v>
                </c:pt>
                <c:pt idx="871">
                  <c:v>1137.0824152428777</c:v>
                </c:pt>
                <c:pt idx="872">
                  <c:v>1122.4510925179659</c:v>
                </c:pt>
                <c:pt idx="873">
                  <c:v>1107.7774688584652</c:v>
                </c:pt>
                <c:pt idx="874">
                  <c:v>1093.0619393037819</c:v>
                </c:pt>
                <c:pt idx="875">
                  <c:v>1078.304898111943</c:v>
                </c:pt>
                <c:pt idx="876">
                  <c:v>1063.5067387360195</c:v>
                </c:pt>
                <c:pt idx="877">
                  <c:v>1048.667853800818</c:v>
                </c:pt>
                <c:pt idx="878">
                  <c:v>1033.7886350798401</c:v>
                </c:pt>
                <c:pt idx="879">
                  <c:v>1018.869473472516</c:v>
                </c:pt>
                <c:pt idx="880">
                  <c:v>1003.9107589817079</c:v>
                </c:pt>
                <c:pt idx="881">
                  <c:v>988.91288069148891</c:v>
                </c:pt>
                <c:pt idx="882">
                  <c:v>973.87622674519753</c:v>
                </c:pt>
                <c:pt idx="883">
                  <c:v>958.80118432376821</c:v>
                </c:pt>
                <c:pt idx="884">
                  <c:v>943.68813962434103</c:v>
                </c:pt>
                <c:pt idx="885">
                  <c:v>928.53747783914969</c:v>
                </c:pt>
                <c:pt idx="886">
                  <c:v>913.34958313469053</c:v>
                </c:pt>
                <c:pt idx="887">
                  <c:v>898.12483863117268</c:v>
                </c:pt>
                <c:pt idx="888">
                  <c:v>882.86362638225057</c:v>
                </c:pt>
                <c:pt idx="889">
                  <c:v>867.56632735504036</c:v>
                </c:pt>
                <c:pt idx="890">
                  <c:v>852.23332141041942</c:v>
                </c:pt>
                <c:pt idx="891">
                  <c:v>836.86498728361153</c:v>
                </c:pt>
                <c:pt idx="892">
                  <c:v>821.46170256505764</c:v>
                </c:pt>
                <c:pt idx="893">
                  <c:v>806.02384368157243</c:v>
                </c:pt>
                <c:pt idx="894">
                  <c:v>790.55178587778801</c:v>
                </c:pt>
                <c:pt idx="895">
                  <c:v>775.04590319788451</c:v>
                </c:pt>
                <c:pt idx="896">
                  <c:v>759.50656846760887</c:v>
                </c:pt>
                <c:pt idx="897">
                  <c:v>743.93415327658158</c:v>
                </c:pt>
                <c:pt idx="898">
                  <c:v>728.32902796089138</c:v>
                </c:pt>
                <c:pt idx="899">
                  <c:v>712.69156158597877</c:v>
                </c:pt>
                <c:pt idx="900">
                  <c:v>697.02212192980869</c:v>
                </c:pt>
                <c:pt idx="901">
                  <c:v>681.32107546633131</c:v>
                </c:pt>
                <c:pt idx="902">
                  <c:v>665.58878734923235</c:v>
                </c:pt>
                <c:pt idx="903">
                  <c:v>649.82562139597212</c:v>
                </c:pt>
                <c:pt idx="904">
                  <c:v>634.03194007211289</c:v>
                </c:pt>
                <c:pt idx="905">
                  <c:v>618.20810447593567</c:v>
                </c:pt>
                <c:pt idx="906">
                  <c:v>602.35447432334479</c:v>
                </c:pt>
                <c:pt idx="907">
                  <c:v>586.47140793306107</c:v>
                </c:pt>
                <c:pt idx="908">
                  <c:v>570.55926221210245</c:v>
                </c:pt>
                <c:pt idx="909">
                  <c:v>554.61839264155276</c:v>
                </c:pt>
                <c:pt idx="910">
                  <c:v>538.64915326261632</c:v>
                </c:pt>
                <c:pt idx="911">
                  <c:v>522.65189666296044</c:v>
                </c:pt>
                <c:pt idx="912">
                  <c:v>506.62697396334289</c:v>
                </c:pt>
                <c:pt idx="913">
                  <c:v>490.57473480452506</c:v>
                </c:pt>
                <c:pt idx="914">
                  <c:v>474.49552733446984</c:v>
                </c:pt>
                <c:pt idx="915">
                  <c:v>458.38969819582331</c:v>
                </c:pt>
                <c:pt idx="916">
                  <c:v>442.25759251367981</c:v>
                </c:pt>
                <c:pt idx="917">
                  <c:v>426.09955388362908</c:v>
                </c:pt>
                <c:pt idx="918">
                  <c:v>409.91592436008523</c:v>
                </c:pt>
                <c:pt idx="919">
                  <c:v>393.70704444489593</c:v>
                </c:pt>
                <c:pt idx="920">
                  <c:v>377.47325307623129</c:v>
                </c:pt>
                <c:pt idx="921">
                  <c:v>361.21488761775129</c:v>
                </c:pt>
                <c:pt idx="922">
                  <c:v>344.93228384805059</c:v>
                </c:pt>
                <c:pt idx="923">
                  <c:v>328.6257759503797</c:v>
                </c:pt>
                <c:pt idx="924">
                  <c:v>312.29569650264142</c:v>
                </c:pt>
                <c:pt idx="925">
                  <c:v>295.94237646766089</c:v>
                </c:pt>
                <c:pt idx="926">
                  <c:v>279.56614518372862</c:v>
                </c:pt>
                <c:pt idx="927">
                  <c:v>263.16733035541472</c:v>
                </c:pt>
                <c:pt idx="928">
                  <c:v>246.74625804465305</c:v>
                </c:pt>
                <c:pt idx="929">
                  <c:v>230.30325266209417</c:v>
                </c:pt>
                <c:pt idx="930">
                  <c:v>213.83863695872537</c:v>
                </c:pt>
                <c:pt idx="931">
                  <c:v>197.35273201775627</c:v>
                </c:pt>
                <c:pt idx="932">
                  <c:v>180.84585724676873</c:v>
                </c:pt>
                <c:pt idx="933">
                  <c:v>164.31833037012933</c:v>
                </c:pt>
                <c:pt idx="934">
                  <c:v>147.7704674216628</c:v>
                </c:pt>
                <c:pt idx="935">
                  <c:v>131.20258273758495</c:v>
                </c:pt>
                <c:pt idx="936">
                  <c:v>114.61498894969317</c:v>
                </c:pt>
                <c:pt idx="937">
                  <c:v>98.007996978813054</c:v>
                </c:pt>
                <c:pt idx="938">
                  <c:v>81.381916028499205</c:v>
                </c:pt>
                <c:pt idx="939">
                  <c:v>64.737053578988593</c:v>
                </c:pt>
                <c:pt idx="940">
                  <c:v>48.073715381404583</c:v>
                </c:pt>
                <c:pt idx="941">
                  <c:v>31.392205452209758</c:v>
                </c:pt>
                <c:pt idx="942">
                  <c:v>14.69282606790582</c:v>
                </c:pt>
                <c:pt idx="943">
                  <c:v>-2.0241222400214909</c:v>
                </c:pt>
                <c:pt idx="944">
                  <c:v>-2.0408479064373886</c:v>
                </c:pt>
                <c:pt idx="945">
                  <c:v>-2.0575735899743273</c:v>
                </c:pt>
                <c:pt idx="946">
                  <c:v>-2.0742992906320117</c:v>
                </c:pt>
                <c:pt idx="947">
                  <c:v>-2.0910250084101465</c:v>
                </c:pt>
                <c:pt idx="948">
                  <c:v>-2.1077507433084359</c:v>
                </c:pt>
                <c:pt idx="949">
                  <c:v>-2.1244764953265842</c:v>
                </c:pt>
                <c:pt idx="950">
                  <c:v>-2.1412022644642961</c:v>
                </c:pt>
                <c:pt idx="951">
                  <c:v>-2.1579280507212757</c:v>
                </c:pt>
                <c:pt idx="952">
                  <c:v>-2.1746538540972273</c:v>
                </c:pt>
                <c:pt idx="953">
                  <c:v>-2.1913796745918557</c:v>
                </c:pt>
                <c:pt idx="954">
                  <c:v>-2.208105512204865</c:v>
                </c:pt>
                <c:pt idx="955">
                  <c:v>-2.2248313669359598</c:v>
                </c:pt>
                <c:pt idx="956">
                  <c:v>-2.2415572387848446</c:v>
                </c:pt>
                <c:pt idx="957">
                  <c:v>-2.2582831277512234</c:v>
                </c:pt>
                <c:pt idx="958">
                  <c:v>-2.275009033834801</c:v>
                </c:pt>
                <c:pt idx="959">
                  <c:v>-2.2917349570352816</c:v>
                </c:pt>
                <c:pt idx="960">
                  <c:v>-2.3084608973523699</c:v>
                </c:pt>
                <c:pt idx="961">
                  <c:v>-2.3251868547857701</c:v>
                </c:pt>
                <c:pt idx="962">
                  <c:v>-2.3419128293351865</c:v>
                </c:pt>
                <c:pt idx="963">
                  <c:v>-2.3586388210003237</c:v>
                </c:pt>
                <c:pt idx="964">
                  <c:v>-2.3753648297808865</c:v>
                </c:pt>
                <c:pt idx="965">
                  <c:v>-2.392090855676579</c:v>
                </c:pt>
                <c:pt idx="966">
                  <c:v>-2.4088168986871055</c:v>
                </c:pt>
                <c:pt idx="967">
                  <c:v>-2.4255429588121706</c:v>
                </c:pt>
                <c:pt idx="968">
                  <c:v>-2.4422690360514787</c:v>
                </c:pt>
                <c:pt idx="969">
                  <c:v>-2.4589951304047339</c:v>
                </c:pt>
                <c:pt idx="970">
                  <c:v>-2.475721241871641</c:v>
                </c:pt>
                <c:pt idx="971">
                  <c:v>-2.4924473704519046</c:v>
                </c:pt>
                <c:pt idx="972">
                  <c:v>-2.5091735161452289</c:v>
                </c:pt>
                <c:pt idx="973">
                  <c:v>-2.5258996789513182</c:v>
                </c:pt>
                <c:pt idx="974">
                  <c:v>-2.5426258588698771</c:v>
                </c:pt>
                <c:pt idx="975">
                  <c:v>-2.5593520559006104</c:v>
                </c:pt>
                <c:pt idx="976">
                  <c:v>-2.5760782700432219</c:v>
                </c:pt>
                <c:pt idx="977">
                  <c:v>-2.5928045012974166</c:v>
                </c:pt>
                <c:pt idx="978">
                  <c:v>-2.6095307496628988</c:v>
                </c:pt>
                <c:pt idx="979">
                  <c:v>-2.6262570151393727</c:v>
                </c:pt>
                <c:pt idx="980">
                  <c:v>-2.6429832977265431</c:v>
                </c:pt>
                <c:pt idx="981">
                  <c:v>-2.6597095974241141</c:v>
                </c:pt>
                <c:pt idx="982">
                  <c:v>-2.6764359142317904</c:v>
                </c:pt>
                <c:pt idx="983">
                  <c:v>-2.6931622481492763</c:v>
                </c:pt>
                <c:pt idx="984">
                  <c:v>-2.7098885991762764</c:v>
                </c:pt>
                <c:pt idx="985">
                  <c:v>-2.7266149673124955</c:v>
                </c:pt>
                <c:pt idx="986">
                  <c:v>-2.7433413525576378</c:v>
                </c:pt>
                <c:pt idx="987">
                  <c:v>-2.7600677549114074</c:v>
                </c:pt>
                <c:pt idx="988">
                  <c:v>-2.7767941743735092</c:v>
                </c:pt>
                <c:pt idx="989">
                  <c:v>-2.7935206109436472</c:v>
                </c:pt>
                <c:pt idx="990">
                  <c:v>-2.8102470646215263</c:v>
                </c:pt>
                <c:pt idx="991">
                  <c:v>-2.826973535406851</c:v>
                </c:pt>
                <c:pt idx="992">
                  <c:v>-2.8437000232993257</c:v>
                </c:pt>
                <c:pt idx="993">
                  <c:v>-2.860426528298655</c:v>
                </c:pt>
                <c:pt idx="994">
                  <c:v>-2.8771530504045431</c:v>
                </c:pt>
                <c:pt idx="995">
                  <c:v>-2.8938795896166947</c:v>
                </c:pt>
                <c:pt idx="996">
                  <c:v>-2.910606145934814</c:v>
                </c:pt>
                <c:pt idx="997">
                  <c:v>-2.9273327193586058</c:v>
                </c:pt>
                <c:pt idx="998">
                  <c:v>-2.9440593098877743</c:v>
                </c:pt>
                <c:pt idx="999">
                  <c:v>-2.9607859175220241</c:v>
                </c:pt>
                <c:pt idx="1000">
                  <c:v>-2.97751254226106</c:v>
                </c:pt>
              </c:numCache>
            </c:numRef>
          </c:yVal>
          <c:smooth val="0"/>
          <c:extLst>
            <c:ext xmlns:c16="http://schemas.microsoft.com/office/drawing/2014/chart" uri="{C3380CC4-5D6E-409C-BE32-E72D297353CC}">
              <c16:uniqueId val="{00000001-8016-4DF9-AB17-EDCEE1754333}"/>
            </c:ext>
          </c:extLst>
        </c:ser>
        <c:dLbls>
          <c:showLegendKey val="0"/>
          <c:showVal val="0"/>
          <c:showCatName val="0"/>
          <c:showSerName val="0"/>
          <c:showPercent val="0"/>
          <c:showBubbleSize val="0"/>
        </c:dLbls>
        <c:axId val="149619072"/>
        <c:axId val="149620992"/>
      </c:scatterChart>
      <c:valAx>
        <c:axId val="149619072"/>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0"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620992"/>
        <c:crosses val="autoZero"/>
        <c:crossBetween val="midCat"/>
      </c:valAx>
      <c:valAx>
        <c:axId val="149620992"/>
        <c:scaling>
          <c:orientation val="minMax"/>
          <c:min val="0"/>
        </c:scaling>
        <c:delete val="0"/>
        <c:axPos val="l"/>
        <c:majorGridlines>
          <c:spPr>
            <a:ln w="3175">
              <a:solidFill>
                <a:srgbClr val="000000"/>
              </a:solidFill>
              <a:prstDash val="sysDash"/>
            </a:ln>
          </c:spPr>
        </c:majorGridlines>
        <c:title>
          <c:tx>
            <c:rich>
              <a:bodyPr/>
              <a:lstStyle/>
              <a:p>
                <a:pPr>
                  <a:defRPr sz="1175" b="1" i="0" u="none" strike="noStrike" baseline="0">
                    <a:solidFill>
                      <a:srgbClr val="000000"/>
                    </a:solidFill>
                    <a:latin typeface="Arial"/>
                    <a:ea typeface="Arial"/>
                    <a:cs typeface="Arial"/>
                  </a:defRPr>
                </a:pPr>
                <a:r>
                  <a:rPr lang="fr-FR"/>
                  <a:t>Positions [m]</a:t>
                </a:r>
              </a:p>
            </c:rich>
          </c:tx>
          <c:layout>
            <c:manualLayout>
              <c:xMode val="edge"/>
              <c:yMode val="edge"/>
              <c:x val="2.0047169811320761E-2"/>
              <c:y val="0.3006547681539808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619072"/>
        <c:crosses val="autoZero"/>
        <c:crossBetween val="midCat"/>
      </c:valAx>
      <c:spPr>
        <a:noFill/>
        <a:ln w="12700">
          <a:solidFill>
            <a:srgbClr val="808080"/>
          </a:solidFill>
          <a:prstDash val="solid"/>
        </a:ln>
      </c:spPr>
    </c:plotArea>
    <c:legend>
      <c:legendPos val="r"/>
      <c:layout>
        <c:manualLayout>
          <c:xMode val="edge"/>
          <c:yMode val="edge"/>
          <c:x val="0.8286169712276531"/>
          <c:y val="0.4888892388451444"/>
          <c:w val="0.13679257663546773"/>
          <c:h val="0.15777777777777779"/>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Propu!$A$2</c:f>
          <c:strCache>
            <c:ptCount val="1"/>
            <c:pt idx="0">
              <c:v>Orignal (Pro75-3G C)</c:v>
            </c:pt>
          </c:strCache>
        </c:strRef>
      </c:tx>
      <c:layout>
        <c:manualLayout>
          <c:xMode val="edge"/>
          <c:yMode val="edge"/>
          <c:x val="0.47127077646762688"/>
          <c:y val="3.9178592393174498E-2"/>
        </c:manualLayout>
      </c:layout>
      <c:overlay val="0"/>
      <c:txPr>
        <a:bodyPr/>
        <a:lstStyle/>
        <a:p>
          <a:pPr>
            <a:defRPr sz="1200" b="0" i="0" u="none" strike="noStrike" baseline="0">
              <a:solidFill>
                <a:srgbClr val="000000"/>
              </a:solidFill>
              <a:latin typeface="Arial"/>
              <a:ea typeface="Arial"/>
              <a:cs typeface="Arial"/>
            </a:defRPr>
          </a:pPr>
          <a:endParaRPr lang="fr-FR"/>
        </a:p>
      </c:txPr>
    </c:title>
    <c:autoTitleDeleted val="0"/>
    <c:plotArea>
      <c:layout>
        <c:manualLayout>
          <c:layoutTarget val="inner"/>
          <c:xMode val="edge"/>
          <c:yMode val="edge"/>
          <c:x val="7.2496559551677733E-2"/>
          <c:y val="5.5426586068345711E-2"/>
          <c:w val="0.88973722710617964"/>
          <c:h val="0.82390179871348956"/>
        </c:manualLayout>
      </c:layout>
      <c:scatterChart>
        <c:scatterStyle val="lineMarker"/>
        <c:varyColors val="0"/>
        <c:ser>
          <c:idx val="0"/>
          <c:order val="0"/>
          <c:tx>
            <c:strRef>
              <c:f>Propu!$A$4</c:f>
              <c:strCache>
                <c:ptCount val="1"/>
                <c:pt idx="0">
                  <c:v>Poussée (en N)</c:v>
                </c:pt>
              </c:strCache>
            </c:strRef>
          </c:tx>
          <c:spPr>
            <a:ln w="25400">
              <a:solidFill>
                <a:srgbClr val="004586"/>
              </a:solidFill>
              <a:prstDash val="solid"/>
            </a:ln>
          </c:spPr>
          <c:marker>
            <c:symbol val="square"/>
            <c:size val="4"/>
            <c:spPr>
              <a:solidFill>
                <a:srgbClr val="004586"/>
              </a:solidFill>
              <a:ln>
                <a:solidFill>
                  <a:srgbClr val="004586"/>
                </a:solidFill>
                <a:prstDash val="solid"/>
              </a:ln>
            </c:spPr>
          </c:marker>
          <c:xVal>
            <c:numRef>
              <c:f>Propu!$B$3:$X$3</c:f>
              <c:numCache>
                <c:formatCode>General</c:formatCode>
                <c:ptCount val="23"/>
                <c:pt idx="0">
                  <c:v>0</c:v>
                </c:pt>
                <c:pt idx="1">
                  <c:v>0.01</c:v>
                </c:pt>
                <c:pt idx="2">
                  <c:v>0.1</c:v>
                </c:pt>
                <c:pt idx="3">
                  <c:v>0.12</c:v>
                </c:pt>
                <c:pt idx="4">
                  <c:v>0.26</c:v>
                </c:pt>
                <c:pt idx="5">
                  <c:v>0.71</c:v>
                </c:pt>
                <c:pt idx="6">
                  <c:v>1.28</c:v>
                </c:pt>
                <c:pt idx="7">
                  <c:v>2.0499999999999998</c:v>
                </c:pt>
                <c:pt idx="8">
                  <c:v>2.41</c:v>
                </c:pt>
                <c:pt idx="9">
                  <c:v>2.83</c:v>
                </c:pt>
                <c:pt idx="10">
                  <c:v>3.25</c:v>
                </c:pt>
                <c:pt idx="11">
                  <c:v>3.65</c:v>
                </c:pt>
                <c:pt idx="12">
                  <c:v>3.8</c:v>
                </c:pt>
                <c:pt idx="13">
                  <c:v>4</c:v>
                </c:pt>
                <c:pt idx="14">
                  <c:v>4.0999999999999996</c:v>
                </c:pt>
                <c:pt idx="15">
                  <c:v>4.1900000000000004</c:v>
                </c:pt>
                <c:pt idx="16">
                  <c:v>4.3099999999999996</c:v>
                </c:pt>
                <c:pt idx="17">
                  <c:v>4.41</c:v>
                </c:pt>
                <c:pt idx="18">
                  <c:v>4.5199999999999996</c:v>
                </c:pt>
                <c:pt idx="19">
                  <c:v>4.5999999999999996</c:v>
                </c:pt>
                <c:pt idx="20">
                  <c:v>4.6500000000000004</c:v>
                </c:pt>
                <c:pt idx="21">
                  <c:v>4.67</c:v>
                </c:pt>
                <c:pt idx="22">
                  <c:v>4.68</c:v>
                </c:pt>
              </c:numCache>
            </c:numRef>
          </c:xVal>
          <c:yVal>
            <c:numRef>
              <c:f>Propu!$B$4:$X$4</c:f>
              <c:numCache>
                <c:formatCode>General</c:formatCode>
                <c:ptCount val="23"/>
                <c:pt idx="0">
                  <c:v>27</c:v>
                </c:pt>
                <c:pt idx="1">
                  <c:v>402.4</c:v>
                </c:pt>
                <c:pt idx="2">
                  <c:v>1286</c:v>
                </c:pt>
                <c:pt idx="3">
                  <c:v>1257</c:v>
                </c:pt>
                <c:pt idx="4">
                  <c:v>1042</c:v>
                </c:pt>
                <c:pt idx="5">
                  <c:v>1027</c:v>
                </c:pt>
                <c:pt idx="6">
                  <c:v>998.4</c:v>
                </c:pt>
                <c:pt idx="7">
                  <c:v>901.4</c:v>
                </c:pt>
                <c:pt idx="8">
                  <c:v>849.6</c:v>
                </c:pt>
                <c:pt idx="9">
                  <c:v>763.5</c:v>
                </c:pt>
                <c:pt idx="10">
                  <c:v>707.1</c:v>
                </c:pt>
                <c:pt idx="11">
                  <c:v>655.1</c:v>
                </c:pt>
                <c:pt idx="12">
                  <c:v>651.70000000000005</c:v>
                </c:pt>
                <c:pt idx="13">
                  <c:v>624.1</c:v>
                </c:pt>
                <c:pt idx="14">
                  <c:v>601.29999999999995</c:v>
                </c:pt>
                <c:pt idx="15">
                  <c:v>536.20000000000005</c:v>
                </c:pt>
                <c:pt idx="16">
                  <c:v>415.7</c:v>
                </c:pt>
                <c:pt idx="17">
                  <c:v>270.2</c:v>
                </c:pt>
                <c:pt idx="18">
                  <c:v>140.19999999999999</c:v>
                </c:pt>
                <c:pt idx="19">
                  <c:v>76.900000000000006</c:v>
                </c:pt>
                <c:pt idx="20">
                  <c:v>54.9</c:v>
                </c:pt>
                <c:pt idx="21">
                  <c:v>40.200000000000003</c:v>
                </c:pt>
                <c:pt idx="22">
                  <c:v>0</c:v>
                </c:pt>
              </c:numCache>
            </c:numRef>
          </c:yVal>
          <c:smooth val="0"/>
          <c:extLst>
            <c:ext xmlns:c16="http://schemas.microsoft.com/office/drawing/2014/chart" uri="{C3380CC4-5D6E-409C-BE32-E72D297353CC}">
              <c16:uniqueId val="{00000000-11ED-44DF-887D-194E91E3F465}"/>
            </c:ext>
          </c:extLst>
        </c:ser>
        <c:dLbls>
          <c:showLegendKey val="0"/>
          <c:showVal val="0"/>
          <c:showCatName val="0"/>
          <c:showSerName val="0"/>
          <c:showPercent val="0"/>
          <c:showBubbleSize val="0"/>
        </c:dLbls>
        <c:axId val="193428480"/>
        <c:axId val="193451520"/>
      </c:scatterChart>
      <c:valAx>
        <c:axId val="193428480"/>
        <c:scaling>
          <c:orientation val="minMax"/>
        </c:scaling>
        <c:delete val="0"/>
        <c:axPos val="b"/>
        <c:majorGridlines>
          <c:spPr>
            <a:ln w="3175">
              <a:solidFill>
                <a:srgbClr val="B3B3B3"/>
              </a:solidFill>
              <a:prstDash val="sysDash"/>
            </a:ln>
          </c:spPr>
        </c:majorGridlines>
        <c:title>
          <c:tx>
            <c:rich>
              <a:bodyPr/>
              <a:lstStyle/>
              <a:p>
                <a:pPr>
                  <a:defRPr sz="1000" b="0" i="0" u="none" strike="noStrike" baseline="0">
                    <a:solidFill>
                      <a:srgbClr val="000000"/>
                    </a:solidFill>
                    <a:latin typeface="Arial"/>
                    <a:ea typeface="Arial"/>
                    <a:cs typeface="Arial"/>
                  </a:defRPr>
                </a:pPr>
                <a:r>
                  <a:rPr lang="fr-FR"/>
                  <a:t>Temps / Time [s]</a:t>
                </a:r>
              </a:p>
            </c:rich>
          </c:tx>
          <c:layout>
            <c:manualLayout>
              <c:xMode val="edge"/>
              <c:yMode val="edge"/>
              <c:x val="0.78665554917523417"/>
              <c:y val="0.68868125417484782"/>
            </c:manualLayout>
          </c:layout>
          <c:overlay val="0"/>
          <c:spPr>
            <a:noFill/>
            <a:ln w="25400">
              <a:noFill/>
            </a:ln>
          </c:spPr>
        </c:title>
        <c:numFmt formatCode="General" sourceLinked="1"/>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193451520"/>
        <c:crosses val="autoZero"/>
        <c:crossBetween val="midCat"/>
      </c:valAx>
      <c:valAx>
        <c:axId val="193451520"/>
        <c:scaling>
          <c:orientation val="minMax"/>
        </c:scaling>
        <c:delete val="0"/>
        <c:axPos val="l"/>
        <c:majorGridlines>
          <c:spPr>
            <a:ln w="3175">
              <a:solidFill>
                <a:srgbClr val="B3B3B3"/>
              </a:solidFill>
              <a:prstDash val="sysDash"/>
            </a:ln>
          </c:spPr>
        </c:majorGridlines>
        <c:title>
          <c:tx>
            <c:rich>
              <a:bodyPr/>
              <a:lstStyle/>
              <a:p>
                <a:pPr>
                  <a:defRPr sz="1000" b="0" i="0" u="none" strike="noStrike" baseline="0">
                    <a:solidFill>
                      <a:srgbClr val="000000"/>
                    </a:solidFill>
                    <a:latin typeface="Arial"/>
                    <a:ea typeface="Arial"/>
                    <a:cs typeface="Arial"/>
                  </a:defRPr>
                </a:pPr>
                <a:r>
                  <a:rPr lang="fr-FR"/>
                  <a:t>Poussée / Thrust [N]</a:t>
                </a:r>
              </a:p>
            </c:rich>
          </c:tx>
          <c:layout>
            <c:manualLayout>
              <c:xMode val="edge"/>
              <c:yMode val="edge"/>
              <c:x val="8.5144147191391295E-2"/>
              <c:y val="0.35327652166872459"/>
            </c:manualLayout>
          </c:layout>
          <c:overlay val="0"/>
          <c:spPr>
            <a:noFill/>
            <a:ln w="25400">
              <a:noFill/>
            </a:ln>
          </c:spPr>
        </c:title>
        <c:numFmt formatCode="General" sourceLinked="1"/>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193428480"/>
        <c:crosses val="autoZero"/>
        <c:crossBetween val="midCat"/>
      </c:valAx>
      <c:spPr>
        <a:noFill/>
        <a:ln w="3175">
          <a:solidFill>
            <a:srgbClr val="B3B3B3"/>
          </a:solidFill>
          <a:prstDash val="solid"/>
        </a:ln>
      </c:spPr>
    </c:plotArea>
    <c:plotVisOnly val="0"/>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orientation="landscape" horizontalDpi="1200" verticalDpi="1200"/>
  </c:printSettings>
</c:chartSpace>
</file>

<file path=xl/ctrlProps/ctrlProp1.xml><?xml version="1.0" encoding="utf-8"?>
<formControlPr xmlns="http://schemas.microsoft.com/office/spreadsheetml/2009/9/main" objectType="Spin" dx="15" fmlaLink="$C$22" inc="25" max="30000" noThreeD="1" page="10" val="250"/>
</file>

<file path=xl/ctrlProps/ctrlProp10.xml><?xml version="1.0" encoding="utf-8"?>
<formControlPr xmlns="http://schemas.microsoft.com/office/spreadsheetml/2009/9/main" objectType="Spin" dx="15" fmlaLink="$C$32" max="6" min="3" noThreeD="1" page="10" val="4"/>
</file>

<file path=xl/ctrlProps/ctrlProp11.xml><?xml version="1.0" encoding="utf-8"?>
<formControlPr xmlns="http://schemas.microsoft.com/office/spreadsheetml/2009/9/main" objectType="Spin" dx="15" fmlaLink="$C$13" inc="50" max="30000" noThreeD="1" page="10" val="1800"/>
</file>

<file path=xl/ctrlProps/ctrlProp12.xml><?xml version="1.0" encoding="utf-8"?>
<formControlPr xmlns="http://schemas.microsoft.com/office/spreadsheetml/2009/9/main" objectType="Spin" dx="15" fmlaLink="$C$11" inc="100" max="30000" noThreeD="1" page="10" val="8000"/>
</file>

<file path=xl/ctrlProps/ctrlProp13.xml><?xml version="1.0" encoding="utf-8"?>
<formControlPr xmlns="http://schemas.microsoft.com/office/spreadsheetml/2009/9/main" objectType="Spin" dx="15" fmlaLink="$C$11" inc="100" max="30000" noThreeD="1" page="10" val="8000"/>
</file>

<file path=xl/ctrlProps/ctrlProp14.xml><?xml version="1.0" encoding="utf-8"?>
<formControlPr xmlns="http://schemas.microsoft.com/office/spreadsheetml/2009/9/main" objectType="Spin" dx="15" fmlaLink="Stabilito!C11" inc="100" max="30000" noThreeD="1" page="10" val="8000"/>
</file>

<file path=xl/ctrlProps/ctrlProp15.xml><?xml version="1.0" encoding="utf-8"?>
<formControlPr xmlns="http://schemas.microsoft.com/office/spreadsheetml/2009/9/main" objectType="Spin" dx="15" fmlaLink="$B$43" inc="50" max="30000" noThreeD="1" page="10" val="400"/>
</file>

<file path=xl/ctrlProps/ctrlProp16.xml><?xml version="1.0" encoding="utf-8"?>
<formControlPr xmlns="http://schemas.microsoft.com/office/spreadsheetml/2009/9/main" objectType="Spin" dx="15" fmlaLink="$B$45" inc="50" max="30000" noThreeD="1" page="10" val="300"/>
</file>

<file path=xl/ctrlProps/ctrlProp17.xml><?xml version="1.0" encoding="utf-8"?>
<formControlPr xmlns="http://schemas.microsoft.com/office/spreadsheetml/2009/9/main" objectType="Spin" dx="15" fmlaLink="$B$51" inc="50" max="30000" noThreeD="1" page="10" val="299"/>
</file>

<file path=xl/ctrlProps/ctrlProp18.xml><?xml version="1.0" encoding="utf-8"?>
<formControlPr xmlns="http://schemas.microsoft.com/office/spreadsheetml/2009/9/main" objectType="Spin" dx="15" fmlaLink="$B$53" inc="5" max="30000" noThreeD="1" page="10" val="29"/>
</file>

<file path=xl/ctrlProps/ctrlProp19.xml><?xml version="1.0" encoding="utf-8"?>
<formControlPr xmlns="http://schemas.microsoft.com/office/spreadsheetml/2009/9/main" objectType="Spin" dx="15" fmlaLink="Stabilito!C11" inc="100" max="30000" noThreeD="1" page="10" val="8000"/>
</file>

<file path=xl/ctrlProps/ctrlProp2.xml><?xml version="1.0" encoding="utf-8"?>
<formControlPr xmlns="http://schemas.microsoft.com/office/spreadsheetml/2009/9/main" objectType="Spin" dx="15" fmlaLink="$C$11" inc="100" max="30000" noThreeD="1" page="10" val="8000"/>
</file>

<file path=xl/ctrlProps/ctrlProp20.xml><?xml version="1.0" encoding="utf-8"?>
<formControlPr xmlns="http://schemas.microsoft.com/office/spreadsheetml/2009/9/main" objectType="Spin" dx="15" fmlaLink="Stabilito!C11" inc="100" max="30000" noThreeD="1" page="10" val="8000"/>
</file>

<file path=xl/ctrlProps/ctrlProp3.xml><?xml version="1.0" encoding="utf-8"?>
<formControlPr xmlns="http://schemas.microsoft.com/office/spreadsheetml/2009/9/main" objectType="Spin" dx="15" fmlaLink="$C$12" inc="50" max="30000" noThreeD="1" page="10" val="1100"/>
</file>

<file path=xl/ctrlProps/ctrlProp4.xml><?xml version="1.0" encoding="utf-8"?>
<formControlPr xmlns="http://schemas.microsoft.com/office/spreadsheetml/2009/9/main" objectType="Spin" dx="15" fmlaLink="$C$23" inc="20" max="30000" noThreeD="1" page="10" val="100"/>
</file>

<file path=xl/ctrlProps/ctrlProp5.xml><?xml version="1.0" encoding="utf-8"?>
<formControlPr xmlns="http://schemas.microsoft.com/office/spreadsheetml/2009/9/main" objectType="Spin" dx="15" fmlaLink="$C$27" inc="10" max="30000" noThreeD="1" page="10" val="220"/>
</file>

<file path=xl/ctrlProps/ctrlProp6.xml><?xml version="1.0" encoding="utf-8"?>
<formControlPr xmlns="http://schemas.microsoft.com/office/spreadsheetml/2009/9/main" objectType="Spin" dx="15" fmlaLink="$C$28" inc="10" max="30000" noThreeD="1" page="10" val="100"/>
</file>

<file path=xl/ctrlProps/ctrlProp7.xml><?xml version="1.0" encoding="utf-8"?>
<formControlPr xmlns="http://schemas.microsoft.com/office/spreadsheetml/2009/9/main" objectType="Spin" dx="15" fmlaLink="$C$29" inc="10" max="30000" noThreeD="1" page="10" val="200"/>
</file>

<file path=xl/ctrlProps/ctrlProp8.xml><?xml version="1.0" encoding="utf-8"?>
<formControlPr xmlns="http://schemas.microsoft.com/office/spreadsheetml/2009/9/main" objectType="Spin" dx="15" fmlaLink="$C$30" inc="10" max="30000" noThreeD="1" page="10" val="150"/>
</file>

<file path=xl/ctrlProps/ctrlProp9.xml><?xml version="1.0" encoding="utf-8"?>
<formControlPr xmlns="http://schemas.microsoft.com/office/spreadsheetml/2009/9/main" objectType="Spin" dx="15" fmlaLink="$C$31" max="30000" noThreeD="1" page="10" val="2"/>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5.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4.png"/><Relationship Id="rId5" Type="http://schemas.openxmlformats.org/officeDocument/2006/relationships/image" Target="../media/image3.png"/><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image" Target="../media/image3.png"/><Relationship Id="rId4"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45.png"/><Relationship Id="rId1" Type="http://schemas.openxmlformats.org/officeDocument/2006/relationships/image" Target="../media/image44.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3.vml.rels><?xml version="1.0" encoding="UTF-8" standalone="yes"?>
<Relationships xmlns="http://schemas.openxmlformats.org/package/2006/relationships"><Relationship Id="rId13" Type="http://schemas.openxmlformats.org/officeDocument/2006/relationships/image" Target="../media/image19.emf"/><Relationship Id="rId18" Type="http://schemas.openxmlformats.org/officeDocument/2006/relationships/image" Target="../media/image24.emf"/><Relationship Id="rId26" Type="http://schemas.openxmlformats.org/officeDocument/2006/relationships/image" Target="../media/image32.emf"/><Relationship Id="rId3" Type="http://schemas.openxmlformats.org/officeDocument/2006/relationships/image" Target="../media/image9.emf"/><Relationship Id="rId21" Type="http://schemas.openxmlformats.org/officeDocument/2006/relationships/image" Target="../media/image27.emf"/><Relationship Id="rId34" Type="http://schemas.openxmlformats.org/officeDocument/2006/relationships/image" Target="../media/image40.emf"/><Relationship Id="rId7" Type="http://schemas.openxmlformats.org/officeDocument/2006/relationships/image" Target="../media/image13.emf"/><Relationship Id="rId12" Type="http://schemas.openxmlformats.org/officeDocument/2006/relationships/image" Target="../media/image18.emf"/><Relationship Id="rId17" Type="http://schemas.openxmlformats.org/officeDocument/2006/relationships/image" Target="../media/image23.emf"/><Relationship Id="rId25" Type="http://schemas.openxmlformats.org/officeDocument/2006/relationships/image" Target="../media/image31.emf"/><Relationship Id="rId33" Type="http://schemas.openxmlformats.org/officeDocument/2006/relationships/image" Target="../media/image39.emf"/><Relationship Id="rId2" Type="http://schemas.openxmlformats.org/officeDocument/2006/relationships/image" Target="../media/image8.emf"/><Relationship Id="rId16" Type="http://schemas.openxmlformats.org/officeDocument/2006/relationships/image" Target="../media/image22.emf"/><Relationship Id="rId20" Type="http://schemas.openxmlformats.org/officeDocument/2006/relationships/image" Target="../media/image26.emf"/><Relationship Id="rId29" Type="http://schemas.openxmlformats.org/officeDocument/2006/relationships/image" Target="../media/image35.emf"/><Relationship Id="rId1" Type="http://schemas.openxmlformats.org/officeDocument/2006/relationships/image" Target="../media/image7.emf"/><Relationship Id="rId6" Type="http://schemas.openxmlformats.org/officeDocument/2006/relationships/image" Target="../media/image12.emf"/><Relationship Id="rId11" Type="http://schemas.openxmlformats.org/officeDocument/2006/relationships/image" Target="../media/image17.emf"/><Relationship Id="rId24" Type="http://schemas.openxmlformats.org/officeDocument/2006/relationships/image" Target="../media/image30.emf"/><Relationship Id="rId32" Type="http://schemas.openxmlformats.org/officeDocument/2006/relationships/image" Target="../media/image38.emf"/><Relationship Id="rId5" Type="http://schemas.openxmlformats.org/officeDocument/2006/relationships/image" Target="../media/image11.emf"/><Relationship Id="rId15" Type="http://schemas.openxmlformats.org/officeDocument/2006/relationships/image" Target="../media/image21.emf"/><Relationship Id="rId23" Type="http://schemas.openxmlformats.org/officeDocument/2006/relationships/image" Target="../media/image29.emf"/><Relationship Id="rId28" Type="http://schemas.openxmlformats.org/officeDocument/2006/relationships/image" Target="../media/image34.emf"/><Relationship Id="rId36" Type="http://schemas.openxmlformats.org/officeDocument/2006/relationships/image" Target="../media/image42.emf"/><Relationship Id="rId10" Type="http://schemas.openxmlformats.org/officeDocument/2006/relationships/image" Target="../media/image16.emf"/><Relationship Id="rId19" Type="http://schemas.openxmlformats.org/officeDocument/2006/relationships/image" Target="../media/image25.emf"/><Relationship Id="rId31" Type="http://schemas.openxmlformats.org/officeDocument/2006/relationships/image" Target="../media/image37.emf"/><Relationship Id="rId4" Type="http://schemas.openxmlformats.org/officeDocument/2006/relationships/image" Target="../media/image10.emf"/><Relationship Id="rId9" Type="http://schemas.openxmlformats.org/officeDocument/2006/relationships/image" Target="../media/image15.emf"/><Relationship Id="rId14" Type="http://schemas.openxmlformats.org/officeDocument/2006/relationships/image" Target="../media/image20.emf"/><Relationship Id="rId22" Type="http://schemas.openxmlformats.org/officeDocument/2006/relationships/image" Target="../media/image28.emf"/><Relationship Id="rId27" Type="http://schemas.openxmlformats.org/officeDocument/2006/relationships/image" Target="../media/image33.emf"/><Relationship Id="rId30" Type="http://schemas.openxmlformats.org/officeDocument/2006/relationships/image" Target="../media/image36.emf"/><Relationship Id="rId35" Type="http://schemas.openxmlformats.org/officeDocument/2006/relationships/image" Target="../media/image41.emf"/><Relationship Id="rId8" Type="http://schemas.openxmlformats.org/officeDocument/2006/relationships/image" Target="../media/image14.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xdr:from>
      <xdr:col>12</xdr:col>
      <xdr:colOff>25400</xdr:colOff>
      <xdr:row>1</xdr:row>
      <xdr:rowOff>25400</xdr:rowOff>
    </xdr:from>
    <xdr:to>
      <xdr:col>12</xdr:col>
      <xdr:colOff>488950</xdr:colOff>
      <xdr:row>1</xdr:row>
      <xdr:rowOff>139700</xdr:rowOff>
    </xdr:to>
    <xdr:grpSp>
      <xdr:nvGrpSpPr>
        <xdr:cNvPr id="5096993" name="Groupe 1">
          <a:extLst>
            <a:ext uri="{FF2B5EF4-FFF2-40B4-BE49-F238E27FC236}">
              <a16:creationId xmlns:a16="http://schemas.microsoft.com/office/drawing/2014/main" id="{00000000-0008-0000-0000-000021C64D00}"/>
            </a:ext>
          </a:extLst>
        </xdr:cNvPr>
        <xdr:cNvGrpSpPr>
          <a:grpSpLocks/>
        </xdr:cNvGrpSpPr>
      </xdr:nvGrpSpPr>
      <xdr:grpSpPr bwMode="auto">
        <a:xfrm>
          <a:off x="7592060" y="185420"/>
          <a:ext cx="463550" cy="114300"/>
          <a:chOff x="7067550" y="190500"/>
          <a:chExt cx="438150" cy="114300"/>
        </a:xfrm>
      </xdr:grpSpPr>
      <xdr:pic>
        <xdr:nvPicPr>
          <xdr:cNvPr id="5096999" name="Image 1">
            <a:extLst>
              <a:ext uri="{FF2B5EF4-FFF2-40B4-BE49-F238E27FC236}">
                <a16:creationId xmlns:a16="http://schemas.microsoft.com/office/drawing/2014/main" id="{00000000-0008-0000-0000-000027C64D00}"/>
              </a:ext>
            </a:extLst>
          </xdr:cNvPr>
          <xdr:cNvPicPr>
            <a:picLocks noChangeAspect="1"/>
          </xdr:cNvPicPr>
        </xdr:nvPicPr>
        <xdr:blipFill>
          <a:blip xmlns:r="http://schemas.openxmlformats.org/officeDocument/2006/relationships" r:embed="rId1" cstate="print"/>
          <a:srcRect/>
          <a:stretch>
            <a:fillRect/>
          </a:stretch>
        </xdr:blipFill>
        <xdr:spPr bwMode="auto">
          <a:xfrm>
            <a:off x="7067550" y="190500"/>
            <a:ext cx="171450" cy="114300"/>
          </a:xfrm>
          <a:prstGeom prst="rect">
            <a:avLst/>
          </a:prstGeom>
          <a:noFill/>
          <a:ln w="9525">
            <a:noFill/>
            <a:miter lim="800000"/>
            <a:headEnd/>
            <a:tailEnd/>
          </a:ln>
        </xdr:spPr>
      </xdr:pic>
      <xdr:pic>
        <xdr:nvPicPr>
          <xdr:cNvPr id="5097000" name="Image 2">
            <a:extLst>
              <a:ext uri="{FF2B5EF4-FFF2-40B4-BE49-F238E27FC236}">
                <a16:creationId xmlns:a16="http://schemas.microsoft.com/office/drawing/2014/main" id="{00000000-0008-0000-0000-000028C64D00}"/>
              </a:ext>
            </a:extLst>
          </xdr:cNvPr>
          <xdr:cNvPicPr>
            <a:picLocks noChangeAspect="1"/>
          </xdr:cNvPicPr>
        </xdr:nvPicPr>
        <xdr:blipFill>
          <a:blip xmlns:r="http://schemas.openxmlformats.org/officeDocument/2006/relationships" r:embed="rId2" cstate="print"/>
          <a:srcRect/>
          <a:stretch>
            <a:fillRect/>
          </a:stretch>
        </xdr:blipFill>
        <xdr:spPr bwMode="auto">
          <a:xfrm>
            <a:off x="7277100" y="190500"/>
            <a:ext cx="228600" cy="114300"/>
          </a:xfrm>
          <a:prstGeom prst="rect">
            <a:avLst/>
          </a:prstGeom>
          <a:noFill/>
          <a:ln w="9525">
            <a:noFill/>
            <a:miter lim="800000"/>
            <a:headEnd/>
            <a:tailEnd/>
          </a:ln>
        </xdr:spPr>
      </xdr:pic>
    </xdr:grpSp>
    <xdr:clientData/>
  </xdr:twoCellAnchor>
  <xdr:twoCellAnchor>
    <xdr:from>
      <xdr:col>4</xdr:col>
      <xdr:colOff>279400</xdr:colOff>
      <xdr:row>1</xdr:row>
      <xdr:rowOff>0</xdr:rowOff>
    </xdr:from>
    <xdr:to>
      <xdr:col>10</xdr:col>
      <xdr:colOff>0</xdr:colOff>
      <xdr:row>24</xdr:row>
      <xdr:rowOff>0</xdr:rowOff>
    </xdr:to>
    <xdr:graphicFrame macro="">
      <xdr:nvGraphicFramePr>
        <xdr:cNvPr id="5096994" name="Graphique 9">
          <a:extLst>
            <a:ext uri="{FF2B5EF4-FFF2-40B4-BE49-F238E27FC236}">
              <a16:creationId xmlns:a16="http://schemas.microsoft.com/office/drawing/2014/main" id="{00000000-0008-0000-0000-000022C6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25</xdr:row>
      <xdr:rowOff>0</xdr:rowOff>
    </xdr:from>
    <xdr:to>
      <xdr:col>16</xdr:col>
      <xdr:colOff>0</xdr:colOff>
      <xdr:row>35</xdr:row>
      <xdr:rowOff>0</xdr:rowOff>
    </xdr:to>
    <xdr:graphicFrame macro="">
      <xdr:nvGraphicFramePr>
        <xdr:cNvPr id="5096995" name="Graphique 19">
          <a:extLst>
            <a:ext uri="{FF2B5EF4-FFF2-40B4-BE49-F238E27FC236}">
              <a16:creationId xmlns:a16="http://schemas.microsoft.com/office/drawing/2014/main" id="{00000000-0008-0000-0000-000023C6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0</xdr:colOff>
      <xdr:row>1</xdr:row>
      <xdr:rowOff>0</xdr:rowOff>
    </xdr:from>
    <xdr:to>
      <xdr:col>1</xdr:col>
      <xdr:colOff>984250</xdr:colOff>
      <xdr:row>4</xdr:row>
      <xdr:rowOff>152400</xdr:rowOff>
    </xdr:to>
    <xdr:pic>
      <xdr:nvPicPr>
        <xdr:cNvPr id="5096996" name="Picture 8" descr="logoplasci">
          <a:extLst>
            <a:ext uri="{FF2B5EF4-FFF2-40B4-BE49-F238E27FC236}">
              <a16:creationId xmlns:a16="http://schemas.microsoft.com/office/drawing/2014/main" id="{00000000-0008-0000-0000-000024C64D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152400" y="158750"/>
          <a:ext cx="984250" cy="628650"/>
        </a:xfrm>
        <a:prstGeom prst="rect">
          <a:avLst/>
        </a:prstGeom>
        <a:noFill/>
        <a:ln w="9525">
          <a:noFill/>
          <a:miter lim="800000"/>
          <a:headEnd/>
          <a:tailEnd/>
        </a:ln>
      </xdr:spPr>
    </xdr:pic>
    <xdr:clientData/>
  </xdr:twoCellAnchor>
  <xdr:twoCellAnchor editAs="oneCell">
    <xdr:from>
      <xdr:col>1</xdr:col>
      <xdr:colOff>0</xdr:colOff>
      <xdr:row>37</xdr:row>
      <xdr:rowOff>0</xdr:rowOff>
    </xdr:from>
    <xdr:to>
      <xdr:col>2</xdr:col>
      <xdr:colOff>850900</xdr:colOff>
      <xdr:row>48</xdr:row>
      <xdr:rowOff>69850</xdr:rowOff>
    </xdr:to>
    <xdr:pic>
      <xdr:nvPicPr>
        <xdr:cNvPr id="5096997" name="Image 1">
          <a:extLst>
            <a:ext uri="{FF2B5EF4-FFF2-40B4-BE49-F238E27FC236}">
              <a16:creationId xmlns:a16="http://schemas.microsoft.com/office/drawing/2014/main" id="{00000000-0008-0000-0000-000025C64D00}"/>
            </a:ext>
          </a:extLst>
        </xdr:cNvPr>
        <xdr:cNvPicPr>
          <a:picLocks noChangeAspect="1"/>
        </xdr:cNvPicPr>
      </xdr:nvPicPr>
      <xdr:blipFill>
        <a:blip xmlns:r="http://schemas.openxmlformats.org/officeDocument/2006/relationships" r:embed="rId6" cstate="print"/>
        <a:srcRect/>
        <a:stretch>
          <a:fillRect/>
        </a:stretch>
      </xdr:blipFill>
      <xdr:spPr bwMode="auto">
        <a:xfrm>
          <a:off x="152400" y="5873750"/>
          <a:ext cx="1987550" cy="1885950"/>
        </a:xfrm>
        <a:prstGeom prst="rect">
          <a:avLst/>
        </a:prstGeom>
        <a:noFill/>
        <a:ln w="9525">
          <a:noFill/>
          <a:miter lim="800000"/>
          <a:headEnd/>
          <a:tailEnd/>
        </a:ln>
      </xdr:spPr>
    </xdr:pic>
    <xdr:clientData/>
  </xdr:twoCellAnchor>
  <xdr:twoCellAnchor editAs="oneCell">
    <xdr:from>
      <xdr:col>18</xdr:col>
      <xdr:colOff>0</xdr:colOff>
      <xdr:row>3</xdr:row>
      <xdr:rowOff>12700</xdr:rowOff>
    </xdr:from>
    <xdr:to>
      <xdr:col>20</xdr:col>
      <xdr:colOff>565150</xdr:colOff>
      <xdr:row>9</xdr:row>
      <xdr:rowOff>12700</xdr:rowOff>
    </xdr:to>
    <xdr:pic>
      <xdr:nvPicPr>
        <xdr:cNvPr id="5096998" name="Image 2">
          <a:extLst>
            <a:ext uri="{FF2B5EF4-FFF2-40B4-BE49-F238E27FC236}">
              <a16:creationId xmlns:a16="http://schemas.microsoft.com/office/drawing/2014/main" id="{00000000-0008-0000-0000-000026C64D00}"/>
            </a:ext>
          </a:extLst>
        </xdr:cNvPr>
        <xdr:cNvPicPr>
          <a:picLocks noChangeAspect="1"/>
        </xdr:cNvPicPr>
      </xdr:nvPicPr>
      <xdr:blipFill>
        <a:blip xmlns:r="http://schemas.openxmlformats.org/officeDocument/2006/relationships" r:embed="rId7" cstate="print"/>
        <a:srcRect/>
        <a:stretch>
          <a:fillRect/>
        </a:stretch>
      </xdr:blipFill>
      <xdr:spPr bwMode="auto">
        <a:xfrm>
          <a:off x="9810750" y="488950"/>
          <a:ext cx="2152650" cy="9525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xdr:from>
          <xdr:col>3</xdr:col>
          <xdr:colOff>891540</xdr:colOff>
          <xdr:row>21</xdr:row>
          <xdr:rowOff>15240</xdr:rowOff>
        </xdr:from>
        <xdr:to>
          <xdr:col>4</xdr:col>
          <xdr:colOff>0</xdr:colOff>
          <xdr:row>22</xdr:row>
          <xdr:rowOff>0</xdr:rowOff>
        </xdr:to>
        <xdr:sp macro="" textlink="">
          <xdr:nvSpPr>
            <xdr:cNvPr id="36775" name="Spinner 935" hidden="1">
              <a:extLst>
                <a:ext uri="{63B3BB69-23CF-44E3-9099-C40C66FF867C}">
                  <a14:compatExt spid="_x0000_s36775"/>
                </a:ext>
                <a:ext uri="{FF2B5EF4-FFF2-40B4-BE49-F238E27FC236}">
                  <a16:creationId xmlns:a16="http://schemas.microsoft.com/office/drawing/2014/main" id="{00000000-0008-0000-0000-0000A7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891540</xdr:colOff>
          <xdr:row>10</xdr:row>
          <xdr:rowOff>15240</xdr:rowOff>
        </xdr:from>
        <xdr:to>
          <xdr:col>3</xdr:col>
          <xdr:colOff>0</xdr:colOff>
          <xdr:row>11</xdr:row>
          <xdr:rowOff>0</xdr:rowOff>
        </xdr:to>
        <xdr:sp macro="" textlink="">
          <xdr:nvSpPr>
            <xdr:cNvPr id="36781" name="Spinner 941" hidden="1">
              <a:extLst>
                <a:ext uri="{63B3BB69-23CF-44E3-9099-C40C66FF867C}">
                  <a14:compatExt spid="_x0000_s36781"/>
                </a:ext>
                <a:ext uri="{FF2B5EF4-FFF2-40B4-BE49-F238E27FC236}">
                  <a16:creationId xmlns:a16="http://schemas.microsoft.com/office/drawing/2014/main" id="{00000000-0008-0000-0000-0000AD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891540</xdr:colOff>
          <xdr:row>11</xdr:row>
          <xdr:rowOff>15240</xdr:rowOff>
        </xdr:from>
        <xdr:to>
          <xdr:col>3</xdr:col>
          <xdr:colOff>0</xdr:colOff>
          <xdr:row>12</xdr:row>
          <xdr:rowOff>0</xdr:rowOff>
        </xdr:to>
        <xdr:sp macro="" textlink="">
          <xdr:nvSpPr>
            <xdr:cNvPr id="36782" name="Spinner 942" hidden="1">
              <a:extLst>
                <a:ext uri="{63B3BB69-23CF-44E3-9099-C40C66FF867C}">
                  <a14:compatExt spid="_x0000_s36782"/>
                </a:ext>
                <a:ext uri="{FF2B5EF4-FFF2-40B4-BE49-F238E27FC236}">
                  <a16:creationId xmlns:a16="http://schemas.microsoft.com/office/drawing/2014/main" id="{00000000-0008-0000-0000-0000AE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891540</xdr:colOff>
          <xdr:row>22</xdr:row>
          <xdr:rowOff>15240</xdr:rowOff>
        </xdr:from>
        <xdr:to>
          <xdr:col>4</xdr:col>
          <xdr:colOff>0</xdr:colOff>
          <xdr:row>23</xdr:row>
          <xdr:rowOff>0</xdr:rowOff>
        </xdr:to>
        <xdr:sp macro="" textlink="">
          <xdr:nvSpPr>
            <xdr:cNvPr id="36783" name="Spinner 943" hidden="1">
              <a:extLst>
                <a:ext uri="{63B3BB69-23CF-44E3-9099-C40C66FF867C}">
                  <a14:compatExt spid="_x0000_s36783"/>
                </a:ext>
                <a:ext uri="{FF2B5EF4-FFF2-40B4-BE49-F238E27FC236}">
                  <a16:creationId xmlns:a16="http://schemas.microsoft.com/office/drawing/2014/main" id="{00000000-0008-0000-0000-0000AF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891540</xdr:colOff>
          <xdr:row>26</xdr:row>
          <xdr:rowOff>15240</xdr:rowOff>
        </xdr:from>
        <xdr:to>
          <xdr:col>3</xdr:col>
          <xdr:colOff>0</xdr:colOff>
          <xdr:row>27</xdr:row>
          <xdr:rowOff>0</xdr:rowOff>
        </xdr:to>
        <xdr:sp macro="" textlink="">
          <xdr:nvSpPr>
            <xdr:cNvPr id="36789" name="Spinner 949" hidden="1">
              <a:extLst>
                <a:ext uri="{63B3BB69-23CF-44E3-9099-C40C66FF867C}">
                  <a14:compatExt spid="_x0000_s36789"/>
                </a:ext>
                <a:ext uri="{FF2B5EF4-FFF2-40B4-BE49-F238E27FC236}">
                  <a16:creationId xmlns:a16="http://schemas.microsoft.com/office/drawing/2014/main" id="{00000000-0008-0000-0000-0000B5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891540</xdr:colOff>
          <xdr:row>27</xdr:row>
          <xdr:rowOff>15240</xdr:rowOff>
        </xdr:from>
        <xdr:to>
          <xdr:col>3</xdr:col>
          <xdr:colOff>0</xdr:colOff>
          <xdr:row>28</xdr:row>
          <xdr:rowOff>0</xdr:rowOff>
        </xdr:to>
        <xdr:sp macro="" textlink="">
          <xdr:nvSpPr>
            <xdr:cNvPr id="36795" name="Spinner 955" hidden="1">
              <a:extLst>
                <a:ext uri="{63B3BB69-23CF-44E3-9099-C40C66FF867C}">
                  <a14:compatExt spid="_x0000_s36795"/>
                </a:ext>
                <a:ext uri="{FF2B5EF4-FFF2-40B4-BE49-F238E27FC236}">
                  <a16:creationId xmlns:a16="http://schemas.microsoft.com/office/drawing/2014/main" id="{00000000-0008-0000-0000-0000BB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891540</xdr:colOff>
          <xdr:row>28</xdr:row>
          <xdr:rowOff>15240</xdr:rowOff>
        </xdr:from>
        <xdr:to>
          <xdr:col>3</xdr:col>
          <xdr:colOff>0</xdr:colOff>
          <xdr:row>29</xdr:row>
          <xdr:rowOff>0</xdr:rowOff>
        </xdr:to>
        <xdr:sp macro="" textlink="">
          <xdr:nvSpPr>
            <xdr:cNvPr id="36796" name="Spinner 956" hidden="1">
              <a:extLst>
                <a:ext uri="{63B3BB69-23CF-44E3-9099-C40C66FF867C}">
                  <a14:compatExt spid="_x0000_s36796"/>
                </a:ext>
                <a:ext uri="{FF2B5EF4-FFF2-40B4-BE49-F238E27FC236}">
                  <a16:creationId xmlns:a16="http://schemas.microsoft.com/office/drawing/2014/main" id="{00000000-0008-0000-0000-0000BC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891540</xdr:colOff>
          <xdr:row>29</xdr:row>
          <xdr:rowOff>15240</xdr:rowOff>
        </xdr:from>
        <xdr:to>
          <xdr:col>3</xdr:col>
          <xdr:colOff>0</xdr:colOff>
          <xdr:row>30</xdr:row>
          <xdr:rowOff>0</xdr:rowOff>
        </xdr:to>
        <xdr:sp macro="" textlink="">
          <xdr:nvSpPr>
            <xdr:cNvPr id="36797" name="Spinner 957" hidden="1">
              <a:extLst>
                <a:ext uri="{63B3BB69-23CF-44E3-9099-C40C66FF867C}">
                  <a14:compatExt spid="_x0000_s36797"/>
                </a:ext>
                <a:ext uri="{FF2B5EF4-FFF2-40B4-BE49-F238E27FC236}">
                  <a16:creationId xmlns:a16="http://schemas.microsoft.com/office/drawing/2014/main" id="{00000000-0008-0000-0000-0000BD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891540</xdr:colOff>
          <xdr:row>30</xdr:row>
          <xdr:rowOff>15240</xdr:rowOff>
        </xdr:from>
        <xdr:to>
          <xdr:col>3</xdr:col>
          <xdr:colOff>0</xdr:colOff>
          <xdr:row>31</xdr:row>
          <xdr:rowOff>0</xdr:rowOff>
        </xdr:to>
        <xdr:sp macro="" textlink="">
          <xdr:nvSpPr>
            <xdr:cNvPr id="36798" name="Spinner 958" hidden="1">
              <a:extLst>
                <a:ext uri="{63B3BB69-23CF-44E3-9099-C40C66FF867C}">
                  <a14:compatExt spid="_x0000_s36798"/>
                </a:ext>
                <a:ext uri="{FF2B5EF4-FFF2-40B4-BE49-F238E27FC236}">
                  <a16:creationId xmlns:a16="http://schemas.microsoft.com/office/drawing/2014/main" id="{00000000-0008-0000-0000-0000BE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891540</xdr:colOff>
          <xdr:row>31</xdr:row>
          <xdr:rowOff>15240</xdr:rowOff>
        </xdr:from>
        <xdr:to>
          <xdr:col>3</xdr:col>
          <xdr:colOff>0</xdr:colOff>
          <xdr:row>32</xdr:row>
          <xdr:rowOff>0</xdr:rowOff>
        </xdr:to>
        <xdr:sp macro="" textlink="">
          <xdr:nvSpPr>
            <xdr:cNvPr id="36799" name="Spinner 959" hidden="1">
              <a:extLst>
                <a:ext uri="{63B3BB69-23CF-44E3-9099-C40C66FF867C}">
                  <a14:compatExt spid="_x0000_s36799"/>
                </a:ext>
                <a:ext uri="{FF2B5EF4-FFF2-40B4-BE49-F238E27FC236}">
                  <a16:creationId xmlns:a16="http://schemas.microsoft.com/office/drawing/2014/main" id="{00000000-0008-0000-0000-0000BF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891540</xdr:colOff>
          <xdr:row>12</xdr:row>
          <xdr:rowOff>15240</xdr:rowOff>
        </xdr:from>
        <xdr:to>
          <xdr:col>4</xdr:col>
          <xdr:colOff>0</xdr:colOff>
          <xdr:row>13</xdr:row>
          <xdr:rowOff>0</xdr:rowOff>
        </xdr:to>
        <xdr:sp macro="" textlink="">
          <xdr:nvSpPr>
            <xdr:cNvPr id="36801" name="Spinner 961" hidden="1">
              <a:extLst>
                <a:ext uri="{63B3BB69-23CF-44E3-9099-C40C66FF867C}">
                  <a14:compatExt spid="_x0000_s36801"/>
                </a:ext>
                <a:ext uri="{FF2B5EF4-FFF2-40B4-BE49-F238E27FC236}">
                  <a16:creationId xmlns:a16="http://schemas.microsoft.com/office/drawing/2014/main" id="{00000000-0008-0000-0000-0000C1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19</xdr:col>
          <xdr:colOff>0</xdr:colOff>
          <xdr:row>35</xdr:row>
          <xdr:rowOff>15240</xdr:rowOff>
        </xdr:from>
        <xdr:to>
          <xdr:col>19</xdr:col>
          <xdr:colOff>0</xdr:colOff>
          <xdr:row>36</xdr:row>
          <xdr:rowOff>0</xdr:rowOff>
        </xdr:to>
        <xdr:sp macro="" textlink="">
          <xdr:nvSpPr>
            <xdr:cNvPr id="5096691" name="Spinner 3315" hidden="1">
              <a:extLst>
                <a:ext uri="{63B3BB69-23CF-44E3-9099-C40C66FF867C}">
                  <a14:compatExt spid="_x0000_s5096691"/>
                </a:ext>
                <a:ext uri="{FF2B5EF4-FFF2-40B4-BE49-F238E27FC236}">
                  <a16:creationId xmlns:a16="http://schemas.microsoft.com/office/drawing/2014/main" id="{00000000-0008-0000-0000-0000F3C44D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19</xdr:col>
          <xdr:colOff>0</xdr:colOff>
          <xdr:row>35</xdr:row>
          <xdr:rowOff>15240</xdr:rowOff>
        </xdr:from>
        <xdr:to>
          <xdr:col>19</xdr:col>
          <xdr:colOff>0</xdr:colOff>
          <xdr:row>36</xdr:row>
          <xdr:rowOff>0</xdr:rowOff>
        </xdr:to>
        <xdr:sp macro="" textlink="">
          <xdr:nvSpPr>
            <xdr:cNvPr id="5096692" name="Spinner 3316" hidden="1">
              <a:extLst>
                <a:ext uri="{63B3BB69-23CF-44E3-9099-C40C66FF867C}">
                  <a14:compatExt spid="_x0000_s5096692"/>
                </a:ext>
                <a:ext uri="{FF2B5EF4-FFF2-40B4-BE49-F238E27FC236}">
                  <a16:creationId xmlns:a16="http://schemas.microsoft.com/office/drawing/2014/main" id="{00000000-0008-0000-0000-0000F4C44D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5</xdr:col>
      <xdr:colOff>0</xdr:colOff>
      <xdr:row>1</xdr:row>
      <xdr:rowOff>0</xdr:rowOff>
    </xdr:from>
    <xdr:to>
      <xdr:col>9</xdr:col>
      <xdr:colOff>0</xdr:colOff>
      <xdr:row>20</xdr:row>
      <xdr:rowOff>0</xdr:rowOff>
    </xdr:to>
    <xdr:graphicFrame macro="">
      <xdr:nvGraphicFramePr>
        <xdr:cNvPr id="4779983" name="Graphique 1">
          <a:extLst>
            <a:ext uri="{FF2B5EF4-FFF2-40B4-BE49-F238E27FC236}">
              <a16:creationId xmlns:a16="http://schemas.microsoft.com/office/drawing/2014/main" id="{00000000-0008-0000-0100-0000CFEF48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xdr:row>
      <xdr:rowOff>0</xdr:rowOff>
    </xdr:from>
    <xdr:to>
      <xdr:col>13</xdr:col>
      <xdr:colOff>0</xdr:colOff>
      <xdr:row>20</xdr:row>
      <xdr:rowOff>0</xdr:rowOff>
    </xdr:to>
    <xdr:graphicFrame macro="">
      <xdr:nvGraphicFramePr>
        <xdr:cNvPr id="4779984" name="Graphique 2">
          <a:extLst>
            <a:ext uri="{FF2B5EF4-FFF2-40B4-BE49-F238E27FC236}">
              <a16:creationId xmlns:a16="http://schemas.microsoft.com/office/drawing/2014/main" id="{00000000-0008-0000-0100-0000D0EF48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1</xdr:row>
      <xdr:rowOff>0</xdr:rowOff>
    </xdr:from>
    <xdr:to>
      <xdr:col>1</xdr:col>
      <xdr:colOff>984250</xdr:colOff>
      <xdr:row>4</xdr:row>
      <xdr:rowOff>152400</xdr:rowOff>
    </xdr:to>
    <xdr:pic>
      <xdr:nvPicPr>
        <xdr:cNvPr id="4779985" name="Picture 8" descr="logoplasci">
          <a:extLst>
            <a:ext uri="{FF2B5EF4-FFF2-40B4-BE49-F238E27FC236}">
              <a16:creationId xmlns:a16="http://schemas.microsoft.com/office/drawing/2014/main" id="{00000000-0008-0000-0100-0000D1EF48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52400" y="165100"/>
          <a:ext cx="984250" cy="628650"/>
        </a:xfrm>
        <a:prstGeom prst="rect">
          <a:avLst/>
        </a:prstGeom>
        <a:noFill/>
        <a:ln w="9525">
          <a:noFill/>
          <a:miter lim="800000"/>
          <a:headEnd/>
          <a:tailEnd/>
        </a:ln>
      </xdr:spPr>
    </xdr:pic>
    <xdr:clientData/>
  </xdr:twoCellAnchor>
  <xdr:twoCellAnchor>
    <xdr:from>
      <xdr:col>2</xdr:col>
      <xdr:colOff>139700</xdr:colOff>
      <xdr:row>38</xdr:row>
      <xdr:rowOff>120650</xdr:rowOff>
    </xdr:from>
    <xdr:to>
      <xdr:col>3</xdr:col>
      <xdr:colOff>723900</xdr:colOff>
      <xdr:row>46</xdr:row>
      <xdr:rowOff>0</xdr:rowOff>
    </xdr:to>
    <xdr:grpSp>
      <xdr:nvGrpSpPr>
        <xdr:cNvPr id="4779986" name="Groupe 1">
          <a:extLst>
            <a:ext uri="{FF2B5EF4-FFF2-40B4-BE49-F238E27FC236}">
              <a16:creationId xmlns:a16="http://schemas.microsoft.com/office/drawing/2014/main" id="{00000000-0008-0000-0100-0000D2EF4800}"/>
            </a:ext>
          </a:extLst>
        </xdr:cNvPr>
        <xdr:cNvGrpSpPr>
          <a:grpSpLocks/>
        </xdr:cNvGrpSpPr>
      </xdr:nvGrpSpPr>
      <xdr:grpSpPr bwMode="auto">
        <a:xfrm>
          <a:off x="1404620" y="6353810"/>
          <a:ext cx="1361440" cy="1220470"/>
          <a:chOff x="1362075" y="6410325"/>
          <a:chExt cx="1319468" cy="1181100"/>
        </a:xfrm>
      </xdr:grpSpPr>
      <xdr:sp macro="" textlink="">
        <xdr:nvSpPr>
          <xdr:cNvPr id="4779991" name="Line 320">
            <a:extLst>
              <a:ext uri="{FF2B5EF4-FFF2-40B4-BE49-F238E27FC236}">
                <a16:creationId xmlns:a16="http://schemas.microsoft.com/office/drawing/2014/main" id="{00000000-0008-0000-0100-0000D7EF4800}"/>
              </a:ext>
            </a:extLst>
          </xdr:cNvPr>
          <xdr:cNvSpPr>
            <a:spLocks noChangeShapeType="1"/>
          </xdr:cNvSpPr>
        </xdr:nvSpPr>
        <xdr:spPr bwMode="auto">
          <a:xfrm flipH="1">
            <a:off x="1462415" y="7296150"/>
            <a:ext cx="351189" cy="0"/>
          </a:xfrm>
          <a:prstGeom prst="line">
            <a:avLst/>
          </a:prstGeom>
          <a:noFill/>
          <a:ln w="9525">
            <a:solidFill>
              <a:srgbClr val="000000"/>
            </a:solidFill>
            <a:round/>
            <a:headEnd type="triangle" w="med" len="med"/>
            <a:tailEnd type="triangle" w="med" len="med"/>
          </a:ln>
        </xdr:spPr>
      </xdr:sp>
      <xdr:sp macro="" textlink="">
        <xdr:nvSpPr>
          <xdr:cNvPr id="4779992" name="Rectangle 314">
            <a:extLst>
              <a:ext uri="{FF2B5EF4-FFF2-40B4-BE49-F238E27FC236}">
                <a16:creationId xmlns:a16="http://schemas.microsoft.com/office/drawing/2014/main" id="{00000000-0008-0000-0100-0000D8EF4800}"/>
              </a:ext>
            </a:extLst>
          </xdr:cNvPr>
          <xdr:cNvSpPr>
            <a:spLocks noChangeArrowheads="1"/>
          </xdr:cNvSpPr>
        </xdr:nvSpPr>
        <xdr:spPr bwMode="auto">
          <a:xfrm>
            <a:off x="1833672" y="6410325"/>
            <a:ext cx="481630" cy="1181100"/>
          </a:xfrm>
          <a:prstGeom prst="rect">
            <a:avLst/>
          </a:prstGeom>
          <a:solidFill>
            <a:srgbClr val="F2F2F2"/>
          </a:solidFill>
          <a:ln w="9525">
            <a:solidFill>
              <a:srgbClr val="000000"/>
            </a:solidFill>
            <a:miter lim="800000"/>
            <a:headEnd/>
            <a:tailEnd/>
          </a:ln>
        </xdr:spPr>
      </xdr:sp>
      <xdr:sp macro="" textlink="">
        <xdr:nvSpPr>
          <xdr:cNvPr id="4779993" name="Rectangle 315">
            <a:extLst>
              <a:ext uri="{FF2B5EF4-FFF2-40B4-BE49-F238E27FC236}">
                <a16:creationId xmlns:a16="http://schemas.microsoft.com/office/drawing/2014/main" id="{00000000-0008-0000-0100-0000D9EF4800}"/>
              </a:ext>
            </a:extLst>
          </xdr:cNvPr>
          <xdr:cNvSpPr>
            <a:spLocks noChangeArrowheads="1"/>
          </xdr:cNvSpPr>
        </xdr:nvSpPr>
        <xdr:spPr bwMode="auto">
          <a:xfrm rot="-5400000">
            <a:off x="1838363" y="6388995"/>
            <a:ext cx="482283" cy="1204076"/>
          </a:xfrm>
          <a:prstGeom prst="rect">
            <a:avLst/>
          </a:prstGeom>
          <a:solidFill>
            <a:srgbClr val="F2F2F2"/>
          </a:solidFill>
          <a:ln w="9525">
            <a:solidFill>
              <a:srgbClr val="000000"/>
            </a:solidFill>
            <a:miter lim="800000"/>
            <a:headEnd/>
            <a:tailEnd/>
          </a:ln>
        </xdr:spPr>
      </xdr:sp>
      <xdr:sp macro="" textlink="">
        <xdr:nvSpPr>
          <xdr:cNvPr id="4779994" name="Line 316">
            <a:extLst>
              <a:ext uri="{FF2B5EF4-FFF2-40B4-BE49-F238E27FC236}">
                <a16:creationId xmlns:a16="http://schemas.microsoft.com/office/drawing/2014/main" id="{00000000-0008-0000-0100-0000DAEF4800}"/>
              </a:ext>
            </a:extLst>
          </xdr:cNvPr>
          <xdr:cNvSpPr>
            <a:spLocks noChangeShapeType="1"/>
          </xdr:cNvSpPr>
        </xdr:nvSpPr>
        <xdr:spPr bwMode="auto">
          <a:xfrm>
            <a:off x="1833672" y="6744970"/>
            <a:ext cx="0" cy="482283"/>
          </a:xfrm>
          <a:prstGeom prst="line">
            <a:avLst/>
          </a:prstGeom>
          <a:noFill/>
          <a:ln w="9525">
            <a:solidFill>
              <a:srgbClr val="000000"/>
            </a:solidFill>
            <a:round/>
            <a:headEnd/>
            <a:tailEnd/>
          </a:ln>
        </xdr:spPr>
      </xdr:sp>
      <xdr:sp macro="" textlink="">
        <xdr:nvSpPr>
          <xdr:cNvPr id="4779995" name="Line 317">
            <a:extLst>
              <a:ext uri="{FF2B5EF4-FFF2-40B4-BE49-F238E27FC236}">
                <a16:creationId xmlns:a16="http://schemas.microsoft.com/office/drawing/2014/main" id="{00000000-0008-0000-0100-0000DBEF4800}"/>
              </a:ext>
            </a:extLst>
          </xdr:cNvPr>
          <xdr:cNvSpPr>
            <a:spLocks noChangeShapeType="1"/>
          </xdr:cNvSpPr>
        </xdr:nvSpPr>
        <xdr:spPr bwMode="auto">
          <a:xfrm>
            <a:off x="2312198" y="6744970"/>
            <a:ext cx="0" cy="482283"/>
          </a:xfrm>
          <a:prstGeom prst="line">
            <a:avLst/>
          </a:prstGeom>
          <a:noFill/>
          <a:ln w="9525">
            <a:solidFill>
              <a:srgbClr val="000000"/>
            </a:solidFill>
            <a:round/>
            <a:headEnd/>
            <a:tailEnd/>
          </a:ln>
        </xdr:spPr>
      </xdr:sp>
      <xdr:sp macro="" textlink="">
        <xdr:nvSpPr>
          <xdr:cNvPr id="4779996" name="Line 319">
            <a:extLst>
              <a:ext uri="{FF2B5EF4-FFF2-40B4-BE49-F238E27FC236}">
                <a16:creationId xmlns:a16="http://schemas.microsoft.com/office/drawing/2014/main" id="{00000000-0008-0000-0100-0000DCEF4800}"/>
              </a:ext>
            </a:extLst>
          </xdr:cNvPr>
          <xdr:cNvSpPr>
            <a:spLocks noChangeShapeType="1"/>
          </xdr:cNvSpPr>
        </xdr:nvSpPr>
        <xdr:spPr bwMode="auto">
          <a:xfrm>
            <a:off x="1362075" y="6744970"/>
            <a:ext cx="0" cy="482283"/>
          </a:xfrm>
          <a:prstGeom prst="line">
            <a:avLst/>
          </a:prstGeom>
          <a:noFill/>
          <a:ln w="9525">
            <a:solidFill>
              <a:srgbClr val="000000"/>
            </a:solidFill>
            <a:round/>
            <a:headEnd type="triangle" w="med" len="med"/>
            <a:tailEnd type="triangle" w="med" len="med"/>
          </a:ln>
        </xdr:spPr>
      </xdr:sp>
    </xdr:grpSp>
    <xdr:clientData/>
  </xdr:twoCellAnchor>
  <xdr:twoCellAnchor>
    <xdr:from>
      <xdr:col>2</xdr:col>
      <xdr:colOff>260350</xdr:colOff>
      <xdr:row>49</xdr:row>
      <xdr:rowOff>19050</xdr:rowOff>
    </xdr:from>
    <xdr:to>
      <xdr:col>3</xdr:col>
      <xdr:colOff>514350</xdr:colOff>
      <xdr:row>54</xdr:row>
      <xdr:rowOff>120650</xdr:rowOff>
    </xdr:to>
    <xdr:sp macro="" textlink="">
      <xdr:nvSpPr>
        <xdr:cNvPr id="4779987" name="Oval 323">
          <a:extLst>
            <a:ext uri="{FF2B5EF4-FFF2-40B4-BE49-F238E27FC236}">
              <a16:creationId xmlns:a16="http://schemas.microsoft.com/office/drawing/2014/main" id="{00000000-0008-0000-0100-0000D3EF4800}"/>
            </a:ext>
          </a:extLst>
        </xdr:cNvPr>
        <xdr:cNvSpPr>
          <a:spLocks noChangeArrowheads="1"/>
        </xdr:cNvSpPr>
      </xdr:nvSpPr>
      <xdr:spPr bwMode="auto">
        <a:xfrm>
          <a:off x="1549400" y="7981950"/>
          <a:ext cx="1047750" cy="927100"/>
        </a:xfrm>
        <a:prstGeom prst="ellipse">
          <a:avLst/>
        </a:prstGeom>
        <a:solidFill>
          <a:srgbClr val="F2F2F2"/>
        </a:solidFill>
        <a:ln w="9525">
          <a:solidFill>
            <a:srgbClr val="000000"/>
          </a:solidFill>
          <a:round/>
          <a:headEnd/>
          <a:tailEnd/>
        </a:ln>
      </xdr:spPr>
    </xdr:sp>
    <xdr:clientData/>
  </xdr:twoCellAnchor>
  <xdr:twoCellAnchor>
    <xdr:from>
      <xdr:col>2</xdr:col>
      <xdr:colOff>698500</xdr:colOff>
      <xdr:row>51</xdr:row>
      <xdr:rowOff>57150</xdr:rowOff>
    </xdr:from>
    <xdr:to>
      <xdr:col>3</xdr:col>
      <xdr:colOff>88900</xdr:colOff>
      <xdr:row>52</xdr:row>
      <xdr:rowOff>76200</xdr:rowOff>
    </xdr:to>
    <xdr:sp macro="" textlink="">
      <xdr:nvSpPr>
        <xdr:cNvPr id="4779988" name="Oval 323">
          <a:extLst>
            <a:ext uri="{FF2B5EF4-FFF2-40B4-BE49-F238E27FC236}">
              <a16:creationId xmlns:a16="http://schemas.microsoft.com/office/drawing/2014/main" id="{00000000-0008-0000-0100-0000D4EF4800}"/>
            </a:ext>
          </a:extLst>
        </xdr:cNvPr>
        <xdr:cNvSpPr>
          <a:spLocks noChangeArrowheads="1"/>
        </xdr:cNvSpPr>
      </xdr:nvSpPr>
      <xdr:spPr bwMode="auto">
        <a:xfrm>
          <a:off x="1987550" y="8350250"/>
          <a:ext cx="184150" cy="184150"/>
        </a:xfrm>
        <a:prstGeom prst="ellipse">
          <a:avLst/>
        </a:prstGeom>
        <a:solidFill>
          <a:srgbClr val="FFFFFF"/>
        </a:solidFill>
        <a:ln w="9525">
          <a:solidFill>
            <a:srgbClr val="000000"/>
          </a:solidFill>
          <a:round/>
          <a:headEnd/>
          <a:tailEnd/>
        </a:ln>
      </xdr:spPr>
    </xdr:sp>
    <xdr:clientData/>
  </xdr:twoCellAnchor>
  <xdr:twoCellAnchor>
    <xdr:from>
      <xdr:col>3</xdr:col>
      <xdr:colOff>0</xdr:colOff>
      <xdr:row>49</xdr:row>
      <xdr:rowOff>19050</xdr:rowOff>
    </xdr:from>
    <xdr:to>
      <xdr:col>3</xdr:col>
      <xdr:colOff>0</xdr:colOff>
      <xdr:row>51</xdr:row>
      <xdr:rowOff>146050</xdr:rowOff>
    </xdr:to>
    <xdr:sp macro="" textlink="">
      <xdr:nvSpPr>
        <xdr:cNvPr id="4779989" name="Line 324">
          <a:extLst>
            <a:ext uri="{FF2B5EF4-FFF2-40B4-BE49-F238E27FC236}">
              <a16:creationId xmlns:a16="http://schemas.microsoft.com/office/drawing/2014/main" id="{00000000-0008-0000-0100-0000D5EF4800}"/>
            </a:ext>
          </a:extLst>
        </xdr:cNvPr>
        <xdr:cNvSpPr>
          <a:spLocks noChangeShapeType="1"/>
        </xdr:cNvSpPr>
      </xdr:nvSpPr>
      <xdr:spPr bwMode="auto">
        <a:xfrm>
          <a:off x="2082800" y="7981950"/>
          <a:ext cx="0" cy="457200"/>
        </a:xfrm>
        <a:prstGeom prst="line">
          <a:avLst/>
        </a:prstGeom>
        <a:noFill/>
        <a:ln w="9525">
          <a:solidFill>
            <a:srgbClr val="000000"/>
          </a:solidFill>
          <a:round/>
          <a:headEnd type="triangle" w="med" len="med"/>
          <a:tailEnd type="triangle" w="med" len="med"/>
        </a:ln>
      </xdr:spPr>
    </xdr:sp>
    <xdr:clientData/>
  </xdr:twoCellAnchor>
  <xdr:twoCellAnchor>
    <xdr:from>
      <xdr:col>3</xdr:col>
      <xdr:colOff>0</xdr:colOff>
      <xdr:row>51</xdr:row>
      <xdr:rowOff>146050</xdr:rowOff>
    </xdr:from>
    <xdr:to>
      <xdr:col>3</xdr:col>
      <xdr:colOff>0</xdr:colOff>
      <xdr:row>52</xdr:row>
      <xdr:rowOff>88900</xdr:rowOff>
    </xdr:to>
    <xdr:sp macro="" textlink="">
      <xdr:nvSpPr>
        <xdr:cNvPr id="4779990" name="Line 324">
          <a:extLst>
            <a:ext uri="{FF2B5EF4-FFF2-40B4-BE49-F238E27FC236}">
              <a16:creationId xmlns:a16="http://schemas.microsoft.com/office/drawing/2014/main" id="{00000000-0008-0000-0100-0000D6EF4800}"/>
            </a:ext>
          </a:extLst>
        </xdr:cNvPr>
        <xdr:cNvSpPr>
          <a:spLocks noChangeShapeType="1"/>
        </xdr:cNvSpPr>
      </xdr:nvSpPr>
      <xdr:spPr bwMode="auto">
        <a:xfrm flipH="1">
          <a:off x="2082800" y="8439150"/>
          <a:ext cx="0" cy="107950"/>
        </a:xfrm>
        <a:prstGeom prst="line">
          <a:avLst/>
        </a:prstGeom>
        <a:noFill/>
        <a:ln w="9525">
          <a:solidFill>
            <a:srgbClr val="000000"/>
          </a:solidFill>
          <a:round/>
          <a:headEnd type="triangle" w="sm" len="sm"/>
          <a:tailEnd type="triangle" w="sm" len="sm"/>
        </a:ln>
      </xdr:spPr>
    </xdr:sp>
    <xdr:clientData/>
  </xdr:twoCellAnchor>
  <mc:AlternateContent xmlns:mc="http://schemas.openxmlformats.org/markup-compatibility/2006">
    <mc:Choice xmlns:a14="http://schemas.microsoft.com/office/drawing/2010/main" Requires="a14">
      <xdr:twoCellAnchor>
        <xdr:from>
          <xdr:col>3</xdr:col>
          <xdr:colOff>769620</xdr:colOff>
          <xdr:row>9</xdr:row>
          <xdr:rowOff>15240</xdr:rowOff>
        </xdr:from>
        <xdr:to>
          <xdr:col>4</xdr:col>
          <xdr:colOff>0</xdr:colOff>
          <xdr:row>10</xdr:row>
          <xdr:rowOff>0</xdr:rowOff>
        </xdr:to>
        <xdr:sp macro="" textlink="">
          <xdr:nvSpPr>
            <xdr:cNvPr id="1424424" name="Spinner 1064" hidden="1">
              <a:extLst>
                <a:ext uri="{63B3BB69-23CF-44E3-9099-C40C66FF867C}">
                  <a14:compatExt spid="_x0000_s1424424"/>
                </a:ext>
                <a:ext uri="{FF2B5EF4-FFF2-40B4-BE49-F238E27FC236}">
                  <a16:creationId xmlns:a16="http://schemas.microsoft.com/office/drawing/2014/main" id="{00000000-0008-0000-0100-000028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42</xdr:row>
          <xdr:rowOff>15240</xdr:rowOff>
        </xdr:from>
        <xdr:to>
          <xdr:col>2</xdr:col>
          <xdr:colOff>0</xdr:colOff>
          <xdr:row>43</xdr:row>
          <xdr:rowOff>0</xdr:rowOff>
        </xdr:to>
        <xdr:sp macro="" textlink="">
          <xdr:nvSpPr>
            <xdr:cNvPr id="1424589" name="Spinner 1229" hidden="1">
              <a:extLst>
                <a:ext uri="{63B3BB69-23CF-44E3-9099-C40C66FF867C}">
                  <a14:compatExt spid="_x0000_s1424589"/>
                </a:ext>
                <a:ext uri="{FF2B5EF4-FFF2-40B4-BE49-F238E27FC236}">
                  <a16:creationId xmlns:a16="http://schemas.microsoft.com/office/drawing/2014/main" id="{00000000-0008-0000-0100-0000CD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44</xdr:row>
          <xdr:rowOff>15240</xdr:rowOff>
        </xdr:from>
        <xdr:to>
          <xdr:col>2</xdr:col>
          <xdr:colOff>0</xdr:colOff>
          <xdr:row>45</xdr:row>
          <xdr:rowOff>0</xdr:rowOff>
        </xdr:to>
        <xdr:sp macro="" textlink="">
          <xdr:nvSpPr>
            <xdr:cNvPr id="1424590" name="Spinner 1230" hidden="1">
              <a:extLst>
                <a:ext uri="{63B3BB69-23CF-44E3-9099-C40C66FF867C}">
                  <a14:compatExt spid="_x0000_s1424590"/>
                </a:ext>
                <a:ext uri="{FF2B5EF4-FFF2-40B4-BE49-F238E27FC236}">
                  <a16:creationId xmlns:a16="http://schemas.microsoft.com/office/drawing/2014/main" id="{00000000-0008-0000-0100-0000CE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50</xdr:row>
          <xdr:rowOff>15240</xdr:rowOff>
        </xdr:from>
        <xdr:to>
          <xdr:col>2</xdr:col>
          <xdr:colOff>0</xdr:colOff>
          <xdr:row>51</xdr:row>
          <xdr:rowOff>0</xdr:rowOff>
        </xdr:to>
        <xdr:sp macro="" textlink="">
          <xdr:nvSpPr>
            <xdr:cNvPr id="1424591" name="Spinner 1231" hidden="1">
              <a:extLst>
                <a:ext uri="{63B3BB69-23CF-44E3-9099-C40C66FF867C}">
                  <a14:compatExt spid="_x0000_s1424591"/>
                </a:ext>
                <a:ext uri="{FF2B5EF4-FFF2-40B4-BE49-F238E27FC236}">
                  <a16:creationId xmlns:a16="http://schemas.microsoft.com/office/drawing/2014/main" id="{00000000-0008-0000-0100-0000CF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93</xdr:row>
          <xdr:rowOff>76200</xdr:rowOff>
        </xdr:from>
        <xdr:to>
          <xdr:col>4</xdr:col>
          <xdr:colOff>68580</xdr:colOff>
          <xdr:row>99</xdr:row>
          <xdr:rowOff>91440</xdr:rowOff>
        </xdr:to>
        <xdr:sp macro="" textlink="">
          <xdr:nvSpPr>
            <xdr:cNvPr id="1425294" name="Object 1934" hidden="1">
              <a:extLst>
                <a:ext uri="{63B3BB69-23CF-44E3-9099-C40C66FF867C}">
                  <a14:compatExt spid="_x0000_s1425294"/>
                </a:ext>
                <a:ext uri="{FF2B5EF4-FFF2-40B4-BE49-F238E27FC236}">
                  <a16:creationId xmlns:a16="http://schemas.microsoft.com/office/drawing/2014/main" id="{00000000-0008-0000-0100-00008EBF15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52</xdr:row>
          <xdr:rowOff>15240</xdr:rowOff>
        </xdr:from>
        <xdr:to>
          <xdr:col>2</xdr:col>
          <xdr:colOff>0</xdr:colOff>
          <xdr:row>53</xdr:row>
          <xdr:rowOff>0</xdr:rowOff>
        </xdr:to>
        <xdr:sp macro="" textlink="">
          <xdr:nvSpPr>
            <xdr:cNvPr id="4779462" name="Spinner 4550" hidden="1">
              <a:extLst>
                <a:ext uri="{63B3BB69-23CF-44E3-9099-C40C66FF867C}">
                  <a14:compatExt spid="_x0000_s4779462"/>
                </a:ext>
                <a:ext uri="{FF2B5EF4-FFF2-40B4-BE49-F238E27FC236}">
                  <a16:creationId xmlns:a16="http://schemas.microsoft.com/office/drawing/2014/main" id="{00000000-0008-0000-0100-0000C6ED48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165100</xdr:colOff>
      <xdr:row>1</xdr:row>
      <xdr:rowOff>0</xdr:rowOff>
    </xdr:from>
    <xdr:to>
      <xdr:col>10</xdr:col>
      <xdr:colOff>622300</xdr:colOff>
      <xdr:row>19</xdr:row>
      <xdr:rowOff>0</xdr:rowOff>
    </xdr:to>
    <xdr:graphicFrame macro="">
      <xdr:nvGraphicFramePr>
        <xdr:cNvPr id="5105813" name="Graphique 1">
          <a:extLst>
            <a:ext uri="{FF2B5EF4-FFF2-40B4-BE49-F238E27FC236}">
              <a16:creationId xmlns:a16="http://schemas.microsoft.com/office/drawing/2014/main" id="{00000000-0008-0000-0200-000095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165100</xdr:colOff>
      <xdr:row>37</xdr:row>
      <xdr:rowOff>0</xdr:rowOff>
    </xdr:from>
    <xdr:to>
      <xdr:col>10</xdr:col>
      <xdr:colOff>622300</xdr:colOff>
      <xdr:row>55</xdr:row>
      <xdr:rowOff>0</xdr:rowOff>
    </xdr:to>
    <xdr:graphicFrame macro="">
      <xdr:nvGraphicFramePr>
        <xdr:cNvPr id="5105814" name="Graphique 2">
          <a:extLst>
            <a:ext uri="{FF2B5EF4-FFF2-40B4-BE49-F238E27FC236}">
              <a16:creationId xmlns:a16="http://schemas.microsoft.com/office/drawing/2014/main" id="{00000000-0008-0000-0200-000096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165100</xdr:colOff>
      <xdr:row>19</xdr:row>
      <xdr:rowOff>0</xdr:rowOff>
    </xdr:from>
    <xdr:to>
      <xdr:col>10</xdr:col>
      <xdr:colOff>622300</xdr:colOff>
      <xdr:row>37</xdr:row>
      <xdr:rowOff>0</xdr:rowOff>
    </xdr:to>
    <xdr:graphicFrame macro="">
      <xdr:nvGraphicFramePr>
        <xdr:cNvPr id="5105815" name="Graphique 3">
          <a:extLst>
            <a:ext uri="{FF2B5EF4-FFF2-40B4-BE49-F238E27FC236}">
              <a16:creationId xmlns:a16="http://schemas.microsoft.com/office/drawing/2014/main" id="{00000000-0008-0000-0200-000097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165100</xdr:colOff>
      <xdr:row>55</xdr:row>
      <xdr:rowOff>0</xdr:rowOff>
    </xdr:from>
    <xdr:to>
      <xdr:col>10</xdr:col>
      <xdr:colOff>622300</xdr:colOff>
      <xdr:row>73</xdr:row>
      <xdr:rowOff>0</xdr:rowOff>
    </xdr:to>
    <xdr:graphicFrame macro="">
      <xdr:nvGraphicFramePr>
        <xdr:cNvPr id="5105816" name="Graphique 4">
          <a:extLst>
            <a:ext uri="{FF2B5EF4-FFF2-40B4-BE49-F238E27FC236}">
              <a16:creationId xmlns:a16="http://schemas.microsoft.com/office/drawing/2014/main" id="{00000000-0008-0000-0200-000098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12700</xdr:colOff>
      <xdr:row>4</xdr:row>
      <xdr:rowOff>44450</xdr:rowOff>
    </xdr:from>
    <xdr:to>
      <xdr:col>7</xdr:col>
      <xdr:colOff>215900</xdr:colOff>
      <xdr:row>19</xdr:row>
      <xdr:rowOff>133350</xdr:rowOff>
    </xdr:to>
    <xdr:graphicFrame macro="">
      <xdr:nvGraphicFramePr>
        <xdr:cNvPr id="5110822" name="Graphique 1">
          <a:extLst>
            <a:ext uri="{FF2B5EF4-FFF2-40B4-BE49-F238E27FC236}">
              <a16:creationId xmlns:a16="http://schemas.microsoft.com/office/drawing/2014/main" id="{00000000-0008-0000-0300-000026FC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12</xdr:col>
      <xdr:colOff>273050</xdr:colOff>
      <xdr:row>1008</xdr:row>
      <xdr:rowOff>146050</xdr:rowOff>
    </xdr:from>
    <xdr:to>
      <xdr:col>16</xdr:col>
      <xdr:colOff>152400</xdr:colOff>
      <xdr:row>1010</xdr:row>
      <xdr:rowOff>82550</xdr:rowOff>
    </xdr:to>
    <xdr:sp macro="" textlink="">
      <xdr:nvSpPr>
        <xdr:cNvPr id="3393" name="Line 60">
          <a:extLst>
            <a:ext uri="{FF2B5EF4-FFF2-40B4-BE49-F238E27FC236}">
              <a16:creationId xmlns:a16="http://schemas.microsoft.com/office/drawing/2014/main" id="{00000000-0008-0000-0400-0000410D0000}"/>
            </a:ext>
          </a:extLst>
        </xdr:cNvPr>
        <xdr:cNvSpPr>
          <a:spLocks noChangeShapeType="1"/>
        </xdr:cNvSpPr>
      </xdr:nvSpPr>
      <xdr:spPr bwMode="auto">
        <a:xfrm flipH="1">
          <a:off x="5759450" y="160172400"/>
          <a:ext cx="1098550" cy="254000"/>
        </a:xfrm>
        <a:prstGeom prst="line">
          <a:avLst/>
        </a:prstGeom>
        <a:noFill/>
        <a:ln w="9525">
          <a:solidFill>
            <a:srgbClr val="000000"/>
          </a:solidFill>
          <a:round/>
          <a:headEnd/>
          <a:tailEnd type="triangle" w="med" len="med"/>
        </a:ln>
      </xdr:spPr>
    </xdr:sp>
    <xdr:clientData/>
  </xdr:twoCellAnchor>
  <xdr:twoCellAnchor>
    <xdr:from>
      <xdr:col>12</xdr:col>
      <xdr:colOff>279400</xdr:colOff>
      <xdr:row>1011</xdr:row>
      <xdr:rowOff>95250</xdr:rowOff>
    </xdr:from>
    <xdr:to>
      <xdr:col>17</xdr:col>
      <xdr:colOff>349250</xdr:colOff>
      <xdr:row>1013</xdr:row>
      <xdr:rowOff>139700</xdr:rowOff>
    </xdr:to>
    <xdr:sp macro="" textlink="">
      <xdr:nvSpPr>
        <xdr:cNvPr id="3394" name="Line 71">
          <a:extLst>
            <a:ext uri="{FF2B5EF4-FFF2-40B4-BE49-F238E27FC236}">
              <a16:creationId xmlns:a16="http://schemas.microsoft.com/office/drawing/2014/main" id="{00000000-0008-0000-0400-0000420D0000}"/>
            </a:ext>
          </a:extLst>
        </xdr:cNvPr>
        <xdr:cNvSpPr>
          <a:spLocks noChangeShapeType="1"/>
        </xdr:cNvSpPr>
      </xdr:nvSpPr>
      <xdr:spPr bwMode="auto">
        <a:xfrm flipH="1" flipV="1">
          <a:off x="5765800" y="160597850"/>
          <a:ext cx="1892300" cy="361950"/>
        </a:xfrm>
        <a:prstGeom prst="line">
          <a:avLst/>
        </a:prstGeom>
        <a:noFill/>
        <a:ln w="9525">
          <a:solidFill>
            <a:srgbClr val="000000"/>
          </a:solidFill>
          <a:round/>
          <a:headEnd/>
          <a:tailEnd type="triangle" w="med" len="med"/>
        </a:ln>
      </xdr:spPr>
    </xdr:sp>
    <xdr:clientData/>
  </xdr:twoCellAnchor>
  <xdr:twoCellAnchor>
    <xdr:from>
      <xdr:col>12</xdr:col>
      <xdr:colOff>279400</xdr:colOff>
      <xdr:row>1012</xdr:row>
      <xdr:rowOff>139700</xdr:rowOff>
    </xdr:from>
    <xdr:to>
      <xdr:col>17</xdr:col>
      <xdr:colOff>349250</xdr:colOff>
      <xdr:row>1015</xdr:row>
      <xdr:rowOff>25400</xdr:rowOff>
    </xdr:to>
    <xdr:sp macro="" textlink="">
      <xdr:nvSpPr>
        <xdr:cNvPr id="3395" name="Line 71">
          <a:extLst>
            <a:ext uri="{FF2B5EF4-FFF2-40B4-BE49-F238E27FC236}">
              <a16:creationId xmlns:a16="http://schemas.microsoft.com/office/drawing/2014/main" id="{00000000-0008-0000-0400-0000430D0000}"/>
            </a:ext>
          </a:extLst>
        </xdr:cNvPr>
        <xdr:cNvSpPr>
          <a:spLocks noChangeShapeType="1"/>
        </xdr:cNvSpPr>
      </xdr:nvSpPr>
      <xdr:spPr bwMode="auto">
        <a:xfrm flipH="1" flipV="1">
          <a:off x="5765800" y="160801050"/>
          <a:ext cx="1892300" cy="361950"/>
        </a:xfrm>
        <a:prstGeom prst="line">
          <a:avLst/>
        </a:prstGeom>
        <a:noFill/>
        <a:ln w="9525">
          <a:solidFill>
            <a:srgbClr val="000000"/>
          </a:solidFill>
          <a:round/>
          <a:headEnd/>
          <a:tailEnd type="triangle" w="med" len="med"/>
        </a:ln>
      </xdr:spPr>
    </xdr:sp>
    <xdr:clientData/>
  </xdr:twoCellAnchor>
  <mc:AlternateContent xmlns:mc="http://schemas.openxmlformats.org/markup-compatibility/2006">
    <mc:Choice xmlns:a14="http://schemas.microsoft.com/office/drawing/2010/main" Requires="a14">
      <xdr:twoCellAnchor editAs="oneCell">
        <xdr:from>
          <xdr:col>18</xdr:col>
          <xdr:colOff>15240</xdr:colOff>
          <xdr:row>1010</xdr:row>
          <xdr:rowOff>99060</xdr:rowOff>
        </xdr:from>
        <xdr:to>
          <xdr:col>20</xdr:col>
          <xdr:colOff>289560</xdr:colOff>
          <xdr:row>1013</xdr:row>
          <xdr:rowOff>22860</xdr:rowOff>
        </xdr:to>
        <xdr:sp macro="" textlink="">
          <xdr:nvSpPr>
            <xdr:cNvPr id="3091" name="Object 19" hidden="1">
              <a:extLst>
                <a:ext uri="{63B3BB69-23CF-44E3-9099-C40C66FF867C}">
                  <a14:compatExt spid="_x0000_s3091"/>
                </a:ext>
                <a:ext uri="{FF2B5EF4-FFF2-40B4-BE49-F238E27FC236}">
                  <a16:creationId xmlns:a16="http://schemas.microsoft.com/office/drawing/2014/main" id="{00000000-0008-0000-0400-000013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22860</xdr:colOff>
          <xdr:row>1024</xdr:row>
          <xdr:rowOff>160020</xdr:rowOff>
        </xdr:from>
        <xdr:to>
          <xdr:col>25</xdr:col>
          <xdr:colOff>457200</xdr:colOff>
          <xdr:row>1026</xdr:row>
          <xdr:rowOff>76200</xdr:rowOff>
        </xdr:to>
        <xdr:sp macro="" textlink="">
          <xdr:nvSpPr>
            <xdr:cNvPr id="3092" name="Object 20" hidden="1">
              <a:extLst>
                <a:ext uri="{63B3BB69-23CF-44E3-9099-C40C66FF867C}">
                  <a14:compatExt spid="_x0000_s3092"/>
                </a:ext>
                <a:ext uri="{FF2B5EF4-FFF2-40B4-BE49-F238E27FC236}">
                  <a16:creationId xmlns:a16="http://schemas.microsoft.com/office/drawing/2014/main" id="{00000000-0008-0000-0400-00001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251460</xdr:colOff>
          <xdr:row>1006</xdr:row>
          <xdr:rowOff>22860</xdr:rowOff>
        </xdr:from>
        <xdr:to>
          <xdr:col>24</xdr:col>
          <xdr:colOff>152400</xdr:colOff>
          <xdr:row>1007</xdr:row>
          <xdr:rowOff>99060</xdr:rowOff>
        </xdr:to>
        <xdr:sp macro="" textlink="">
          <xdr:nvSpPr>
            <xdr:cNvPr id="3096" name="Object 24" hidden="1">
              <a:extLst>
                <a:ext uri="{63B3BB69-23CF-44E3-9099-C40C66FF867C}">
                  <a14:compatExt spid="_x0000_s3096"/>
                </a:ext>
                <a:ext uri="{FF2B5EF4-FFF2-40B4-BE49-F238E27FC236}">
                  <a16:creationId xmlns:a16="http://schemas.microsoft.com/office/drawing/2014/main" id="{00000000-0008-0000-0400-000018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15240</xdr:colOff>
          <xdr:row>1017</xdr:row>
          <xdr:rowOff>167640</xdr:rowOff>
        </xdr:from>
        <xdr:to>
          <xdr:col>10</xdr:col>
          <xdr:colOff>586740</xdr:colOff>
          <xdr:row>1019</xdr:row>
          <xdr:rowOff>137160</xdr:rowOff>
        </xdr:to>
        <xdr:sp macro="" textlink="">
          <xdr:nvSpPr>
            <xdr:cNvPr id="3112" name="Object 40" hidden="1">
              <a:extLst>
                <a:ext uri="{63B3BB69-23CF-44E3-9099-C40C66FF867C}">
                  <a14:compatExt spid="_x0000_s3112"/>
                </a:ext>
                <a:ext uri="{FF2B5EF4-FFF2-40B4-BE49-F238E27FC236}">
                  <a16:creationId xmlns:a16="http://schemas.microsoft.com/office/drawing/2014/main" id="{00000000-0008-0000-0400-000028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15240</xdr:colOff>
          <xdr:row>1014</xdr:row>
          <xdr:rowOff>175260</xdr:rowOff>
        </xdr:from>
        <xdr:to>
          <xdr:col>11</xdr:col>
          <xdr:colOff>266700</xdr:colOff>
          <xdr:row>1016</xdr:row>
          <xdr:rowOff>68580</xdr:rowOff>
        </xdr:to>
        <xdr:sp macro="" textlink="">
          <xdr:nvSpPr>
            <xdr:cNvPr id="3114" name="Object 42" hidden="1">
              <a:extLst>
                <a:ext uri="{63B3BB69-23CF-44E3-9099-C40C66FF867C}">
                  <a14:compatExt spid="_x0000_s3114"/>
                </a:ext>
                <a:ext uri="{FF2B5EF4-FFF2-40B4-BE49-F238E27FC236}">
                  <a16:creationId xmlns:a16="http://schemas.microsoft.com/office/drawing/2014/main" id="{00000000-0008-0000-0400-00002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15240</xdr:colOff>
          <xdr:row>1016</xdr:row>
          <xdr:rowOff>76200</xdr:rowOff>
        </xdr:from>
        <xdr:to>
          <xdr:col>11</xdr:col>
          <xdr:colOff>236220</xdr:colOff>
          <xdr:row>1017</xdr:row>
          <xdr:rowOff>160020</xdr:rowOff>
        </xdr:to>
        <xdr:sp macro="" textlink="">
          <xdr:nvSpPr>
            <xdr:cNvPr id="3115" name="Object 43" hidden="1">
              <a:extLst>
                <a:ext uri="{63B3BB69-23CF-44E3-9099-C40C66FF867C}">
                  <a14:compatExt spid="_x0000_s3115"/>
                </a:ext>
                <a:ext uri="{FF2B5EF4-FFF2-40B4-BE49-F238E27FC236}">
                  <a16:creationId xmlns:a16="http://schemas.microsoft.com/office/drawing/2014/main" id="{00000000-0008-0000-0400-00002B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1022</xdr:row>
          <xdr:rowOff>68580</xdr:rowOff>
        </xdr:from>
        <xdr:to>
          <xdr:col>17</xdr:col>
          <xdr:colOff>274320</xdr:colOff>
          <xdr:row>1024</xdr:row>
          <xdr:rowOff>167640</xdr:rowOff>
        </xdr:to>
        <xdr:sp macro="" textlink="">
          <xdr:nvSpPr>
            <xdr:cNvPr id="3119" name="Object 47" hidden="1">
              <a:extLst>
                <a:ext uri="{63B3BB69-23CF-44E3-9099-C40C66FF867C}">
                  <a14:compatExt spid="_x0000_s3119"/>
                </a:ext>
                <a:ext uri="{FF2B5EF4-FFF2-40B4-BE49-F238E27FC236}">
                  <a16:creationId xmlns:a16="http://schemas.microsoft.com/office/drawing/2014/main" id="{00000000-0008-0000-0400-00002F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1008</xdr:row>
          <xdr:rowOff>0</xdr:rowOff>
        </xdr:from>
        <xdr:to>
          <xdr:col>11</xdr:col>
          <xdr:colOff>236220</xdr:colOff>
          <xdr:row>1010</xdr:row>
          <xdr:rowOff>91440</xdr:rowOff>
        </xdr:to>
        <xdr:sp macro="" textlink="">
          <xdr:nvSpPr>
            <xdr:cNvPr id="3120" name="Object 48" hidden="1">
              <a:extLst>
                <a:ext uri="{63B3BB69-23CF-44E3-9099-C40C66FF867C}">
                  <a14:compatExt spid="_x0000_s3120"/>
                </a:ext>
                <a:ext uri="{FF2B5EF4-FFF2-40B4-BE49-F238E27FC236}">
                  <a16:creationId xmlns:a16="http://schemas.microsoft.com/office/drawing/2014/main" id="{00000000-0008-0000-0400-000030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1010</xdr:row>
          <xdr:rowOff>99060</xdr:rowOff>
        </xdr:from>
        <xdr:to>
          <xdr:col>12</xdr:col>
          <xdr:colOff>243840</xdr:colOff>
          <xdr:row>1013</xdr:row>
          <xdr:rowOff>0</xdr:rowOff>
        </xdr:to>
        <xdr:sp macro="" textlink="">
          <xdr:nvSpPr>
            <xdr:cNvPr id="3121" name="Object 49" hidden="1">
              <a:extLst>
                <a:ext uri="{63B3BB69-23CF-44E3-9099-C40C66FF867C}">
                  <a14:compatExt spid="_x0000_s3121"/>
                </a:ext>
                <a:ext uri="{FF2B5EF4-FFF2-40B4-BE49-F238E27FC236}">
                  <a16:creationId xmlns:a16="http://schemas.microsoft.com/office/drawing/2014/main" id="{00000000-0008-0000-0400-00003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15240</xdr:colOff>
          <xdr:row>1006</xdr:row>
          <xdr:rowOff>99060</xdr:rowOff>
        </xdr:from>
        <xdr:to>
          <xdr:col>3</xdr:col>
          <xdr:colOff>541020</xdr:colOff>
          <xdr:row>1007</xdr:row>
          <xdr:rowOff>175260</xdr:rowOff>
        </xdr:to>
        <xdr:sp macro="" textlink="">
          <xdr:nvSpPr>
            <xdr:cNvPr id="3122" name="Object 50" hidden="1">
              <a:extLst>
                <a:ext uri="{63B3BB69-23CF-44E3-9099-C40C66FF867C}">
                  <a14:compatExt spid="_x0000_s3122"/>
                </a:ext>
                <a:ext uri="{FF2B5EF4-FFF2-40B4-BE49-F238E27FC236}">
                  <a16:creationId xmlns:a16="http://schemas.microsoft.com/office/drawing/2014/main" id="{00000000-0008-0000-0400-000032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1024</xdr:row>
          <xdr:rowOff>175260</xdr:rowOff>
        </xdr:from>
        <xdr:to>
          <xdr:col>16</xdr:col>
          <xdr:colOff>0</xdr:colOff>
          <xdr:row>1026</xdr:row>
          <xdr:rowOff>144780</xdr:rowOff>
        </xdr:to>
        <xdr:sp macro="" textlink="">
          <xdr:nvSpPr>
            <xdr:cNvPr id="3124" name="Object 52" hidden="1">
              <a:extLst>
                <a:ext uri="{63B3BB69-23CF-44E3-9099-C40C66FF867C}">
                  <a14:compatExt spid="_x0000_s3124"/>
                </a:ext>
                <a:ext uri="{FF2B5EF4-FFF2-40B4-BE49-F238E27FC236}">
                  <a16:creationId xmlns:a16="http://schemas.microsoft.com/office/drawing/2014/main" id="{00000000-0008-0000-0400-00003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15240</xdr:colOff>
          <xdr:row>1013</xdr:row>
          <xdr:rowOff>30480</xdr:rowOff>
        </xdr:from>
        <xdr:to>
          <xdr:col>21</xdr:col>
          <xdr:colOff>22860</xdr:colOff>
          <xdr:row>1014</xdr:row>
          <xdr:rowOff>114300</xdr:rowOff>
        </xdr:to>
        <xdr:sp macro="" textlink="">
          <xdr:nvSpPr>
            <xdr:cNvPr id="3125" name="Object 53" hidden="1">
              <a:extLst>
                <a:ext uri="{63B3BB69-23CF-44E3-9099-C40C66FF867C}">
                  <a14:compatExt spid="_x0000_s3125"/>
                </a:ext>
                <a:ext uri="{FF2B5EF4-FFF2-40B4-BE49-F238E27FC236}">
                  <a16:creationId xmlns:a16="http://schemas.microsoft.com/office/drawing/2014/main" id="{00000000-0008-0000-0400-00003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15240</xdr:colOff>
          <xdr:row>1005</xdr:row>
          <xdr:rowOff>15240</xdr:rowOff>
        </xdr:from>
        <xdr:to>
          <xdr:col>10</xdr:col>
          <xdr:colOff>403860</xdr:colOff>
          <xdr:row>1006</xdr:row>
          <xdr:rowOff>91440</xdr:rowOff>
        </xdr:to>
        <xdr:sp macro="" textlink="">
          <xdr:nvSpPr>
            <xdr:cNvPr id="3127" name="Object 55" hidden="1">
              <a:extLst>
                <a:ext uri="{63B3BB69-23CF-44E3-9099-C40C66FF867C}">
                  <a14:compatExt spid="_x0000_s3127"/>
                </a:ext>
                <a:ext uri="{FF2B5EF4-FFF2-40B4-BE49-F238E27FC236}">
                  <a16:creationId xmlns:a16="http://schemas.microsoft.com/office/drawing/2014/main" id="{00000000-0008-0000-0400-000037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1013</xdr:row>
          <xdr:rowOff>15240</xdr:rowOff>
        </xdr:from>
        <xdr:to>
          <xdr:col>8</xdr:col>
          <xdr:colOff>190500</xdr:colOff>
          <xdr:row>1014</xdr:row>
          <xdr:rowOff>167640</xdr:rowOff>
        </xdr:to>
        <xdr:sp macro="" textlink="">
          <xdr:nvSpPr>
            <xdr:cNvPr id="3129" name="Object 57" hidden="1">
              <a:extLst>
                <a:ext uri="{63B3BB69-23CF-44E3-9099-C40C66FF867C}">
                  <a14:compatExt spid="_x0000_s3129"/>
                </a:ext>
                <a:ext uri="{FF2B5EF4-FFF2-40B4-BE49-F238E27FC236}">
                  <a16:creationId xmlns:a16="http://schemas.microsoft.com/office/drawing/2014/main" id="{00000000-0008-0000-0400-000039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15240</xdr:colOff>
          <xdr:row>1018</xdr:row>
          <xdr:rowOff>53340</xdr:rowOff>
        </xdr:from>
        <xdr:to>
          <xdr:col>24</xdr:col>
          <xdr:colOff>1082040</xdr:colOff>
          <xdr:row>1019</xdr:row>
          <xdr:rowOff>137160</xdr:rowOff>
        </xdr:to>
        <xdr:sp macro="" textlink="">
          <xdr:nvSpPr>
            <xdr:cNvPr id="3131" name="Object 59" hidden="1">
              <a:extLst>
                <a:ext uri="{63B3BB69-23CF-44E3-9099-C40C66FF867C}">
                  <a14:compatExt spid="_x0000_s3131"/>
                </a:ext>
                <a:ext uri="{FF2B5EF4-FFF2-40B4-BE49-F238E27FC236}">
                  <a16:creationId xmlns:a16="http://schemas.microsoft.com/office/drawing/2014/main" id="{00000000-0008-0000-0400-00003B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1019</xdr:row>
          <xdr:rowOff>144780</xdr:rowOff>
        </xdr:from>
        <xdr:to>
          <xdr:col>20</xdr:col>
          <xdr:colOff>579120</xdr:colOff>
          <xdr:row>1022</xdr:row>
          <xdr:rowOff>53340</xdr:rowOff>
        </xdr:to>
        <xdr:sp macro="" textlink="">
          <xdr:nvSpPr>
            <xdr:cNvPr id="3134" name="Object 62" hidden="1">
              <a:extLst>
                <a:ext uri="{63B3BB69-23CF-44E3-9099-C40C66FF867C}">
                  <a14:compatExt spid="_x0000_s3134"/>
                </a:ext>
                <a:ext uri="{FF2B5EF4-FFF2-40B4-BE49-F238E27FC236}">
                  <a16:creationId xmlns:a16="http://schemas.microsoft.com/office/drawing/2014/main" id="{00000000-0008-0000-0400-00003E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1018</xdr:row>
          <xdr:rowOff>53340</xdr:rowOff>
        </xdr:from>
        <xdr:to>
          <xdr:col>19</xdr:col>
          <xdr:colOff>182880</xdr:colOff>
          <xdr:row>1019</xdr:row>
          <xdr:rowOff>137160</xdr:rowOff>
        </xdr:to>
        <xdr:sp macro="" textlink="">
          <xdr:nvSpPr>
            <xdr:cNvPr id="3135" name="Object 63" hidden="1">
              <a:extLst>
                <a:ext uri="{63B3BB69-23CF-44E3-9099-C40C66FF867C}">
                  <a14:compatExt spid="_x0000_s3135"/>
                </a:ext>
                <a:ext uri="{FF2B5EF4-FFF2-40B4-BE49-F238E27FC236}">
                  <a16:creationId xmlns:a16="http://schemas.microsoft.com/office/drawing/2014/main" id="{00000000-0008-0000-0400-00003F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15240</xdr:colOff>
          <xdr:row>1007</xdr:row>
          <xdr:rowOff>121920</xdr:rowOff>
        </xdr:from>
        <xdr:to>
          <xdr:col>37</xdr:col>
          <xdr:colOff>281940</xdr:colOff>
          <xdr:row>1010</xdr:row>
          <xdr:rowOff>76200</xdr:rowOff>
        </xdr:to>
        <xdr:sp macro="" textlink="">
          <xdr:nvSpPr>
            <xdr:cNvPr id="3141" name="Object 69" hidden="1">
              <a:extLst>
                <a:ext uri="{63B3BB69-23CF-44E3-9099-C40C66FF867C}">
                  <a14:compatExt spid="_x0000_s3141"/>
                </a:ext>
                <a:ext uri="{FF2B5EF4-FFF2-40B4-BE49-F238E27FC236}">
                  <a16:creationId xmlns:a16="http://schemas.microsoft.com/office/drawing/2014/main" id="{00000000-0008-0000-0400-00004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15240</xdr:colOff>
          <xdr:row>1010</xdr:row>
          <xdr:rowOff>91440</xdr:rowOff>
        </xdr:from>
        <xdr:to>
          <xdr:col>35</xdr:col>
          <xdr:colOff>723900</xdr:colOff>
          <xdr:row>1013</xdr:row>
          <xdr:rowOff>45720</xdr:rowOff>
        </xdr:to>
        <xdr:sp macro="" textlink="">
          <xdr:nvSpPr>
            <xdr:cNvPr id="3142" name="Object 70" hidden="1">
              <a:extLst>
                <a:ext uri="{63B3BB69-23CF-44E3-9099-C40C66FF867C}">
                  <a14:compatExt spid="_x0000_s3142"/>
                </a:ext>
                <a:ext uri="{FF2B5EF4-FFF2-40B4-BE49-F238E27FC236}">
                  <a16:creationId xmlns:a16="http://schemas.microsoft.com/office/drawing/2014/main" id="{00000000-0008-0000-0400-00004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1035</xdr:row>
          <xdr:rowOff>22860</xdr:rowOff>
        </xdr:from>
        <xdr:to>
          <xdr:col>11</xdr:col>
          <xdr:colOff>556260</xdr:colOff>
          <xdr:row>1038</xdr:row>
          <xdr:rowOff>22860</xdr:rowOff>
        </xdr:to>
        <xdr:sp macro="" textlink="">
          <xdr:nvSpPr>
            <xdr:cNvPr id="3157" name="Object 85" hidden="1">
              <a:extLst>
                <a:ext uri="{63B3BB69-23CF-44E3-9099-C40C66FF867C}">
                  <a14:compatExt spid="_x0000_s3157"/>
                </a:ext>
                <a:ext uri="{FF2B5EF4-FFF2-40B4-BE49-F238E27FC236}">
                  <a16:creationId xmlns:a16="http://schemas.microsoft.com/office/drawing/2014/main" id="{00000000-0008-0000-0400-00005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1040</xdr:row>
          <xdr:rowOff>22860</xdr:rowOff>
        </xdr:from>
        <xdr:to>
          <xdr:col>12</xdr:col>
          <xdr:colOff>30480</xdr:colOff>
          <xdr:row>1043</xdr:row>
          <xdr:rowOff>22860</xdr:rowOff>
        </xdr:to>
        <xdr:sp macro="" textlink="">
          <xdr:nvSpPr>
            <xdr:cNvPr id="3158" name="Object 86" hidden="1">
              <a:extLst>
                <a:ext uri="{63B3BB69-23CF-44E3-9099-C40C66FF867C}">
                  <a14:compatExt spid="_x0000_s3158"/>
                </a:ext>
                <a:ext uri="{FF2B5EF4-FFF2-40B4-BE49-F238E27FC236}">
                  <a16:creationId xmlns:a16="http://schemas.microsoft.com/office/drawing/2014/main" id="{00000000-0008-0000-0400-00005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15240</xdr:colOff>
          <xdr:row>1014</xdr:row>
          <xdr:rowOff>121920</xdr:rowOff>
        </xdr:from>
        <xdr:to>
          <xdr:col>20</xdr:col>
          <xdr:colOff>335280</xdr:colOff>
          <xdr:row>1016</xdr:row>
          <xdr:rowOff>15240</xdr:rowOff>
        </xdr:to>
        <xdr:sp macro="" textlink="">
          <xdr:nvSpPr>
            <xdr:cNvPr id="3161" name="Object 89" hidden="1">
              <a:extLst>
                <a:ext uri="{63B3BB69-23CF-44E3-9099-C40C66FF867C}">
                  <a14:compatExt spid="_x0000_s3161"/>
                </a:ext>
                <a:ext uri="{FF2B5EF4-FFF2-40B4-BE49-F238E27FC236}">
                  <a16:creationId xmlns:a16="http://schemas.microsoft.com/office/drawing/2014/main" id="{00000000-0008-0000-0400-000059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251460</xdr:colOff>
          <xdr:row>1007</xdr:row>
          <xdr:rowOff>114300</xdr:rowOff>
        </xdr:from>
        <xdr:to>
          <xdr:col>32</xdr:col>
          <xdr:colOff>167640</xdr:colOff>
          <xdr:row>1010</xdr:row>
          <xdr:rowOff>91440</xdr:rowOff>
        </xdr:to>
        <xdr:sp macro="" textlink="">
          <xdr:nvSpPr>
            <xdr:cNvPr id="3162" name="Object 90" hidden="1">
              <a:extLst>
                <a:ext uri="{63B3BB69-23CF-44E3-9099-C40C66FF867C}">
                  <a14:compatExt spid="_x0000_s3162"/>
                </a:ext>
                <a:ext uri="{FF2B5EF4-FFF2-40B4-BE49-F238E27FC236}">
                  <a16:creationId xmlns:a16="http://schemas.microsoft.com/office/drawing/2014/main" id="{00000000-0008-0000-0400-00005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1055</xdr:row>
          <xdr:rowOff>30480</xdr:rowOff>
        </xdr:from>
        <xdr:to>
          <xdr:col>12</xdr:col>
          <xdr:colOff>335280</xdr:colOff>
          <xdr:row>1058</xdr:row>
          <xdr:rowOff>53340</xdr:rowOff>
        </xdr:to>
        <xdr:sp macro="" textlink="">
          <xdr:nvSpPr>
            <xdr:cNvPr id="3167" name="Object 95" hidden="1">
              <a:extLst>
                <a:ext uri="{63B3BB69-23CF-44E3-9099-C40C66FF867C}">
                  <a14:compatExt spid="_x0000_s3167"/>
                </a:ext>
                <a:ext uri="{FF2B5EF4-FFF2-40B4-BE49-F238E27FC236}">
                  <a16:creationId xmlns:a16="http://schemas.microsoft.com/office/drawing/2014/main" id="{00000000-0008-0000-0400-00005F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1060</xdr:row>
          <xdr:rowOff>30480</xdr:rowOff>
        </xdr:from>
        <xdr:to>
          <xdr:col>15</xdr:col>
          <xdr:colOff>53340</xdr:colOff>
          <xdr:row>1063</xdr:row>
          <xdr:rowOff>53340</xdr:rowOff>
        </xdr:to>
        <xdr:sp macro="" textlink="">
          <xdr:nvSpPr>
            <xdr:cNvPr id="3168" name="Object 96" hidden="1">
              <a:extLst>
                <a:ext uri="{63B3BB69-23CF-44E3-9099-C40C66FF867C}">
                  <a14:compatExt spid="_x0000_s3168"/>
                </a:ext>
                <a:ext uri="{FF2B5EF4-FFF2-40B4-BE49-F238E27FC236}">
                  <a16:creationId xmlns:a16="http://schemas.microsoft.com/office/drawing/2014/main" id="{00000000-0008-0000-0400-000060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1065</xdr:row>
          <xdr:rowOff>30480</xdr:rowOff>
        </xdr:from>
        <xdr:to>
          <xdr:col>16</xdr:col>
          <xdr:colOff>670560</xdr:colOff>
          <xdr:row>1068</xdr:row>
          <xdr:rowOff>53340</xdr:rowOff>
        </xdr:to>
        <xdr:sp macro="" textlink="">
          <xdr:nvSpPr>
            <xdr:cNvPr id="3169" name="Object 97" hidden="1">
              <a:extLst>
                <a:ext uri="{63B3BB69-23CF-44E3-9099-C40C66FF867C}">
                  <a14:compatExt spid="_x0000_s3169"/>
                </a:ext>
                <a:ext uri="{FF2B5EF4-FFF2-40B4-BE49-F238E27FC236}">
                  <a16:creationId xmlns:a16="http://schemas.microsoft.com/office/drawing/2014/main" id="{00000000-0008-0000-0400-00006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1045</xdr:row>
          <xdr:rowOff>30480</xdr:rowOff>
        </xdr:from>
        <xdr:to>
          <xdr:col>16</xdr:col>
          <xdr:colOff>106680</xdr:colOff>
          <xdr:row>1048</xdr:row>
          <xdr:rowOff>30480</xdr:rowOff>
        </xdr:to>
        <xdr:sp macro="" textlink="">
          <xdr:nvSpPr>
            <xdr:cNvPr id="3173" name="Object 101" hidden="1">
              <a:extLst>
                <a:ext uri="{63B3BB69-23CF-44E3-9099-C40C66FF867C}">
                  <a14:compatExt spid="_x0000_s3173"/>
                </a:ext>
                <a:ext uri="{FF2B5EF4-FFF2-40B4-BE49-F238E27FC236}">
                  <a16:creationId xmlns:a16="http://schemas.microsoft.com/office/drawing/2014/main" id="{00000000-0008-0000-0400-00006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1050</xdr:row>
          <xdr:rowOff>30480</xdr:rowOff>
        </xdr:from>
        <xdr:to>
          <xdr:col>16</xdr:col>
          <xdr:colOff>388620</xdr:colOff>
          <xdr:row>1053</xdr:row>
          <xdr:rowOff>53340</xdr:rowOff>
        </xdr:to>
        <xdr:sp macro="" textlink="">
          <xdr:nvSpPr>
            <xdr:cNvPr id="3174" name="Object 102" hidden="1">
              <a:extLst>
                <a:ext uri="{63B3BB69-23CF-44E3-9099-C40C66FF867C}">
                  <a14:compatExt spid="_x0000_s3174"/>
                </a:ext>
                <a:ext uri="{FF2B5EF4-FFF2-40B4-BE49-F238E27FC236}">
                  <a16:creationId xmlns:a16="http://schemas.microsoft.com/office/drawing/2014/main" id="{00000000-0008-0000-0400-00006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1070</xdr:row>
          <xdr:rowOff>30480</xdr:rowOff>
        </xdr:from>
        <xdr:to>
          <xdr:col>12</xdr:col>
          <xdr:colOff>411480</xdr:colOff>
          <xdr:row>1073</xdr:row>
          <xdr:rowOff>53340</xdr:rowOff>
        </xdr:to>
        <xdr:sp macro="" textlink="">
          <xdr:nvSpPr>
            <xdr:cNvPr id="3178" name="Object 106" hidden="1">
              <a:extLst>
                <a:ext uri="{63B3BB69-23CF-44E3-9099-C40C66FF867C}">
                  <a14:compatExt spid="_x0000_s3178"/>
                </a:ext>
                <a:ext uri="{FF2B5EF4-FFF2-40B4-BE49-F238E27FC236}">
                  <a16:creationId xmlns:a16="http://schemas.microsoft.com/office/drawing/2014/main" id="{00000000-0008-0000-0400-00006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1053</xdr:row>
          <xdr:rowOff>30480</xdr:rowOff>
        </xdr:from>
        <xdr:to>
          <xdr:col>32</xdr:col>
          <xdr:colOff>419100</xdr:colOff>
          <xdr:row>1056</xdr:row>
          <xdr:rowOff>30480</xdr:rowOff>
        </xdr:to>
        <xdr:sp macro="" textlink="">
          <xdr:nvSpPr>
            <xdr:cNvPr id="3188" name="Object 116" hidden="1">
              <a:extLst>
                <a:ext uri="{63B3BB69-23CF-44E3-9099-C40C66FF867C}">
                  <a14:compatExt spid="_x0000_s3188"/>
                </a:ext>
                <a:ext uri="{FF2B5EF4-FFF2-40B4-BE49-F238E27FC236}">
                  <a16:creationId xmlns:a16="http://schemas.microsoft.com/office/drawing/2014/main" id="{00000000-0008-0000-0400-00007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22860</xdr:colOff>
          <xdr:row>1022</xdr:row>
          <xdr:rowOff>53340</xdr:rowOff>
        </xdr:from>
        <xdr:to>
          <xdr:col>32</xdr:col>
          <xdr:colOff>266700</xdr:colOff>
          <xdr:row>1024</xdr:row>
          <xdr:rowOff>137160</xdr:rowOff>
        </xdr:to>
        <xdr:sp macro="" textlink="">
          <xdr:nvSpPr>
            <xdr:cNvPr id="3192" name="Object 120" hidden="1">
              <a:extLst>
                <a:ext uri="{63B3BB69-23CF-44E3-9099-C40C66FF867C}">
                  <a14:compatExt spid="_x0000_s3192"/>
                </a:ext>
                <a:ext uri="{FF2B5EF4-FFF2-40B4-BE49-F238E27FC236}">
                  <a16:creationId xmlns:a16="http://schemas.microsoft.com/office/drawing/2014/main" id="{00000000-0008-0000-0400-000078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1017</xdr:row>
          <xdr:rowOff>22860</xdr:rowOff>
        </xdr:from>
        <xdr:to>
          <xdr:col>36</xdr:col>
          <xdr:colOff>167640</xdr:colOff>
          <xdr:row>1020</xdr:row>
          <xdr:rowOff>22860</xdr:rowOff>
        </xdr:to>
        <xdr:sp macro="" textlink="">
          <xdr:nvSpPr>
            <xdr:cNvPr id="3220" name="Object 148" hidden="1">
              <a:extLst>
                <a:ext uri="{63B3BB69-23CF-44E3-9099-C40C66FF867C}">
                  <a14:compatExt spid="_x0000_s3220"/>
                </a:ext>
                <a:ext uri="{FF2B5EF4-FFF2-40B4-BE49-F238E27FC236}">
                  <a16:creationId xmlns:a16="http://schemas.microsoft.com/office/drawing/2014/main" id="{00000000-0008-0000-0400-00009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1014</xdr:row>
          <xdr:rowOff>0</xdr:rowOff>
        </xdr:from>
        <xdr:to>
          <xdr:col>36</xdr:col>
          <xdr:colOff>701040</xdr:colOff>
          <xdr:row>1017</xdr:row>
          <xdr:rowOff>0</xdr:rowOff>
        </xdr:to>
        <xdr:sp macro="" textlink="">
          <xdr:nvSpPr>
            <xdr:cNvPr id="3222" name="Object 150" hidden="1">
              <a:extLst>
                <a:ext uri="{63B3BB69-23CF-44E3-9099-C40C66FF867C}">
                  <a14:compatExt spid="_x0000_s3222"/>
                </a:ext>
                <a:ext uri="{FF2B5EF4-FFF2-40B4-BE49-F238E27FC236}">
                  <a16:creationId xmlns:a16="http://schemas.microsoft.com/office/drawing/2014/main" id="{00000000-0008-0000-0400-00009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1020</xdr:row>
          <xdr:rowOff>45720</xdr:rowOff>
        </xdr:from>
        <xdr:to>
          <xdr:col>35</xdr:col>
          <xdr:colOff>137160</xdr:colOff>
          <xdr:row>1023</xdr:row>
          <xdr:rowOff>45720</xdr:rowOff>
        </xdr:to>
        <xdr:sp macro="" textlink="">
          <xdr:nvSpPr>
            <xdr:cNvPr id="3223" name="Object 151" hidden="1">
              <a:extLst>
                <a:ext uri="{63B3BB69-23CF-44E3-9099-C40C66FF867C}">
                  <a14:compatExt spid="_x0000_s3223"/>
                </a:ext>
                <a:ext uri="{FF2B5EF4-FFF2-40B4-BE49-F238E27FC236}">
                  <a16:creationId xmlns:a16="http://schemas.microsoft.com/office/drawing/2014/main" id="{00000000-0008-0000-0400-000097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1023</xdr:row>
          <xdr:rowOff>68580</xdr:rowOff>
        </xdr:from>
        <xdr:to>
          <xdr:col>36</xdr:col>
          <xdr:colOff>53340</xdr:colOff>
          <xdr:row>1026</xdr:row>
          <xdr:rowOff>68580</xdr:rowOff>
        </xdr:to>
        <xdr:sp macro="" textlink="">
          <xdr:nvSpPr>
            <xdr:cNvPr id="3225" name="Object 153" hidden="1">
              <a:extLst>
                <a:ext uri="{63B3BB69-23CF-44E3-9099-C40C66FF867C}">
                  <a14:compatExt spid="_x0000_s3225"/>
                </a:ext>
                <a:ext uri="{FF2B5EF4-FFF2-40B4-BE49-F238E27FC236}">
                  <a16:creationId xmlns:a16="http://schemas.microsoft.com/office/drawing/2014/main" id="{00000000-0008-0000-0400-000099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1048</xdr:row>
          <xdr:rowOff>30480</xdr:rowOff>
        </xdr:from>
        <xdr:to>
          <xdr:col>34</xdr:col>
          <xdr:colOff>350520</xdr:colOff>
          <xdr:row>1051</xdr:row>
          <xdr:rowOff>91440</xdr:rowOff>
        </xdr:to>
        <xdr:sp macro="" textlink="">
          <xdr:nvSpPr>
            <xdr:cNvPr id="3281" name="Object 209" hidden="1">
              <a:extLst>
                <a:ext uri="{63B3BB69-23CF-44E3-9099-C40C66FF867C}">
                  <a14:compatExt spid="_x0000_s3281"/>
                </a:ext>
                <a:ext uri="{FF2B5EF4-FFF2-40B4-BE49-F238E27FC236}">
                  <a16:creationId xmlns:a16="http://schemas.microsoft.com/office/drawing/2014/main" id="{00000000-0008-0000-0400-0000D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984250</xdr:colOff>
      <xdr:row>4</xdr:row>
      <xdr:rowOff>152400</xdr:rowOff>
    </xdr:to>
    <xdr:pic>
      <xdr:nvPicPr>
        <xdr:cNvPr id="2604352" name="Picture 8" descr="logoplasci">
          <a:extLst>
            <a:ext uri="{FF2B5EF4-FFF2-40B4-BE49-F238E27FC236}">
              <a16:creationId xmlns:a16="http://schemas.microsoft.com/office/drawing/2014/main" id="{00000000-0008-0000-0500-000040BD27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52400" y="165100"/>
          <a:ext cx="984250" cy="635000"/>
        </a:xfrm>
        <a:prstGeom prst="rect">
          <a:avLst/>
        </a:prstGeom>
        <a:noFill/>
        <a:ln w="9525">
          <a:noFill/>
          <a:miter lim="800000"/>
          <a:headEnd/>
          <a:tailEnd/>
        </a:ln>
      </xdr:spPr>
    </xdr:pic>
    <xdr:clientData/>
  </xdr:twoCellAnchor>
  <xdr:twoCellAnchor>
    <xdr:from>
      <xdr:col>6</xdr:col>
      <xdr:colOff>450850</xdr:colOff>
      <xdr:row>0</xdr:row>
      <xdr:rowOff>120650</xdr:rowOff>
    </xdr:from>
    <xdr:to>
      <xdr:col>12</xdr:col>
      <xdr:colOff>450850</xdr:colOff>
      <xdr:row>17</xdr:row>
      <xdr:rowOff>25400</xdr:rowOff>
    </xdr:to>
    <xdr:graphicFrame macro="">
      <xdr:nvGraphicFramePr>
        <xdr:cNvPr id="2604353" name="Graphique 2">
          <a:extLst>
            <a:ext uri="{FF2B5EF4-FFF2-40B4-BE49-F238E27FC236}">
              <a16:creationId xmlns:a16="http://schemas.microsoft.com/office/drawing/2014/main" id="{00000000-0008-0000-0500-000041BD2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450850</xdr:colOff>
      <xdr:row>17</xdr:row>
      <xdr:rowOff>25400</xdr:rowOff>
    </xdr:from>
    <xdr:to>
      <xdr:col>12</xdr:col>
      <xdr:colOff>450850</xdr:colOff>
      <xdr:row>34</xdr:row>
      <xdr:rowOff>19050</xdr:rowOff>
    </xdr:to>
    <xdr:graphicFrame macro="">
      <xdr:nvGraphicFramePr>
        <xdr:cNvPr id="2604354" name="Graphique 2">
          <a:extLst>
            <a:ext uri="{FF2B5EF4-FFF2-40B4-BE49-F238E27FC236}">
              <a16:creationId xmlns:a16="http://schemas.microsoft.com/office/drawing/2014/main" id="{00000000-0008-0000-0500-000042BD2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12700</xdr:colOff>
      <xdr:row>17</xdr:row>
      <xdr:rowOff>25400</xdr:rowOff>
    </xdr:from>
    <xdr:to>
      <xdr:col>6</xdr:col>
      <xdr:colOff>450850</xdr:colOff>
      <xdr:row>34</xdr:row>
      <xdr:rowOff>19050</xdr:rowOff>
    </xdr:to>
    <xdr:graphicFrame macro="">
      <xdr:nvGraphicFramePr>
        <xdr:cNvPr id="2604355" name="Graphique 2">
          <a:extLst>
            <a:ext uri="{FF2B5EF4-FFF2-40B4-BE49-F238E27FC236}">
              <a16:creationId xmlns:a16="http://schemas.microsoft.com/office/drawing/2014/main" id="{00000000-0008-0000-0500-000043BD2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mc:AlternateContent xmlns:mc="http://schemas.openxmlformats.org/markup-compatibility/2006">
    <mc:Choice xmlns:a14="http://schemas.microsoft.com/office/drawing/2010/main" Requires="a14">
      <xdr:twoCellAnchor>
        <xdr:from>
          <xdr:col>3</xdr:col>
          <xdr:colOff>769620</xdr:colOff>
          <xdr:row>9</xdr:row>
          <xdr:rowOff>15240</xdr:rowOff>
        </xdr:from>
        <xdr:to>
          <xdr:col>4</xdr:col>
          <xdr:colOff>0</xdr:colOff>
          <xdr:row>10</xdr:row>
          <xdr:rowOff>0</xdr:rowOff>
        </xdr:to>
        <xdr:sp macro="" textlink="">
          <xdr:nvSpPr>
            <xdr:cNvPr id="2604063" name="Spinner 31" hidden="1">
              <a:extLst>
                <a:ext uri="{63B3BB69-23CF-44E3-9099-C40C66FF867C}">
                  <a14:compatExt spid="_x0000_s2604063"/>
                </a:ext>
                <a:ext uri="{FF2B5EF4-FFF2-40B4-BE49-F238E27FC236}">
                  <a16:creationId xmlns:a16="http://schemas.microsoft.com/office/drawing/2014/main" id="{00000000-0008-0000-0500-00001FBC27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388620</xdr:colOff>
          <xdr:row>68</xdr:row>
          <xdr:rowOff>22860</xdr:rowOff>
        </xdr:from>
        <xdr:to>
          <xdr:col>12</xdr:col>
          <xdr:colOff>899160</xdr:colOff>
          <xdr:row>85</xdr:row>
          <xdr:rowOff>15240</xdr:rowOff>
        </xdr:to>
        <xdr:sp macro="" textlink="">
          <xdr:nvSpPr>
            <xdr:cNvPr id="2604101" name="Object 69" hidden="1">
              <a:extLst>
                <a:ext uri="{63B3BB69-23CF-44E3-9099-C40C66FF867C}">
                  <a14:compatExt spid="_x0000_s2604101"/>
                </a:ext>
                <a:ext uri="{FF2B5EF4-FFF2-40B4-BE49-F238E27FC236}">
                  <a16:creationId xmlns:a16="http://schemas.microsoft.com/office/drawing/2014/main" id="{00000000-0008-0000-0500-000045BC27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769620</xdr:colOff>
          <xdr:row>10</xdr:row>
          <xdr:rowOff>15240</xdr:rowOff>
        </xdr:from>
        <xdr:to>
          <xdr:col>4</xdr:col>
          <xdr:colOff>0</xdr:colOff>
          <xdr:row>11</xdr:row>
          <xdr:rowOff>0</xdr:rowOff>
        </xdr:to>
        <xdr:sp macro="" textlink="">
          <xdr:nvSpPr>
            <xdr:cNvPr id="2604202" name="Spinner 170" hidden="1">
              <a:extLst>
                <a:ext uri="{63B3BB69-23CF-44E3-9099-C40C66FF867C}">
                  <a14:compatExt spid="_x0000_s2604202"/>
                </a:ext>
                <a:ext uri="{FF2B5EF4-FFF2-40B4-BE49-F238E27FC236}">
                  <a16:creationId xmlns:a16="http://schemas.microsoft.com/office/drawing/2014/main" id="{00000000-0008-0000-0500-0000AABC27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7.xml><?xml version="1.0" encoding="utf-8"?>
<xdr:wsDr xmlns:xdr="http://schemas.openxmlformats.org/drawingml/2006/spreadsheetDrawing" xmlns:a="http://schemas.openxmlformats.org/drawingml/2006/main">
  <xdr:twoCellAnchor editAs="oneCell">
    <xdr:from>
      <xdr:col>0</xdr:col>
      <xdr:colOff>69850</xdr:colOff>
      <xdr:row>33</xdr:row>
      <xdr:rowOff>25400</xdr:rowOff>
    </xdr:from>
    <xdr:to>
      <xdr:col>2</xdr:col>
      <xdr:colOff>12700</xdr:colOff>
      <xdr:row>44</xdr:row>
      <xdr:rowOff>19050</xdr:rowOff>
    </xdr:to>
    <xdr:pic>
      <xdr:nvPicPr>
        <xdr:cNvPr id="5938" name="Image 1">
          <a:extLst>
            <a:ext uri="{FF2B5EF4-FFF2-40B4-BE49-F238E27FC236}">
              <a16:creationId xmlns:a16="http://schemas.microsoft.com/office/drawing/2014/main" id="{00000000-0008-0000-0600-000032170000}"/>
            </a:ext>
          </a:extLst>
        </xdr:cNvPr>
        <xdr:cNvPicPr>
          <a:picLocks noChangeAspect="1"/>
        </xdr:cNvPicPr>
      </xdr:nvPicPr>
      <xdr:blipFill>
        <a:blip xmlns:r="http://schemas.openxmlformats.org/officeDocument/2006/relationships" r:embed="rId1" cstate="print"/>
        <a:srcRect/>
        <a:stretch>
          <a:fillRect/>
        </a:stretch>
      </xdr:blipFill>
      <xdr:spPr bwMode="auto">
        <a:xfrm>
          <a:off x="69850" y="5295900"/>
          <a:ext cx="1231900" cy="1739900"/>
        </a:xfrm>
        <a:prstGeom prst="rect">
          <a:avLst/>
        </a:prstGeom>
        <a:noFill/>
        <a:ln w="9525">
          <a:noFill/>
          <a:miter lim="800000"/>
          <a:headEnd/>
          <a:tailEnd/>
        </a:ln>
      </xdr:spPr>
    </xdr:pic>
    <xdr:clientData/>
  </xdr:twoCellAnchor>
  <xdr:twoCellAnchor editAs="oneCell">
    <xdr:from>
      <xdr:col>1</xdr:col>
      <xdr:colOff>1123950</xdr:colOff>
      <xdr:row>53</xdr:row>
      <xdr:rowOff>44450</xdr:rowOff>
    </xdr:from>
    <xdr:to>
      <xdr:col>10</xdr:col>
      <xdr:colOff>609600</xdr:colOff>
      <xdr:row>81</xdr:row>
      <xdr:rowOff>25400</xdr:rowOff>
    </xdr:to>
    <xdr:pic>
      <xdr:nvPicPr>
        <xdr:cNvPr id="5939" name="Image 2">
          <a:extLst>
            <a:ext uri="{FF2B5EF4-FFF2-40B4-BE49-F238E27FC236}">
              <a16:creationId xmlns:a16="http://schemas.microsoft.com/office/drawing/2014/main" id="{00000000-0008-0000-0600-000033170000}"/>
            </a:ext>
          </a:extLst>
        </xdr:cNvPr>
        <xdr:cNvPicPr>
          <a:picLocks noChangeAspect="1"/>
        </xdr:cNvPicPr>
      </xdr:nvPicPr>
      <xdr:blipFill>
        <a:blip xmlns:r="http://schemas.openxmlformats.org/officeDocument/2006/relationships" r:embed="rId2" cstate="print"/>
        <a:srcRect/>
        <a:stretch>
          <a:fillRect/>
        </a:stretch>
      </xdr:blipFill>
      <xdr:spPr bwMode="auto">
        <a:xfrm>
          <a:off x="1276350" y="8331200"/>
          <a:ext cx="7099300" cy="4425950"/>
        </a:xfrm>
        <a:prstGeom prst="rect">
          <a:avLst/>
        </a:prstGeom>
        <a:noFill/>
        <a:ln w="9525">
          <a:noFill/>
          <a:miter lim="800000"/>
          <a:headEnd/>
          <a:tailEnd/>
        </a:ln>
      </xdr:spPr>
    </xdr:pic>
    <xdr:clientData/>
  </xdr:twoCellAnchor>
  <xdr:twoCellAnchor editAs="oneCell">
    <xdr:from>
      <xdr:col>1</xdr:col>
      <xdr:colOff>0</xdr:colOff>
      <xdr:row>1</xdr:row>
      <xdr:rowOff>0</xdr:rowOff>
    </xdr:from>
    <xdr:to>
      <xdr:col>1</xdr:col>
      <xdr:colOff>984250</xdr:colOff>
      <xdr:row>4</xdr:row>
      <xdr:rowOff>152400</xdr:rowOff>
    </xdr:to>
    <xdr:pic>
      <xdr:nvPicPr>
        <xdr:cNvPr id="5940" name="Picture 8" descr="logoplasci">
          <a:extLst>
            <a:ext uri="{FF2B5EF4-FFF2-40B4-BE49-F238E27FC236}">
              <a16:creationId xmlns:a16="http://schemas.microsoft.com/office/drawing/2014/main" id="{00000000-0008-0000-0600-00003417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52400" y="158750"/>
          <a:ext cx="984250" cy="628650"/>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6</xdr:col>
      <xdr:colOff>69850</xdr:colOff>
      <xdr:row>80</xdr:row>
      <xdr:rowOff>12700</xdr:rowOff>
    </xdr:from>
    <xdr:to>
      <xdr:col>8</xdr:col>
      <xdr:colOff>0</xdr:colOff>
      <xdr:row>102</xdr:row>
      <xdr:rowOff>107950</xdr:rowOff>
    </xdr:to>
    <xdr:grpSp>
      <xdr:nvGrpSpPr>
        <xdr:cNvPr id="5501606" name="Group 232">
          <a:extLst>
            <a:ext uri="{FF2B5EF4-FFF2-40B4-BE49-F238E27FC236}">
              <a16:creationId xmlns:a16="http://schemas.microsoft.com/office/drawing/2014/main" id="{00000000-0008-0000-0700-0000A6F25300}"/>
            </a:ext>
          </a:extLst>
        </xdr:cNvPr>
        <xdr:cNvGrpSpPr>
          <a:grpSpLocks/>
        </xdr:cNvGrpSpPr>
      </xdr:nvGrpSpPr>
      <xdr:grpSpPr bwMode="auto">
        <a:xfrm>
          <a:off x="4283710" y="13614400"/>
          <a:ext cx="2223770" cy="3859530"/>
          <a:chOff x="3421" y="5379"/>
          <a:chExt cx="2289" cy="5759"/>
        </a:xfrm>
      </xdr:grpSpPr>
      <xdr:grpSp>
        <xdr:nvGrpSpPr>
          <xdr:cNvPr id="5501710" name="Group 233">
            <a:extLst>
              <a:ext uri="{FF2B5EF4-FFF2-40B4-BE49-F238E27FC236}">
                <a16:creationId xmlns:a16="http://schemas.microsoft.com/office/drawing/2014/main" id="{00000000-0008-0000-0700-00000EF35300}"/>
              </a:ext>
            </a:extLst>
          </xdr:cNvPr>
          <xdr:cNvGrpSpPr>
            <a:grpSpLocks/>
          </xdr:cNvGrpSpPr>
        </xdr:nvGrpSpPr>
        <xdr:grpSpPr bwMode="auto">
          <a:xfrm>
            <a:off x="4047" y="5379"/>
            <a:ext cx="515" cy="4096"/>
            <a:chOff x="4047" y="5379"/>
            <a:chExt cx="515" cy="4096"/>
          </a:xfrm>
        </xdr:grpSpPr>
        <xdr:sp macro="" textlink="">
          <xdr:nvSpPr>
            <xdr:cNvPr id="5501728" name="Arc 234">
              <a:extLst>
                <a:ext uri="{FF2B5EF4-FFF2-40B4-BE49-F238E27FC236}">
                  <a16:creationId xmlns:a16="http://schemas.microsoft.com/office/drawing/2014/main" id="{00000000-0008-0000-0700-000020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729" name="Group 235">
              <a:extLst>
                <a:ext uri="{FF2B5EF4-FFF2-40B4-BE49-F238E27FC236}">
                  <a16:creationId xmlns:a16="http://schemas.microsoft.com/office/drawing/2014/main" id="{00000000-0008-0000-0700-000021F35300}"/>
                </a:ext>
              </a:extLst>
            </xdr:cNvPr>
            <xdr:cNvGrpSpPr>
              <a:grpSpLocks/>
            </xdr:cNvGrpSpPr>
          </xdr:nvGrpSpPr>
          <xdr:grpSpPr bwMode="auto">
            <a:xfrm>
              <a:off x="4047" y="6306"/>
              <a:ext cx="285" cy="3169"/>
              <a:chOff x="4050" y="6306"/>
              <a:chExt cx="285" cy="3169"/>
            </a:xfrm>
          </xdr:grpSpPr>
          <xdr:sp macro="" textlink="">
            <xdr:nvSpPr>
              <xdr:cNvPr id="5501730" name="Line 236">
                <a:extLst>
                  <a:ext uri="{FF2B5EF4-FFF2-40B4-BE49-F238E27FC236}">
                    <a16:creationId xmlns:a16="http://schemas.microsoft.com/office/drawing/2014/main" id="{00000000-0008-0000-0700-000022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731" name="Line 237">
                <a:extLst>
                  <a:ext uri="{FF2B5EF4-FFF2-40B4-BE49-F238E27FC236}">
                    <a16:creationId xmlns:a16="http://schemas.microsoft.com/office/drawing/2014/main" id="{00000000-0008-0000-0700-000023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32" name="Line 238">
                <a:extLst>
                  <a:ext uri="{FF2B5EF4-FFF2-40B4-BE49-F238E27FC236}">
                    <a16:creationId xmlns:a16="http://schemas.microsoft.com/office/drawing/2014/main" id="{00000000-0008-0000-0700-000024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33" name="Line 239">
                <a:extLst>
                  <a:ext uri="{FF2B5EF4-FFF2-40B4-BE49-F238E27FC236}">
                    <a16:creationId xmlns:a16="http://schemas.microsoft.com/office/drawing/2014/main" id="{00000000-0008-0000-0700-000025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34" name="Line 240">
                <a:extLst>
                  <a:ext uri="{FF2B5EF4-FFF2-40B4-BE49-F238E27FC236}">
                    <a16:creationId xmlns:a16="http://schemas.microsoft.com/office/drawing/2014/main" id="{00000000-0008-0000-0700-000026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grpSp>
        <xdr:nvGrpSpPr>
          <xdr:cNvPr id="5501711" name="Group 241">
            <a:extLst>
              <a:ext uri="{FF2B5EF4-FFF2-40B4-BE49-F238E27FC236}">
                <a16:creationId xmlns:a16="http://schemas.microsoft.com/office/drawing/2014/main" id="{00000000-0008-0000-0700-00000FF35300}"/>
              </a:ext>
            </a:extLst>
          </xdr:cNvPr>
          <xdr:cNvGrpSpPr>
            <a:grpSpLocks/>
          </xdr:cNvGrpSpPr>
        </xdr:nvGrpSpPr>
        <xdr:grpSpPr bwMode="auto">
          <a:xfrm flipH="1">
            <a:off x="4560" y="5379"/>
            <a:ext cx="515" cy="4096"/>
            <a:chOff x="4047" y="5379"/>
            <a:chExt cx="515" cy="4096"/>
          </a:xfrm>
        </xdr:grpSpPr>
        <xdr:sp macro="" textlink="">
          <xdr:nvSpPr>
            <xdr:cNvPr id="5501721" name="Arc 242">
              <a:extLst>
                <a:ext uri="{FF2B5EF4-FFF2-40B4-BE49-F238E27FC236}">
                  <a16:creationId xmlns:a16="http://schemas.microsoft.com/office/drawing/2014/main" id="{00000000-0008-0000-0700-000019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722" name="Group 243">
              <a:extLst>
                <a:ext uri="{FF2B5EF4-FFF2-40B4-BE49-F238E27FC236}">
                  <a16:creationId xmlns:a16="http://schemas.microsoft.com/office/drawing/2014/main" id="{00000000-0008-0000-0700-00001AF35300}"/>
                </a:ext>
              </a:extLst>
            </xdr:cNvPr>
            <xdr:cNvGrpSpPr>
              <a:grpSpLocks/>
            </xdr:cNvGrpSpPr>
          </xdr:nvGrpSpPr>
          <xdr:grpSpPr bwMode="auto">
            <a:xfrm>
              <a:off x="4047" y="6306"/>
              <a:ext cx="285" cy="3169"/>
              <a:chOff x="4050" y="6306"/>
              <a:chExt cx="285" cy="3169"/>
            </a:xfrm>
          </xdr:grpSpPr>
          <xdr:sp macro="" textlink="">
            <xdr:nvSpPr>
              <xdr:cNvPr id="5501723" name="Line 244">
                <a:extLst>
                  <a:ext uri="{FF2B5EF4-FFF2-40B4-BE49-F238E27FC236}">
                    <a16:creationId xmlns:a16="http://schemas.microsoft.com/office/drawing/2014/main" id="{00000000-0008-0000-0700-00001B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724" name="Line 245">
                <a:extLst>
                  <a:ext uri="{FF2B5EF4-FFF2-40B4-BE49-F238E27FC236}">
                    <a16:creationId xmlns:a16="http://schemas.microsoft.com/office/drawing/2014/main" id="{00000000-0008-0000-0700-00001C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25" name="Line 246">
                <a:extLst>
                  <a:ext uri="{FF2B5EF4-FFF2-40B4-BE49-F238E27FC236}">
                    <a16:creationId xmlns:a16="http://schemas.microsoft.com/office/drawing/2014/main" id="{00000000-0008-0000-0700-00001D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26" name="Line 247">
                <a:extLst>
                  <a:ext uri="{FF2B5EF4-FFF2-40B4-BE49-F238E27FC236}">
                    <a16:creationId xmlns:a16="http://schemas.microsoft.com/office/drawing/2014/main" id="{00000000-0008-0000-0700-00001E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27" name="Line 248">
                <a:extLst>
                  <a:ext uri="{FF2B5EF4-FFF2-40B4-BE49-F238E27FC236}">
                    <a16:creationId xmlns:a16="http://schemas.microsoft.com/office/drawing/2014/main" id="{00000000-0008-0000-0700-00001F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sp macro="" textlink="">
        <xdr:nvSpPr>
          <xdr:cNvPr id="5501712" name="Line 249">
            <a:extLst>
              <a:ext uri="{FF2B5EF4-FFF2-40B4-BE49-F238E27FC236}">
                <a16:creationId xmlns:a16="http://schemas.microsoft.com/office/drawing/2014/main" id="{00000000-0008-0000-0700-000010F35300}"/>
              </a:ext>
            </a:extLst>
          </xdr:cNvPr>
          <xdr:cNvSpPr>
            <a:spLocks noChangeShapeType="1"/>
          </xdr:cNvSpPr>
        </xdr:nvSpPr>
        <xdr:spPr bwMode="auto">
          <a:xfrm>
            <a:off x="4332" y="9310"/>
            <a:ext cx="2" cy="1319"/>
          </a:xfrm>
          <a:prstGeom prst="line">
            <a:avLst/>
          </a:prstGeom>
          <a:noFill/>
          <a:ln w="9525">
            <a:solidFill>
              <a:srgbClr val="00B0F0"/>
            </a:solidFill>
            <a:round/>
            <a:headEnd/>
            <a:tailEnd/>
          </a:ln>
        </xdr:spPr>
      </xdr:sp>
      <xdr:sp macro="" textlink="">
        <xdr:nvSpPr>
          <xdr:cNvPr id="5501713" name="Line 250">
            <a:extLst>
              <a:ext uri="{FF2B5EF4-FFF2-40B4-BE49-F238E27FC236}">
                <a16:creationId xmlns:a16="http://schemas.microsoft.com/office/drawing/2014/main" id="{00000000-0008-0000-0700-000011F35300}"/>
              </a:ext>
            </a:extLst>
          </xdr:cNvPr>
          <xdr:cNvSpPr>
            <a:spLocks noChangeShapeType="1"/>
          </xdr:cNvSpPr>
        </xdr:nvSpPr>
        <xdr:spPr bwMode="auto">
          <a:xfrm>
            <a:off x="4790" y="9310"/>
            <a:ext cx="0" cy="1319"/>
          </a:xfrm>
          <a:prstGeom prst="line">
            <a:avLst/>
          </a:prstGeom>
          <a:noFill/>
          <a:ln w="9525">
            <a:solidFill>
              <a:srgbClr val="00B0F0"/>
            </a:solidFill>
            <a:round/>
            <a:headEnd/>
            <a:tailEnd/>
          </a:ln>
        </xdr:spPr>
      </xdr:sp>
      <xdr:sp macro="" textlink="">
        <xdr:nvSpPr>
          <xdr:cNvPr id="5501714" name="Line 251">
            <a:extLst>
              <a:ext uri="{FF2B5EF4-FFF2-40B4-BE49-F238E27FC236}">
                <a16:creationId xmlns:a16="http://schemas.microsoft.com/office/drawing/2014/main" id="{00000000-0008-0000-0700-000012F35300}"/>
              </a:ext>
            </a:extLst>
          </xdr:cNvPr>
          <xdr:cNvSpPr>
            <a:spLocks noChangeShapeType="1"/>
          </xdr:cNvSpPr>
        </xdr:nvSpPr>
        <xdr:spPr bwMode="auto">
          <a:xfrm>
            <a:off x="4330" y="10629"/>
            <a:ext cx="458" cy="0"/>
          </a:xfrm>
          <a:prstGeom prst="line">
            <a:avLst/>
          </a:prstGeom>
          <a:noFill/>
          <a:ln w="9525">
            <a:solidFill>
              <a:srgbClr val="00B0F0"/>
            </a:solidFill>
            <a:round/>
            <a:headEnd/>
            <a:tailEnd/>
          </a:ln>
        </xdr:spPr>
      </xdr:sp>
      <xdr:sp macro="" textlink="">
        <xdr:nvSpPr>
          <xdr:cNvPr id="5501715" name="Line 252">
            <a:extLst>
              <a:ext uri="{FF2B5EF4-FFF2-40B4-BE49-F238E27FC236}">
                <a16:creationId xmlns:a16="http://schemas.microsoft.com/office/drawing/2014/main" id="{00000000-0008-0000-0700-000013F35300}"/>
              </a:ext>
            </a:extLst>
          </xdr:cNvPr>
          <xdr:cNvSpPr>
            <a:spLocks noChangeShapeType="1"/>
          </xdr:cNvSpPr>
        </xdr:nvSpPr>
        <xdr:spPr bwMode="auto">
          <a:xfrm flipV="1">
            <a:off x="5709" y="10163"/>
            <a:ext cx="1" cy="946"/>
          </a:xfrm>
          <a:prstGeom prst="line">
            <a:avLst/>
          </a:prstGeom>
          <a:noFill/>
          <a:ln w="9525">
            <a:solidFill>
              <a:srgbClr val="00B0F0"/>
            </a:solidFill>
            <a:round/>
            <a:headEnd/>
            <a:tailEnd/>
          </a:ln>
        </xdr:spPr>
      </xdr:sp>
      <xdr:sp macro="" textlink="">
        <xdr:nvSpPr>
          <xdr:cNvPr id="5501716" name="Line 253">
            <a:extLst>
              <a:ext uri="{FF2B5EF4-FFF2-40B4-BE49-F238E27FC236}">
                <a16:creationId xmlns:a16="http://schemas.microsoft.com/office/drawing/2014/main" id="{00000000-0008-0000-0700-000014F35300}"/>
              </a:ext>
            </a:extLst>
          </xdr:cNvPr>
          <xdr:cNvSpPr>
            <a:spLocks noChangeShapeType="1"/>
          </xdr:cNvSpPr>
        </xdr:nvSpPr>
        <xdr:spPr bwMode="auto">
          <a:xfrm>
            <a:off x="4796" y="10419"/>
            <a:ext cx="909" cy="712"/>
          </a:xfrm>
          <a:prstGeom prst="line">
            <a:avLst/>
          </a:prstGeom>
          <a:noFill/>
          <a:ln w="9525">
            <a:solidFill>
              <a:srgbClr val="00B0F0"/>
            </a:solidFill>
            <a:round/>
            <a:headEnd/>
            <a:tailEnd/>
          </a:ln>
        </xdr:spPr>
      </xdr:sp>
      <xdr:sp macro="" textlink="">
        <xdr:nvSpPr>
          <xdr:cNvPr id="5501717" name="Line 254">
            <a:extLst>
              <a:ext uri="{FF2B5EF4-FFF2-40B4-BE49-F238E27FC236}">
                <a16:creationId xmlns:a16="http://schemas.microsoft.com/office/drawing/2014/main" id="{00000000-0008-0000-0700-000015F35300}"/>
              </a:ext>
            </a:extLst>
          </xdr:cNvPr>
          <xdr:cNvSpPr>
            <a:spLocks noChangeShapeType="1"/>
          </xdr:cNvSpPr>
        </xdr:nvSpPr>
        <xdr:spPr bwMode="auto">
          <a:xfrm flipH="1" flipV="1">
            <a:off x="4804" y="8797"/>
            <a:ext cx="905" cy="1372"/>
          </a:xfrm>
          <a:prstGeom prst="line">
            <a:avLst/>
          </a:prstGeom>
          <a:noFill/>
          <a:ln w="9525">
            <a:solidFill>
              <a:srgbClr val="00B0F0"/>
            </a:solidFill>
            <a:round/>
            <a:headEnd/>
            <a:tailEnd/>
          </a:ln>
        </xdr:spPr>
      </xdr:sp>
      <xdr:sp macro="" textlink="">
        <xdr:nvSpPr>
          <xdr:cNvPr id="5501718" name="Line 255">
            <a:extLst>
              <a:ext uri="{FF2B5EF4-FFF2-40B4-BE49-F238E27FC236}">
                <a16:creationId xmlns:a16="http://schemas.microsoft.com/office/drawing/2014/main" id="{00000000-0008-0000-0700-000016F35300}"/>
              </a:ext>
            </a:extLst>
          </xdr:cNvPr>
          <xdr:cNvSpPr>
            <a:spLocks noChangeShapeType="1"/>
          </xdr:cNvSpPr>
        </xdr:nvSpPr>
        <xdr:spPr bwMode="auto">
          <a:xfrm flipH="1" flipV="1">
            <a:off x="3421" y="10178"/>
            <a:ext cx="1" cy="946"/>
          </a:xfrm>
          <a:prstGeom prst="line">
            <a:avLst/>
          </a:prstGeom>
          <a:noFill/>
          <a:ln w="9525">
            <a:solidFill>
              <a:srgbClr val="00B0F0"/>
            </a:solidFill>
            <a:round/>
            <a:headEnd/>
            <a:tailEnd/>
          </a:ln>
        </xdr:spPr>
      </xdr:sp>
      <xdr:sp macro="" textlink="">
        <xdr:nvSpPr>
          <xdr:cNvPr id="5501719" name="Line 256">
            <a:extLst>
              <a:ext uri="{FF2B5EF4-FFF2-40B4-BE49-F238E27FC236}">
                <a16:creationId xmlns:a16="http://schemas.microsoft.com/office/drawing/2014/main" id="{00000000-0008-0000-0700-000017F35300}"/>
              </a:ext>
            </a:extLst>
          </xdr:cNvPr>
          <xdr:cNvSpPr>
            <a:spLocks noChangeShapeType="1"/>
          </xdr:cNvSpPr>
        </xdr:nvSpPr>
        <xdr:spPr bwMode="auto">
          <a:xfrm flipH="1">
            <a:off x="3421" y="10426"/>
            <a:ext cx="909" cy="712"/>
          </a:xfrm>
          <a:prstGeom prst="line">
            <a:avLst/>
          </a:prstGeom>
          <a:noFill/>
          <a:ln w="9525">
            <a:solidFill>
              <a:srgbClr val="00B0F0"/>
            </a:solidFill>
            <a:round/>
            <a:headEnd/>
            <a:tailEnd/>
          </a:ln>
        </xdr:spPr>
      </xdr:sp>
      <xdr:sp macro="" textlink="">
        <xdr:nvSpPr>
          <xdr:cNvPr id="5501720" name="Line 257">
            <a:extLst>
              <a:ext uri="{FF2B5EF4-FFF2-40B4-BE49-F238E27FC236}">
                <a16:creationId xmlns:a16="http://schemas.microsoft.com/office/drawing/2014/main" id="{00000000-0008-0000-0700-000018F35300}"/>
              </a:ext>
            </a:extLst>
          </xdr:cNvPr>
          <xdr:cNvSpPr>
            <a:spLocks noChangeShapeType="1"/>
          </xdr:cNvSpPr>
        </xdr:nvSpPr>
        <xdr:spPr bwMode="auto">
          <a:xfrm flipV="1">
            <a:off x="3429" y="8804"/>
            <a:ext cx="905" cy="1372"/>
          </a:xfrm>
          <a:prstGeom prst="line">
            <a:avLst/>
          </a:prstGeom>
          <a:noFill/>
          <a:ln w="9525">
            <a:solidFill>
              <a:srgbClr val="00B0F0"/>
            </a:solidFill>
            <a:round/>
            <a:headEnd/>
            <a:tailEnd/>
          </a:ln>
        </xdr:spPr>
      </xdr:sp>
    </xdr:grpSp>
    <xdr:clientData/>
  </xdr:twoCellAnchor>
  <xdr:twoCellAnchor>
    <xdr:from>
      <xdr:col>6</xdr:col>
      <xdr:colOff>825500</xdr:colOff>
      <xdr:row>84</xdr:row>
      <xdr:rowOff>101600</xdr:rowOff>
    </xdr:from>
    <xdr:to>
      <xdr:col>6</xdr:col>
      <xdr:colOff>1543050</xdr:colOff>
      <xdr:row>84</xdr:row>
      <xdr:rowOff>101600</xdr:rowOff>
    </xdr:to>
    <xdr:sp macro="" textlink="">
      <xdr:nvSpPr>
        <xdr:cNvPr id="5501607" name="Line 268">
          <a:extLst>
            <a:ext uri="{FF2B5EF4-FFF2-40B4-BE49-F238E27FC236}">
              <a16:creationId xmlns:a16="http://schemas.microsoft.com/office/drawing/2014/main" id="{00000000-0008-0000-0700-0000A7F25300}"/>
            </a:ext>
          </a:extLst>
        </xdr:cNvPr>
        <xdr:cNvSpPr>
          <a:spLocks noChangeShapeType="1"/>
        </xdr:cNvSpPr>
      </xdr:nvSpPr>
      <xdr:spPr bwMode="auto">
        <a:xfrm flipV="1">
          <a:off x="5105400" y="14128750"/>
          <a:ext cx="717550" cy="0"/>
        </a:xfrm>
        <a:prstGeom prst="line">
          <a:avLst/>
        </a:prstGeom>
        <a:noFill/>
        <a:ln w="6350">
          <a:solidFill>
            <a:srgbClr val="000000"/>
          </a:solidFill>
          <a:round/>
          <a:headEnd type="triangle" w="sm" len="lg"/>
          <a:tailEnd type="triangle" w="sm" len="lg"/>
        </a:ln>
      </xdr:spPr>
    </xdr:sp>
    <xdr:clientData/>
  </xdr:twoCellAnchor>
  <xdr:twoCellAnchor>
    <xdr:from>
      <xdr:col>6</xdr:col>
      <xdr:colOff>152400</xdr:colOff>
      <xdr:row>80</xdr:row>
      <xdr:rowOff>0</xdr:rowOff>
    </xdr:from>
    <xdr:to>
      <xdr:col>8</xdr:col>
      <xdr:colOff>654050</xdr:colOff>
      <xdr:row>80</xdr:row>
      <xdr:rowOff>0</xdr:rowOff>
    </xdr:to>
    <xdr:sp macro="" textlink="">
      <xdr:nvSpPr>
        <xdr:cNvPr id="5501608" name="Line 269">
          <a:extLst>
            <a:ext uri="{FF2B5EF4-FFF2-40B4-BE49-F238E27FC236}">
              <a16:creationId xmlns:a16="http://schemas.microsoft.com/office/drawing/2014/main" id="{00000000-0008-0000-0700-0000A8F25300}"/>
            </a:ext>
          </a:extLst>
        </xdr:cNvPr>
        <xdr:cNvSpPr>
          <a:spLocks noChangeShapeType="1"/>
        </xdr:cNvSpPr>
      </xdr:nvSpPr>
      <xdr:spPr bwMode="auto">
        <a:xfrm flipV="1">
          <a:off x="4432300" y="13354050"/>
          <a:ext cx="2647950" cy="0"/>
        </a:xfrm>
        <a:prstGeom prst="line">
          <a:avLst/>
        </a:prstGeom>
        <a:noFill/>
        <a:ln w="6350">
          <a:solidFill>
            <a:srgbClr val="000000"/>
          </a:solidFill>
          <a:round/>
          <a:headEnd/>
          <a:tailEnd/>
        </a:ln>
      </xdr:spPr>
    </xdr:sp>
    <xdr:clientData/>
  </xdr:twoCellAnchor>
  <xdr:twoCellAnchor>
    <xdr:from>
      <xdr:col>8</xdr:col>
      <xdr:colOff>228600</xdr:colOff>
      <xdr:row>80</xdr:row>
      <xdr:rowOff>12700</xdr:rowOff>
    </xdr:from>
    <xdr:to>
      <xdr:col>8</xdr:col>
      <xdr:colOff>228600</xdr:colOff>
      <xdr:row>93</xdr:row>
      <xdr:rowOff>82550</xdr:rowOff>
    </xdr:to>
    <xdr:sp macro="" textlink="">
      <xdr:nvSpPr>
        <xdr:cNvPr id="5501609" name="Line 270">
          <a:extLst>
            <a:ext uri="{FF2B5EF4-FFF2-40B4-BE49-F238E27FC236}">
              <a16:creationId xmlns:a16="http://schemas.microsoft.com/office/drawing/2014/main" id="{00000000-0008-0000-0700-0000A9F25300}"/>
            </a:ext>
          </a:extLst>
        </xdr:cNvPr>
        <xdr:cNvSpPr>
          <a:spLocks noChangeShapeType="1"/>
        </xdr:cNvSpPr>
      </xdr:nvSpPr>
      <xdr:spPr bwMode="auto">
        <a:xfrm>
          <a:off x="6838950" y="13366750"/>
          <a:ext cx="0" cy="2209800"/>
        </a:xfrm>
        <a:prstGeom prst="line">
          <a:avLst/>
        </a:prstGeom>
        <a:noFill/>
        <a:ln w="6350">
          <a:solidFill>
            <a:srgbClr val="000000"/>
          </a:solidFill>
          <a:round/>
          <a:headEnd type="triangle" w="sm" len="lg"/>
          <a:tailEnd type="triangle" w="sm" len="lg"/>
        </a:ln>
      </xdr:spPr>
    </xdr:sp>
    <xdr:clientData/>
  </xdr:twoCellAnchor>
  <xdr:twoCellAnchor>
    <xdr:from>
      <xdr:col>6</xdr:col>
      <xdr:colOff>139700</xdr:colOff>
      <xdr:row>83</xdr:row>
      <xdr:rowOff>50800</xdr:rowOff>
    </xdr:from>
    <xdr:to>
      <xdr:col>6</xdr:col>
      <xdr:colOff>838200</xdr:colOff>
      <xdr:row>83</xdr:row>
      <xdr:rowOff>50800</xdr:rowOff>
    </xdr:to>
    <xdr:sp macro="" textlink="">
      <xdr:nvSpPr>
        <xdr:cNvPr id="5501610" name="Line 271">
          <a:extLst>
            <a:ext uri="{FF2B5EF4-FFF2-40B4-BE49-F238E27FC236}">
              <a16:creationId xmlns:a16="http://schemas.microsoft.com/office/drawing/2014/main" id="{00000000-0008-0000-0700-0000AAF25300}"/>
            </a:ext>
          </a:extLst>
        </xdr:cNvPr>
        <xdr:cNvSpPr>
          <a:spLocks noChangeShapeType="1"/>
        </xdr:cNvSpPr>
      </xdr:nvSpPr>
      <xdr:spPr bwMode="auto">
        <a:xfrm>
          <a:off x="4419600" y="13912850"/>
          <a:ext cx="698500" cy="0"/>
        </a:xfrm>
        <a:prstGeom prst="line">
          <a:avLst/>
        </a:prstGeom>
        <a:noFill/>
        <a:ln w="6350">
          <a:solidFill>
            <a:srgbClr val="000000"/>
          </a:solidFill>
          <a:round/>
          <a:headEnd/>
          <a:tailEnd/>
        </a:ln>
      </xdr:spPr>
    </xdr:sp>
    <xdr:clientData/>
  </xdr:twoCellAnchor>
  <xdr:twoCellAnchor>
    <xdr:from>
      <xdr:col>6</xdr:col>
      <xdr:colOff>152400</xdr:colOff>
      <xdr:row>80</xdr:row>
      <xdr:rowOff>0</xdr:rowOff>
    </xdr:from>
    <xdr:to>
      <xdr:col>6</xdr:col>
      <xdr:colOff>152400</xdr:colOff>
      <xdr:row>83</xdr:row>
      <xdr:rowOff>50800</xdr:rowOff>
    </xdr:to>
    <xdr:sp macro="" textlink="">
      <xdr:nvSpPr>
        <xdr:cNvPr id="5501611" name="Line 272">
          <a:extLst>
            <a:ext uri="{FF2B5EF4-FFF2-40B4-BE49-F238E27FC236}">
              <a16:creationId xmlns:a16="http://schemas.microsoft.com/office/drawing/2014/main" id="{00000000-0008-0000-0700-0000ABF25300}"/>
            </a:ext>
          </a:extLst>
        </xdr:cNvPr>
        <xdr:cNvSpPr>
          <a:spLocks noChangeShapeType="1"/>
        </xdr:cNvSpPr>
      </xdr:nvSpPr>
      <xdr:spPr bwMode="auto">
        <a:xfrm>
          <a:off x="4432300" y="13354050"/>
          <a:ext cx="0" cy="558800"/>
        </a:xfrm>
        <a:prstGeom prst="line">
          <a:avLst/>
        </a:prstGeom>
        <a:noFill/>
        <a:ln w="6350">
          <a:solidFill>
            <a:srgbClr val="000000"/>
          </a:solidFill>
          <a:round/>
          <a:headEnd type="triangle" w="sm" len="lg"/>
          <a:tailEnd type="triangle" w="sm" len="lg"/>
        </a:ln>
      </xdr:spPr>
    </xdr:sp>
    <xdr:clientData/>
  </xdr:twoCellAnchor>
  <xdr:twoCellAnchor>
    <xdr:from>
      <xdr:col>7</xdr:col>
      <xdr:colOff>787400</xdr:colOff>
      <xdr:row>102</xdr:row>
      <xdr:rowOff>95250</xdr:rowOff>
    </xdr:from>
    <xdr:to>
      <xdr:col>8</xdr:col>
      <xdr:colOff>552450</xdr:colOff>
      <xdr:row>102</xdr:row>
      <xdr:rowOff>95250</xdr:rowOff>
    </xdr:to>
    <xdr:sp macro="" textlink="">
      <xdr:nvSpPr>
        <xdr:cNvPr id="5501612" name="Line 277">
          <a:extLst>
            <a:ext uri="{FF2B5EF4-FFF2-40B4-BE49-F238E27FC236}">
              <a16:creationId xmlns:a16="http://schemas.microsoft.com/office/drawing/2014/main" id="{00000000-0008-0000-0700-0000ACF25300}"/>
            </a:ext>
          </a:extLst>
        </xdr:cNvPr>
        <xdr:cNvSpPr>
          <a:spLocks noChangeShapeType="1"/>
        </xdr:cNvSpPr>
      </xdr:nvSpPr>
      <xdr:spPr bwMode="auto">
        <a:xfrm>
          <a:off x="6610350" y="17068800"/>
          <a:ext cx="469900" cy="0"/>
        </a:xfrm>
        <a:prstGeom prst="line">
          <a:avLst/>
        </a:prstGeom>
        <a:noFill/>
        <a:ln w="6350">
          <a:solidFill>
            <a:srgbClr val="000000"/>
          </a:solidFill>
          <a:round/>
          <a:headEnd/>
          <a:tailEnd/>
        </a:ln>
      </xdr:spPr>
    </xdr:sp>
    <xdr:clientData/>
  </xdr:twoCellAnchor>
  <xdr:twoCellAnchor>
    <xdr:from>
      <xdr:col>8</xdr:col>
      <xdr:colOff>12700</xdr:colOff>
      <xdr:row>98</xdr:row>
      <xdr:rowOff>133350</xdr:rowOff>
    </xdr:from>
    <xdr:to>
      <xdr:col>8</xdr:col>
      <xdr:colOff>469900</xdr:colOff>
      <xdr:row>98</xdr:row>
      <xdr:rowOff>133350</xdr:rowOff>
    </xdr:to>
    <xdr:sp macro="" textlink="">
      <xdr:nvSpPr>
        <xdr:cNvPr id="5501613" name="Line 278">
          <a:extLst>
            <a:ext uri="{FF2B5EF4-FFF2-40B4-BE49-F238E27FC236}">
              <a16:creationId xmlns:a16="http://schemas.microsoft.com/office/drawing/2014/main" id="{00000000-0008-0000-0700-0000ADF25300}"/>
            </a:ext>
          </a:extLst>
        </xdr:cNvPr>
        <xdr:cNvSpPr>
          <a:spLocks noChangeShapeType="1"/>
        </xdr:cNvSpPr>
      </xdr:nvSpPr>
      <xdr:spPr bwMode="auto">
        <a:xfrm>
          <a:off x="6623050" y="16440150"/>
          <a:ext cx="457200" cy="0"/>
        </a:xfrm>
        <a:prstGeom prst="line">
          <a:avLst/>
        </a:prstGeom>
        <a:noFill/>
        <a:ln w="6350">
          <a:solidFill>
            <a:srgbClr val="000000"/>
          </a:solidFill>
          <a:round/>
          <a:headEnd/>
          <a:tailEnd/>
        </a:ln>
      </xdr:spPr>
    </xdr:sp>
    <xdr:clientData/>
  </xdr:twoCellAnchor>
  <xdr:twoCellAnchor>
    <xdr:from>
      <xdr:col>6</xdr:col>
      <xdr:colOff>476250</xdr:colOff>
      <xdr:row>93</xdr:row>
      <xdr:rowOff>76200</xdr:rowOff>
    </xdr:from>
    <xdr:to>
      <xdr:col>8</xdr:col>
      <xdr:colOff>552450</xdr:colOff>
      <xdr:row>93</xdr:row>
      <xdr:rowOff>76200</xdr:rowOff>
    </xdr:to>
    <xdr:sp macro="" textlink="">
      <xdr:nvSpPr>
        <xdr:cNvPr id="5501614" name="Line 279">
          <a:extLst>
            <a:ext uri="{FF2B5EF4-FFF2-40B4-BE49-F238E27FC236}">
              <a16:creationId xmlns:a16="http://schemas.microsoft.com/office/drawing/2014/main" id="{00000000-0008-0000-0700-0000AEF25300}"/>
            </a:ext>
          </a:extLst>
        </xdr:cNvPr>
        <xdr:cNvSpPr>
          <a:spLocks noChangeShapeType="1"/>
        </xdr:cNvSpPr>
      </xdr:nvSpPr>
      <xdr:spPr bwMode="auto">
        <a:xfrm flipV="1">
          <a:off x="4756150" y="15570200"/>
          <a:ext cx="2324100" cy="0"/>
        </a:xfrm>
        <a:prstGeom prst="line">
          <a:avLst/>
        </a:prstGeom>
        <a:noFill/>
        <a:ln w="6350">
          <a:solidFill>
            <a:srgbClr val="000000"/>
          </a:solidFill>
          <a:round/>
          <a:headEnd/>
          <a:tailEnd/>
        </a:ln>
      </xdr:spPr>
    </xdr:sp>
    <xdr:clientData/>
  </xdr:twoCellAnchor>
  <xdr:twoCellAnchor>
    <xdr:from>
      <xdr:col>6</xdr:col>
      <xdr:colOff>476250</xdr:colOff>
      <xdr:row>99</xdr:row>
      <xdr:rowOff>152400</xdr:rowOff>
    </xdr:from>
    <xdr:to>
      <xdr:col>6</xdr:col>
      <xdr:colOff>1428750</xdr:colOff>
      <xdr:row>99</xdr:row>
      <xdr:rowOff>152400</xdr:rowOff>
    </xdr:to>
    <xdr:sp macro="" textlink="">
      <xdr:nvSpPr>
        <xdr:cNvPr id="5501615" name="Line 280">
          <a:extLst>
            <a:ext uri="{FF2B5EF4-FFF2-40B4-BE49-F238E27FC236}">
              <a16:creationId xmlns:a16="http://schemas.microsoft.com/office/drawing/2014/main" id="{00000000-0008-0000-0700-0000AFF25300}"/>
            </a:ext>
          </a:extLst>
        </xdr:cNvPr>
        <xdr:cNvSpPr>
          <a:spLocks noChangeShapeType="1"/>
        </xdr:cNvSpPr>
      </xdr:nvSpPr>
      <xdr:spPr bwMode="auto">
        <a:xfrm flipV="1">
          <a:off x="4756150" y="16617950"/>
          <a:ext cx="952500" cy="0"/>
        </a:xfrm>
        <a:prstGeom prst="line">
          <a:avLst/>
        </a:prstGeom>
        <a:noFill/>
        <a:ln w="6350">
          <a:solidFill>
            <a:srgbClr val="000000"/>
          </a:solidFill>
          <a:round/>
          <a:headEnd/>
          <a:tailEnd/>
        </a:ln>
      </xdr:spPr>
    </xdr:sp>
    <xdr:clientData/>
  </xdr:twoCellAnchor>
  <xdr:twoCellAnchor>
    <xdr:from>
      <xdr:col>6</xdr:col>
      <xdr:colOff>476250</xdr:colOff>
      <xdr:row>93</xdr:row>
      <xdr:rowOff>76200</xdr:rowOff>
    </xdr:from>
    <xdr:to>
      <xdr:col>6</xdr:col>
      <xdr:colOff>476250</xdr:colOff>
      <xdr:row>100</xdr:row>
      <xdr:rowOff>0</xdr:rowOff>
    </xdr:to>
    <xdr:sp macro="" textlink="">
      <xdr:nvSpPr>
        <xdr:cNvPr id="5501616" name="Line 281">
          <a:extLst>
            <a:ext uri="{FF2B5EF4-FFF2-40B4-BE49-F238E27FC236}">
              <a16:creationId xmlns:a16="http://schemas.microsoft.com/office/drawing/2014/main" id="{00000000-0008-0000-0700-0000B0F25300}"/>
            </a:ext>
          </a:extLst>
        </xdr:cNvPr>
        <xdr:cNvSpPr>
          <a:spLocks noChangeShapeType="1"/>
        </xdr:cNvSpPr>
      </xdr:nvSpPr>
      <xdr:spPr bwMode="auto">
        <a:xfrm>
          <a:off x="4756150" y="15570200"/>
          <a:ext cx="0" cy="1066800"/>
        </a:xfrm>
        <a:prstGeom prst="line">
          <a:avLst/>
        </a:prstGeom>
        <a:noFill/>
        <a:ln w="6350">
          <a:solidFill>
            <a:srgbClr val="000000"/>
          </a:solidFill>
          <a:round/>
          <a:headEnd type="triangle" w="sm" len="lg"/>
          <a:tailEnd type="triangle" w="sm" len="lg"/>
        </a:ln>
      </xdr:spPr>
    </xdr:sp>
    <xdr:clientData/>
  </xdr:twoCellAnchor>
  <xdr:twoCellAnchor>
    <xdr:from>
      <xdr:col>8</xdr:col>
      <xdr:colOff>488950</xdr:colOff>
      <xdr:row>98</xdr:row>
      <xdr:rowOff>133350</xdr:rowOff>
    </xdr:from>
    <xdr:to>
      <xdr:col>8</xdr:col>
      <xdr:colOff>488950</xdr:colOff>
      <xdr:row>102</xdr:row>
      <xdr:rowOff>95250</xdr:rowOff>
    </xdr:to>
    <xdr:sp macro="" textlink="">
      <xdr:nvSpPr>
        <xdr:cNvPr id="5501617" name="Line 282">
          <a:extLst>
            <a:ext uri="{FF2B5EF4-FFF2-40B4-BE49-F238E27FC236}">
              <a16:creationId xmlns:a16="http://schemas.microsoft.com/office/drawing/2014/main" id="{00000000-0008-0000-0700-0000B1F25300}"/>
            </a:ext>
          </a:extLst>
        </xdr:cNvPr>
        <xdr:cNvSpPr>
          <a:spLocks noChangeShapeType="1"/>
        </xdr:cNvSpPr>
      </xdr:nvSpPr>
      <xdr:spPr bwMode="auto">
        <a:xfrm>
          <a:off x="7080250" y="16440150"/>
          <a:ext cx="0" cy="628650"/>
        </a:xfrm>
        <a:prstGeom prst="line">
          <a:avLst/>
        </a:prstGeom>
        <a:noFill/>
        <a:ln w="6350">
          <a:solidFill>
            <a:srgbClr val="000000"/>
          </a:solidFill>
          <a:round/>
          <a:headEnd type="triangle" w="sm" len="lg"/>
          <a:tailEnd type="triangle" w="sm" len="lg"/>
        </a:ln>
      </xdr:spPr>
    </xdr:sp>
    <xdr:clientData/>
  </xdr:twoCellAnchor>
  <xdr:twoCellAnchor>
    <xdr:from>
      <xdr:col>8</xdr:col>
      <xdr:colOff>488950</xdr:colOff>
      <xdr:row>93</xdr:row>
      <xdr:rowOff>63500</xdr:rowOff>
    </xdr:from>
    <xdr:to>
      <xdr:col>8</xdr:col>
      <xdr:colOff>488950</xdr:colOff>
      <xdr:row>98</xdr:row>
      <xdr:rowOff>133350</xdr:rowOff>
    </xdr:to>
    <xdr:sp macro="" textlink="">
      <xdr:nvSpPr>
        <xdr:cNvPr id="5501618" name="Line 283">
          <a:extLst>
            <a:ext uri="{FF2B5EF4-FFF2-40B4-BE49-F238E27FC236}">
              <a16:creationId xmlns:a16="http://schemas.microsoft.com/office/drawing/2014/main" id="{00000000-0008-0000-0700-0000B2F25300}"/>
            </a:ext>
          </a:extLst>
        </xdr:cNvPr>
        <xdr:cNvSpPr>
          <a:spLocks noChangeShapeType="1"/>
        </xdr:cNvSpPr>
      </xdr:nvSpPr>
      <xdr:spPr bwMode="auto">
        <a:xfrm>
          <a:off x="7080250" y="15557500"/>
          <a:ext cx="0" cy="882650"/>
        </a:xfrm>
        <a:prstGeom prst="line">
          <a:avLst/>
        </a:prstGeom>
        <a:noFill/>
        <a:ln w="6350">
          <a:solidFill>
            <a:srgbClr val="000000"/>
          </a:solidFill>
          <a:round/>
          <a:headEnd type="triangle" w="sm" len="lg"/>
          <a:tailEnd type="triangle" w="sm" len="lg"/>
        </a:ln>
      </xdr:spPr>
    </xdr:sp>
    <xdr:clientData/>
  </xdr:twoCellAnchor>
  <xdr:twoCellAnchor>
    <xdr:from>
      <xdr:col>8</xdr:col>
      <xdr:colOff>0</xdr:colOff>
      <xdr:row>102</xdr:row>
      <xdr:rowOff>95250</xdr:rowOff>
    </xdr:from>
    <xdr:to>
      <xdr:col>8</xdr:col>
      <xdr:colOff>0</xdr:colOff>
      <xdr:row>103</xdr:row>
      <xdr:rowOff>0</xdr:rowOff>
    </xdr:to>
    <xdr:sp macro="" textlink="">
      <xdr:nvSpPr>
        <xdr:cNvPr id="5501619" name="Line 284">
          <a:extLst>
            <a:ext uri="{FF2B5EF4-FFF2-40B4-BE49-F238E27FC236}">
              <a16:creationId xmlns:a16="http://schemas.microsoft.com/office/drawing/2014/main" id="{00000000-0008-0000-0700-0000B3F25300}"/>
            </a:ext>
          </a:extLst>
        </xdr:cNvPr>
        <xdr:cNvSpPr>
          <a:spLocks noChangeShapeType="1"/>
        </xdr:cNvSpPr>
      </xdr:nvSpPr>
      <xdr:spPr bwMode="auto">
        <a:xfrm flipV="1">
          <a:off x="6610350" y="17068800"/>
          <a:ext cx="0" cy="69850"/>
        </a:xfrm>
        <a:prstGeom prst="line">
          <a:avLst/>
        </a:prstGeom>
        <a:noFill/>
        <a:ln w="6350">
          <a:solidFill>
            <a:srgbClr val="000000"/>
          </a:solidFill>
          <a:round/>
          <a:headEnd/>
          <a:tailEnd/>
        </a:ln>
      </xdr:spPr>
    </xdr:sp>
    <xdr:clientData/>
  </xdr:twoCellAnchor>
  <xdr:twoCellAnchor>
    <xdr:from>
      <xdr:col>6</xdr:col>
      <xdr:colOff>1428750</xdr:colOff>
      <xdr:row>99</xdr:row>
      <xdr:rowOff>139700</xdr:rowOff>
    </xdr:from>
    <xdr:to>
      <xdr:col>6</xdr:col>
      <xdr:colOff>1428750</xdr:colOff>
      <xdr:row>103</xdr:row>
      <xdr:rowOff>0</xdr:rowOff>
    </xdr:to>
    <xdr:sp macro="" textlink="">
      <xdr:nvSpPr>
        <xdr:cNvPr id="5501620" name="Line 285">
          <a:extLst>
            <a:ext uri="{FF2B5EF4-FFF2-40B4-BE49-F238E27FC236}">
              <a16:creationId xmlns:a16="http://schemas.microsoft.com/office/drawing/2014/main" id="{00000000-0008-0000-0700-0000B4F25300}"/>
            </a:ext>
          </a:extLst>
        </xdr:cNvPr>
        <xdr:cNvSpPr>
          <a:spLocks noChangeShapeType="1"/>
        </xdr:cNvSpPr>
      </xdr:nvSpPr>
      <xdr:spPr bwMode="auto">
        <a:xfrm flipH="1" flipV="1">
          <a:off x="5708650" y="16605250"/>
          <a:ext cx="0" cy="533400"/>
        </a:xfrm>
        <a:prstGeom prst="line">
          <a:avLst/>
        </a:prstGeom>
        <a:noFill/>
        <a:ln w="6350">
          <a:solidFill>
            <a:srgbClr val="000000"/>
          </a:solidFill>
          <a:round/>
          <a:headEnd/>
          <a:tailEnd/>
        </a:ln>
      </xdr:spPr>
    </xdr:sp>
    <xdr:clientData/>
  </xdr:twoCellAnchor>
  <xdr:twoCellAnchor>
    <xdr:from>
      <xdr:col>6</xdr:col>
      <xdr:colOff>1422400</xdr:colOff>
      <xdr:row>103</xdr:row>
      <xdr:rowOff>0</xdr:rowOff>
    </xdr:from>
    <xdr:to>
      <xdr:col>8</xdr:col>
      <xdr:colOff>0</xdr:colOff>
      <xdr:row>103</xdr:row>
      <xdr:rowOff>0</xdr:rowOff>
    </xdr:to>
    <xdr:sp macro="" textlink="">
      <xdr:nvSpPr>
        <xdr:cNvPr id="5501621" name="Line 286">
          <a:extLst>
            <a:ext uri="{FF2B5EF4-FFF2-40B4-BE49-F238E27FC236}">
              <a16:creationId xmlns:a16="http://schemas.microsoft.com/office/drawing/2014/main" id="{00000000-0008-0000-0700-0000B5F25300}"/>
            </a:ext>
          </a:extLst>
        </xdr:cNvPr>
        <xdr:cNvSpPr>
          <a:spLocks noChangeShapeType="1"/>
        </xdr:cNvSpPr>
      </xdr:nvSpPr>
      <xdr:spPr bwMode="auto">
        <a:xfrm>
          <a:off x="5702300" y="17138650"/>
          <a:ext cx="908050" cy="0"/>
        </a:xfrm>
        <a:prstGeom prst="line">
          <a:avLst/>
        </a:prstGeom>
        <a:noFill/>
        <a:ln w="6350">
          <a:solidFill>
            <a:srgbClr val="000000"/>
          </a:solidFill>
          <a:round/>
          <a:headEnd type="triangle" w="sm" len="lg"/>
          <a:tailEnd type="triangle" w="sm" len="lg"/>
        </a:ln>
      </xdr:spPr>
    </xdr:sp>
    <xdr:clientData/>
  </xdr:twoCellAnchor>
  <xdr:twoCellAnchor>
    <xdr:from>
      <xdr:col>6</xdr:col>
      <xdr:colOff>685800</xdr:colOff>
      <xdr:row>89</xdr:row>
      <xdr:rowOff>69850</xdr:rowOff>
    </xdr:from>
    <xdr:to>
      <xdr:col>6</xdr:col>
      <xdr:colOff>1695450</xdr:colOff>
      <xdr:row>89</xdr:row>
      <xdr:rowOff>69850</xdr:rowOff>
    </xdr:to>
    <xdr:sp macro="" textlink="">
      <xdr:nvSpPr>
        <xdr:cNvPr id="5501622" name="Line 287">
          <a:extLst>
            <a:ext uri="{FF2B5EF4-FFF2-40B4-BE49-F238E27FC236}">
              <a16:creationId xmlns:a16="http://schemas.microsoft.com/office/drawing/2014/main" id="{00000000-0008-0000-0700-0000B6F25300}"/>
            </a:ext>
          </a:extLst>
        </xdr:cNvPr>
        <xdr:cNvSpPr>
          <a:spLocks noChangeShapeType="1"/>
        </xdr:cNvSpPr>
      </xdr:nvSpPr>
      <xdr:spPr bwMode="auto">
        <a:xfrm>
          <a:off x="4965700" y="14916150"/>
          <a:ext cx="1009650" cy="0"/>
        </a:xfrm>
        <a:prstGeom prst="line">
          <a:avLst/>
        </a:prstGeom>
        <a:noFill/>
        <a:ln w="3175">
          <a:solidFill>
            <a:srgbClr val="92D050"/>
          </a:solidFill>
          <a:prstDash val="sysDot"/>
          <a:round/>
          <a:headEnd type="triangle" w="sm" len="sm"/>
          <a:tailEnd type="triangle" w="sm" len="sm"/>
        </a:ln>
      </xdr:spPr>
    </xdr:sp>
    <xdr:clientData/>
  </xdr:twoCellAnchor>
  <xdr:twoCellAnchor>
    <xdr:from>
      <xdr:col>6</xdr:col>
      <xdr:colOff>990600</xdr:colOff>
      <xdr:row>93</xdr:row>
      <xdr:rowOff>25400</xdr:rowOff>
    </xdr:from>
    <xdr:to>
      <xdr:col>6</xdr:col>
      <xdr:colOff>1397000</xdr:colOff>
      <xdr:row>93</xdr:row>
      <xdr:rowOff>25400</xdr:rowOff>
    </xdr:to>
    <xdr:sp macro="" textlink="">
      <xdr:nvSpPr>
        <xdr:cNvPr id="5501623" name="Line 288">
          <a:extLst>
            <a:ext uri="{FF2B5EF4-FFF2-40B4-BE49-F238E27FC236}">
              <a16:creationId xmlns:a16="http://schemas.microsoft.com/office/drawing/2014/main" id="{00000000-0008-0000-0700-0000B7F25300}"/>
            </a:ext>
          </a:extLst>
        </xdr:cNvPr>
        <xdr:cNvSpPr>
          <a:spLocks noChangeShapeType="1"/>
        </xdr:cNvSpPr>
      </xdr:nvSpPr>
      <xdr:spPr bwMode="auto">
        <a:xfrm>
          <a:off x="5270500" y="15519400"/>
          <a:ext cx="406400" cy="0"/>
        </a:xfrm>
        <a:prstGeom prst="line">
          <a:avLst/>
        </a:prstGeom>
        <a:noFill/>
        <a:ln w="3175">
          <a:solidFill>
            <a:srgbClr val="92D050"/>
          </a:solidFill>
          <a:prstDash val="sysDot"/>
          <a:round/>
          <a:headEnd type="triangle" w="sm" len="sm"/>
          <a:tailEnd type="triangle" w="sm" len="sm"/>
        </a:ln>
      </xdr:spPr>
    </xdr:sp>
    <xdr:clientData/>
  </xdr:twoCellAnchor>
  <xdr:twoCellAnchor>
    <xdr:from>
      <xdr:col>6</xdr:col>
      <xdr:colOff>850900</xdr:colOff>
      <xdr:row>87</xdr:row>
      <xdr:rowOff>57150</xdr:rowOff>
    </xdr:from>
    <xdr:to>
      <xdr:col>8</xdr:col>
      <xdr:colOff>44450</xdr:colOff>
      <xdr:row>87</xdr:row>
      <xdr:rowOff>57150</xdr:rowOff>
    </xdr:to>
    <xdr:sp macro="" textlink="">
      <xdr:nvSpPr>
        <xdr:cNvPr id="5501624" name="Line 289">
          <a:extLst>
            <a:ext uri="{FF2B5EF4-FFF2-40B4-BE49-F238E27FC236}">
              <a16:creationId xmlns:a16="http://schemas.microsoft.com/office/drawing/2014/main" id="{00000000-0008-0000-0700-0000B8F25300}"/>
            </a:ext>
          </a:extLst>
        </xdr:cNvPr>
        <xdr:cNvSpPr>
          <a:spLocks noChangeShapeType="1"/>
        </xdr:cNvSpPr>
      </xdr:nvSpPr>
      <xdr:spPr bwMode="auto">
        <a:xfrm>
          <a:off x="5130800" y="14579600"/>
          <a:ext cx="1524000" cy="0"/>
        </a:xfrm>
        <a:prstGeom prst="line">
          <a:avLst/>
        </a:prstGeom>
        <a:noFill/>
        <a:ln w="6350">
          <a:solidFill>
            <a:srgbClr val="92D050"/>
          </a:solidFill>
          <a:round/>
          <a:headEnd/>
          <a:tailEnd/>
        </a:ln>
      </xdr:spPr>
    </xdr:sp>
    <xdr:clientData/>
  </xdr:twoCellAnchor>
  <xdr:twoCellAnchor>
    <xdr:from>
      <xdr:col>6</xdr:col>
      <xdr:colOff>698500</xdr:colOff>
      <xdr:row>88</xdr:row>
      <xdr:rowOff>57150</xdr:rowOff>
    </xdr:from>
    <xdr:to>
      <xdr:col>8</xdr:col>
      <xdr:colOff>57150</xdr:colOff>
      <xdr:row>88</xdr:row>
      <xdr:rowOff>57150</xdr:rowOff>
    </xdr:to>
    <xdr:sp macro="" textlink="">
      <xdr:nvSpPr>
        <xdr:cNvPr id="5501625" name="Line 290">
          <a:extLst>
            <a:ext uri="{FF2B5EF4-FFF2-40B4-BE49-F238E27FC236}">
              <a16:creationId xmlns:a16="http://schemas.microsoft.com/office/drawing/2014/main" id="{00000000-0008-0000-0700-0000B9F25300}"/>
            </a:ext>
          </a:extLst>
        </xdr:cNvPr>
        <xdr:cNvSpPr>
          <a:spLocks noChangeShapeType="1"/>
        </xdr:cNvSpPr>
      </xdr:nvSpPr>
      <xdr:spPr bwMode="auto">
        <a:xfrm>
          <a:off x="4978400" y="14738350"/>
          <a:ext cx="1689100" cy="0"/>
        </a:xfrm>
        <a:prstGeom prst="line">
          <a:avLst/>
        </a:prstGeom>
        <a:noFill/>
        <a:ln w="6350">
          <a:solidFill>
            <a:srgbClr val="92D050"/>
          </a:solidFill>
          <a:round/>
          <a:headEnd/>
          <a:tailEnd/>
        </a:ln>
      </xdr:spPr>
    </xdr:sp>
    <xdr:clientData/>
  </xdr:twoCellAnchor>
  <xdr:twoCellAnchor>
    <xdr:from>
      <xdr:col>6</xdr:col>
      <xdr:colOff>698500</xdr:colOff>
      <xdr:row>90</xdr:row>
      <xdr:rowOff>139700</xdr:rowOff>
    </xdr:from>
    <xdr:to>
      <xdr:col>8</xdr:col>
      <xdr:colOff>69850</xdr:colOff>
      <xdr:row>90</xdr:row>
      <xdr:rowOff>139700</xdr:rowOff>
    </xdr:to>
    <xdr:sp macro="" textlink="">
      <xdr:nvSpPr>
        <xdr:cNvPr id="5501626" name="Line 291">
          <a:extLst>
            <a:ext uri="{FF2B5EF4-FFF2-40B4-BE49-F238E27FC236}">
              <a16:creationId xmlns:a16="http://schemas.microsoft.com/office/drawing/2014/main" id="{00000000-0008-0000-0700-0000BAF25300}"/>
            </a:ext>
          </a:extLst>
        </xdr:cNvPr>
        <xdr:cNvSpPr>
          <a:spLocks noChangeShapeType="1"/>
        </xdr:cNvSpPr>
      </xdr:nvSpPr>
      <xdr:spPr bwMode="auto">
        <a:xfrm>
          <a:off x="4978400" y="15157450"/>
          <a:ext cx="1701800" cy="0"/>
        </a:xfrm>
        <a:prstGeom prst="line">
          <a:avLst/>
        </a:prstGeom>
        <a:noFill/>
        <a:ln w="6350">
          <a:solidFill>
            <a:srgbClr val="92D050"/>
          </a:solidFill>
          <a:round/>
          <a:headEnd/>
          <a:tailEnd/>
        </a:ln>
      </xdr:spPr>
    </xdr:sp>
    <xdr:clientData/>
  </xdr:twoCellAnchor>
  <xdr:twoCellAnchor>
    <xdr:from>
      <xdr:col>6</xdr:col>
      <xdr:colOff>977900</xdr:colOff>
      <xdr:row>92</xdr:row>
      <xdr:rowOff>44450</xdr:rowOff>
    </xdr:from>
    <xdr:to>
      <xdr:col>8</xdr:col>
      <xdr:colOff>44450</xdr:colOff>
      <xdr:row>92</xdr:row>
      <xdr:rowOff>44450</xdr:rowOff>
    </xdr:to>
    <xdr:sp macro="" textlink="">
      <xdr:nvSpPr>
        <xdr:cNvPr id="5501627" name="Line 292">
          <a:extLst>
            <a:ext uri="{FF2B5EF4-FFF2-40B4-BE49-F238E27FC236}">
              <a16:creationId xmlns:a16="http://schemas.microsoft.com/office/drawing/2014/main" id="{00000000-0008-0000-0700-0000BBF25300}"/>
            </a:ext>
          </a:extLst>
        </xdr:cNvPr>
        <xdr:cNvSpPr>
          <a:spLocks noChangeShapeType="1"/>
        </xdr:cNvSpPr>
      </xdr:nvSpPr>
      <xdr:spPr bwMode="auto">
        <a:xfrm>
          <a:off x="5257800" y="15379700"/>
          <a:ext cx="1397000" cy="0"/>
        </a:xfrm>
        <a:prstGeom prst="line">
          <a:avLst/>
        </a:prstGeom>
        <a:noFill/>
        <a:ln w="6350">
          <a:solidFill>
            <a:srgbClr val="92D050"/>
          </a:solidFill>
          <a:round/>
          <a:headEnd/>
          <a:tailEnd/>
        </a:ln>
      </xdr:spPr>
    </xdr:sp>
    <xdr:clientData/>
  </xdr:twoCellAnchor>
  <xdr:twoCellAnchor>
    <xdr:from>
      <xdr:col>6</xdr:col>
      <xdr:colOff>1790700</xdr:colOff>
      <xdr:row>80</xdr:row>
      <xdr:rowOff>0</xdr:rowOff>
    </xdr:from>
    <xdr:to>
      <xdr:col>6</xdr:col>
      <xdr:colOff>1790700</xdr:colOff>
      <xdr:row>87</xdr:row>
      <xdr:rowOff>63500</xdr:rowOff>
    </xdr:to>
    <xdr:sp macro="" textlink="">
      <xdr:nvSpPr>
        <xdr:cNvPr id="5501628" name="Line 293">
          <a:extLst>
            <a:ext uri="{FF2B5EF4-FFF2-40B4-BE49-F238E27FC236}">
              <a16:creationId xmlns:a16="http://schemas.microsoft.com/office/drawing/2014/main" id="{00000000-0008-0000-0700-0000BCF25300}"/>
            </a:ext>
          </a:extLst>
        </xdr:cNvPr>
        <xdr:cNvSpPr>
          <a:spLocks noChangeShapeType="1"/>
        </xdr:cNvSpPr>
      </xdr:nvSpPr>
      <xdr:spPr bwMode="auto">
        <a:xfrm>
          <a:off x="6070600" y="13354050"/>
          <a:ext cx="0" cy="1231900"/>
        </a:xfrm>
        <a:prstGeom prst="line">
          <a:avLst/>
        </a:prstGeom>
        <a:noFill/>
        <a:ln w="9525">
          <a:solidFill>
            <a:srgbClr val="92D050"/>
          </a:solidFill>
          <a:prstDash val="sysDot"/>
          <a:round/>
          <a:headEnd type="triangle" w="sm" len="sm"/>
          <a:tailEnd type="triangle" w="sm" len="sm"/>
        </a:ln>
      </xdr:spPr>
    </xdr:sp>
    <xdr:clientData/>
  </xdr:twoCellAnchor>
  <xdr:twoCellAnchor>
    <xdr:from>
      <xdr:col>7</xdr:col>
      <xdr:colOff>190500</xdr:colOff>
      <xdr:row>80</xdr:row>
      <xdr:rowOff>0</xdr:rowOff>
    </xdr:from>
    <xdr:to>
      <xdr:col>7</xdr:col>
      <xdr:colOff>190500</xdr:colOff>
      <xdr:row>90</xdr:row>
      <xdr:rowOff>133350</xdr:rowOff>
    </xdr:to>
    <xdr:sp macro="" textlink="">
      <xdr:nvSpPr>
        <xdr:cNvPr id="5501629" name="Line 294">
          <a:extLst>
            <a:ext uri="{FF2B5EF4-FFF2-40B4-BE49-F238E27FC236}">
              <a16:creationId xmlns:a16="http://schemas.microsoft.com/office/drawing/2014/main" id="{00000000-0008-0000-0700-0000BDF25300}"/>
            </a:ext>
          </a:extLst>
        </xdr:cNvPr>
        <xdr:cNvSpPr>
          <a:spLocks noChangeShapeType="1"/>
        </xdr:cNvSpPr>
      </xdr:nvSpPr>
      <xdr:spPr bwMode="auto">
        <a:xfrm>
          <a:off x="6330950" y="13354050"/>
          <a:ext cx="0" cy="1797050"/>
        </a:xfrm>
        <a:prstGeom prst="line">
          <a:avLst/>
        </a:prstGeom>
        <a:noFill/>
        <a:ln w="9525">
          <a:solidFill>
            <a:srgbClr val="92D050"/>
          </a:solidFill>
          <a:prstDash val="sysDot"/>
          <a:round/>
          <a:headEnd type="triangle" w="sm" len="sm"/>
          <a:tailEnd type="triangle" w="sm" len="sm"/>
        </a:ln>
      </xdr:spPr>
    </xdr:sp>
    <xdr:clientData/>
  </xdr:twoCellAnchor>
  <xdr:twoCellAnchor>
    <xdr:from>
      <xdr:col>8</xdr:col>
      <xdr:colOff>44450</xdr:colOff>
      <xdr:row>87</xdr:row>
      <xdr:rowOff>57150</xdr:rowOff>
    </xdr:from>
    <xdr:to>
      <xdr:col>8</xdr:col>
      <xdr:colOff>44450</xdr:colOff>
      <xdr:row>88</xdr:row>
      <xdr:rowOff>57150</xdr:rowOff>
    </xdr:to>
    <xdr:sp macro="" textlink="">
      <xdr:nvSpPr>
        <xdr:cNvPr id="5501630" name="Line 295">
          <a:extLst>
            <a:ext uri="{FF2B5EF4-FFF2-40B4-BE49-F238E27FC236}">
              <a16:creationId xmlns:a16="http://schemas.microsoft.com/office/drawing/2014/main" id="{00000000-0008-0000-0700-0000BEF25300}"/>
            </a:ext>
          </a:extLst>
        </xdr:cNvPr>
        <xdr:cNvSpPr>
          <a:spLocks noChangeShapeType="1"/>
        </xdr:cNvSpPr>
      </xdr:nvSpPr>
      <xdr:spPr bwMode="auto">
        <a:xfrm>
          <a:off x="6654800" y="14579600"/>
          <a:ext cx="0" cy="158750"/>
        </a:xfrm>
        <a:prstGeom prst="line">
          <a:avLst/>
        </a:prstGeom>
        <a:noFill/>
        <a:ln w="3175">
          <a:solidFill>
            <a:srgbClr val="92D050"/>
          </a:solidFill>
          <a:prstDash val="sysDot"/>
          <a:round/>
          <a:headEnd type="triangle" w="sm" len="sm"/>
          <a:tailEnd type="triangle" w="sm" len="sm"/>
        </a:ln>
      </xdr:spPr>
    </xdr:sp>
    <xdr:clientData/>
  </xdr:twoCellAnchor>
  <xdr:twoCellAnchor>
    <xdr:from>
      <xdr:col>8</xdr:col>
      <xdr:colOff>44450</xdr:colOff>
      <xdr:row>90</xdr:row>
      <xdr:rowOff>139700</xdr:rowOff>
    </xdr:from>
    <xdr:to>
      <xdr:col>8</xdr:col>
      <xdr:colOff>44450</xdr:colOff>
      <xdr:row>92</xdr:row>
      <xdr:rowOff>44450</xdr:rowOff>
    </xdr:to>
    <xdr:sp macro="" textlink="">
      <xdr:nvSpPr>
        <xdr:cNvPr id="5501631" name="Line 296">
          <a:extLst>
            <a:ext uri="{FF2B5EF4-FFF2-40B4-BE49-F238E27FC236}">
              <a16:creationId xmlns:a16="http://schemas.microsoft.com/office/drawing/2014/main" id="{00000000-0008-0000-0700-0000BFF25300}"/>
            </a:ext>
          </a:extLst>
        </xdr:cNvPr>
        <xdr:cNvSpPr>
          <a:spLocks noChangeShapeType="1"/>
        </xdr:cNvSpPr>
      </xdr:nvSpPr>
      <xdr:spPr bwMode="auto">
        <a:xfrm>
          <a:off x="6654800" y="15157450"/>
          <a:ext cx="0" cy="222250"/>
        </a:xfrm>
        <a:prstGeom prst="line">
          <a:avLst/>
        </a:prstGeom>
        <a:noFill/>
        <a:ln w="9525">
          <a:solidFill>
            <a:srgbClr val="92D050"/>
          </a:solidFill>
          <a:prstDash val="sysDot"/>
          <a:round/>
          <a:headEnd type="triangle" w="sm" len="sm"/>
          <a:tailEnd type="triangle" w="sm" len="sm"/>
        </a:ln>
      </xdr:spPr>
    </xdr:sp>
    <xdr:clientData/>
  </xdr:twoCellAnchor>
  <xdr:twoCellAnchor>
    <xdr:from>
      <xdr:col>6</xdr:col>
      <xdr:colOff>0</xdr:colOff>
      <xdr:row>84</xdr:row>
      <xdr:rowOff>101600</xdr:rowOff>
    </xdr:from>
    <xdr:to>
      <xdr:col>6</xdr:col>
      <xdr:colOff>838200</xdr:colOff>
      <xdr:row>84</xdr:row>
      <xdr:rowOff>101600</xdr:rowOff>
    </xdr:to>
    <xdr:sp macro="" textlink="">
      <xdr:nvSpPr>
        <xdr:cNvPr id="5501632" name="Line 297">
          <a:extLst>
            <a:ext uri="{FF2B5EF4-FFF2-40B4-BE49-F238E27FC236}">
              <a16:creationId xmlns:a16="http://schemas.microsoft.com/office/drawing/2014/main" id="{00000000-0008-0000-0700-0000C0F25300}"/>
            </a:ext>
          </a:extLst>
        </xdr:cNvPr>
        <xdr:cNvSpPr>
          <a:spLocks noChangeShapeType="1"/>
        </xdr:cNvSpPr>
      </xdr:nvSpPr>
      <xdr:spPr bwMode="auto">
        <a:xfrm>
          <a:off x="4279900" y="14128750"/>
          <a:ext cx="838200" cy="0"/>
        </a:xfrm>
        <a:prstGeom prst="line">
          <a:avLst/>
        </a:prstGeom>
        <a:noFill/>
        <a:ln w="9525">
          <a:solidFill>
            <a:srgbClr val="000000"/>
          </a:solidFill>
          <a:round/>
          <a:headEnd/>
          <a:tailEnd/>
        </a:ln>
      </xdr:spPr>
    </xdr:sp>
    <xdr:clientData/>
  </xdr:twoCellAnchor>
  <xdr:twoCellAnchor>
    <xdr:from>
      <xdr:col>6</xdr:col>
      <xdr:colOff>0</xdr:colOff>
      <xdr:row>89</xdr:row>
      <xdr:rowOff>69850</xdr:rowOff>
    </xdr:from>
    <xdr:to>
      <xdr:col>6</xdr:col>
      <xdr:colOff>685800</xdr:colOff>
      <xdr:row>89</xdr:row>
      <xdr:rowOff>69850</xdr:rowOff>
    </xdr:to>
    <xdr:sp macro="" textlink="">
      <xdr:nvSpPr>
        <xdr:cNvPr id="5501633" name="Line 298">
          <a:extLst>
            <a:ext uri="{FF2B5EF4-FFF2-40B4-BE49-F238E27FC236}">
              <a16:creationId xmlns:a16="http://schemas.microsoft.com/office/drawing/2014/main" id="{00000000-0008-0000-0700-0000C1F25300}"/>
            </a:ext>
          </a:extLst>
        </xdr:cNvPr>
        <xdr:cNvSpPr>
          <a:spLocks noChangeShapeType="1"/>
        </xdr:cNvSpPr>
      </xdr:nvSpPr>
      <xdr:spPr bwMode="auto">
        <a:xfrm>
          <a:off x="4279900" y="14916150"/>
          <a:ext cx="685800" cy="0"/>
        </a:xfrm>
        <a:prstGeom prst="line">
          <a:avLst/>
        </a:prstGeom>
        <a:noFill/>
        <a:ln w="9525">
          <a:solidFill>
            <a:srgbClr val="92D050"/>
          </a:solidFill>
          <a:round/>
          <a:headEnd/>
          <a:tailEnd/>
        </a:ln>
      </xdr:spPr>
    </xdr:sp>
    <xdr:clientData/>
  </xdr:twoCellAnchor>
  <xdr:twoCellAnchor>
    <xdr:from>
      <xdr:col>6</xdr:col>
      <xdr:colOff>0</xdr:colOff>
      <xdr:row>93</xdr:row>
      <xdr:rowOff>25400</xdr:rowOff>
    </xdr:from>
    <xdr:to>
      <xdr:col>6</xdr:col>
      <xdr:colOff>971550</xdr:colOff>
      <xdr:row>93</xdr:row>
      <xdr:rowOff>25400</xdr:rowOff>
    </xdr:to>
    <xdr:sp macro="" textlink="">
      <xdr:nvSpPr>
        <xdr:cNvPr id="5501634" name="Line 299">
          <a:extLst>
            <a:ext uri="{FF2B5EF4-FFF2-40B4-BE49-F238E27FC236}">
              <a16:creationId xmlns:a16="http://schemas.microsoft.com/office/drawing/2014/main" id="{00000000-0008-0000-0700-0000C2F25300}"/>
            </a:ext>
          </a:extLst>
        </xdr:cNvPr>
        <xdr:cNvSpPr>
          <a:spLocks noChangeShapeType="1"/>
        </xdr:cNvSpPr>
      </xdr:nvSpPr>
      <xdr:spPr bwMode="auto">
        <a:xfrm>
          <a:off x="4279900" y="15519400"/>
          <a:ext cx="971550" cy="0"/>
        </a:xfrm>
        <a:prstGeom prst="line">
          <a:avLst/>
        </a:prstGeom>
        <a:noFill/>
        <a:ln w="9525">
          <a:solidFill>
            <a:srgbClr val="92D050"/>
          </a:solidFill>
          <a:round/>
          <a:headEnd/>
          <a:tailEnd/>
        </a:ln>
      </xdr:spPr>
    </xdr:sp>
    <xdr:clientData/>
  </xdr:twoCellAnchor>
  <xdr:twoCellAnchor>
    <xdr:from>
      <xdr:col>6</xdr:col>
      <xdr:colOff>0</xdr:colOff>
      <xdr:row>96</xdr:row>
      <xdr:rowOff>76200</xdr:rowOff>
    </xdr:from>
    <xdr:to>
      <xdr:col>6</xdr:col>
      <xdr:colOff>476250</xdr:colOff>
      <xdr:row>96</xdr:row>
      <xdr:rowOff>76200</xdr:rowOff>
    </xdr:to>
    <xdr:sp macro="" textlink="">
      <xdr:nvSpPr>
        <xdr:cNvPr id="5501635" name="Line 300">
          <a:extLst>
            <a:ext uri="{FF2B5EF4-FFF2-40B4-BE49-F238E27FC236}">
              <a16:creationId xmlns:a16="http://schemas.microsoft.com/office/drawing/2014/main" id="{00000000-0008-0000-0700-0000C3F25300}"/>
            </a:ext>
          </a:extLst>
        </xdr:cNvPr>
        <xdr:cNvSpPr>
          <a:spLocks noChangeShapeType="1"/>
        </xdr:cNvSpPr>
      </xdr:nvSpPr>
      <xdr:spPr bwMode="auto">
        <a:xfrm>
          <a:off x="4279900" y="16052800"/>
          <a:ext cx="476250" cy="0"/>
        </a:xfrm>
        <a:prstGeom prst="line">
          <a:avLst/>
        </a:prstGeom>
        <a:noFill/>
        <a:ln w="9525">
          <a:solidFill>
            <a:srgbClr val="000000"/>
          </a:solidFill>
          <a:round/>
          <a:headEnd/>
          <a:tailEnd/>
        </a:ln>
      </xdr:spPr>
    </xdr:sp>
    <xdr:clientData/>
  </xdr:twoCellAnchor>
  <xdr:twoCellAnchor>
    <xdr:from>
      <xdr:col>7</xdr:col>
      <xdr:colOff>152400</xdr:colOff>
      <xdr:row>103</xdr:row>
      <xdr:rowOff>0</xdr:rowOff>
    </xdr:from>
    <xdr:to>
      <xdr:col>7</xdr:col>
      <xdr:colOff>152400</xdr:colOff>
      <xdr:row>104</xdr:row>
      <xdr:rowOff>12700</xdr:rowOff>
    </xdr:to>
    <xdr:sp macro="" textlink="">
      <xdr:nvSpPr>
        <xdr:cNvPr id="5501636" name="Line 301">
          <a:extLst>
            <a:ext uri="{FF2B5EF4-FFF2-40B4-BE49-F238E27FC236}">
              <a16:creationId xmlns:a16="http://schemas.microsoft.com/office/drawing/2014/main" id="{00000000-0008-0000-0700-0000C4F25300}"/>
            </a:ext>
          </a:extLst>
        </xdr:cNvPr>
        <xdr:cNvSpPr>
          <a:spLocks noChangeShapeType="1"/>
        </xdr:cNvSpPr>
      </xdr:nvSpPr>
      <xdr:spPr bwMode="auto">
        <a:xfrm>
          <a:off x="6292850" y="17138650"/>
          <a:ext cx="0" cy="184150"/>
        </a:xfrm>
        <a:prstGeom prst="line">
          <a:avLst/>
        </a:prstGeom>
        <a:noFill/>
        <a:ln w="9525">
          <a:solidFill>
            <a:srgbClr val="000000"/>
          </a:solidFill>
          <a:round/>
          <a:headEnd/>
          <a:tailEnd/>
        </a:ln>
      </xdr:spPr>
    </xdr:sp>
    <xdr:clientData/>
  </xdr:twoCellAnchor>
  <xdr:twoCellAnchor>
    <xdr:from>
      <xdr:col>6</xdr:col>
      <xdr:colOff>0</xdr:colOff>
      <xdr:row>81</xdr:row>
      <xdr:rowOff>76200</xdr:rowOff>
    </xdr:from>
    <xdr:to>
      <xdr:col>6</xdr:col>
      <xdr:colOff>152400</xdr:colOff>
      <xdr:row>81</xdr:row>
      <xdr:rowOff>76200</xdr:rowOff>
    </xdr:to>
    <xdr:sp macro="" textlink="">
      <xdr:nvSpPr>
        <xdr:cNvPr id="5501637" name="Line 302">
          <a:extLst>
            <a:ext uri="{FF2B5EF4-FFF2-40B4-BE49-F238E27FC236}">
              <a16:creationId xmlns:a16="http://schemas.microsoft.com/office/drawing/2014/main" id="{00000000-0008-0000-0700-0000C5F25300}"/>
            </a:ext>
          </a:extLst>
        </xdr:cNvPr>
        <xdr:cNvSpPr>
          <a:spLocks noChangeShapeType="1"/>
        </xdr:cNvSpPr>
      </xdr:nvSpPr>
      <xdr:spPr bwMode="auto">
        <a:xfrm>
          <a:off x="4279900" y="13601700"/>
          <a:ext cx="152400" cy="0"/>
        </a:xfrm>
        <a:prstGeom prst="line">
          <a:avLst/>
        </a:prstGeom>
        <a:noFill/>
        <a:ln w="9525">
          <a:solidFill>
            <a:srgbClr val="000000"/>
          </a:solidFill>
          <a:round/>
          <a:headEnd/>
          <a:tailEnd/>
        </a:ln>
      </xdr:spPr>
    </xdr:sp>
    <xdr:clientData/>
  </xdr:twoCellAnchor>
  <xdr:twoCellAnchor>
    <xdr:from>
      <xdr:col>6</xdr:col>
      <xdr:colOff>1778000</xdr:colOff>
      <xdr:row>83</xdr:row>
      <xdr:rowOff>82550</xdr:rowOff>
    </xdr:from>
    <xdr:to>
      <xdr:col>9</xdr:col>
      <xdr:colOff>0</xdr:colOff>
      <xdr:row>83</xdr:row>
      <xdr:rowOff>82550</xdr:rowOff>
    </xdr:to>
    <xdr:sp macro="" textlink="">
      <xdr:nvSpPr>
        <xdr:cNvPr id="5501638" name="Line 303">
          <a:extLst>
            <a:ext uri="{FF2B5EF4-FFF2-40B4-BE49-F238E27FC236}">
              <a16:creationId xmlns:a16="http://schemas.microsoft.com/office/drawing/2014/main" id="{00000000-0008-0000-0700-0000C6F25300}"/>
            </a:ext>
          </a:extLst>
        </xdr:cNvPr>
        <xdr:cNvSpPr>
          <a:spLocks noChangeShapeType="1"/>
        </xdr:cNvSpPr>
      </xdr:nvSpPr>
      <xdr:spPr bwMode="auto">
        <a:xfrm flipV="1">
          <a:off x="6057900" y="13944600"/>
          <a:ext cx="1022350" cy="0"/>
        </a:xfrm>
        <a:prstGeom prst="line">
          <a:avLst/>
        </a:prstGeom>
        <a:noFill/>
        <a:ln w="9525">
          <a:solidFill>
            <a:srgbClr val="92D050"/>
          </a:solidFill>
          <a:prstDash val="sysDot"/>
          <a:round/>
          <a:headEnd/>
          <a:tailEnd/>
        </a:ln>
      </xdr:spPr>
    </xdr:sp>
    <xdr:clientData/>
  </xdr:twoCellAnchor>
  <xdr:twoCellAnchor>
    <xdr:from>
      <xdr:col>7</xdr:col>
      <xdr:colOff>190500</xdr:colOff>
      <xdr:row>85</xdr:row>
      <xdr:rowOff>76200</xdr:rowOff>
    </xdr:from>
    <xdr:to>
      <xdr:col>9</xdr:col>
      <xdr:colOff>0</xdr:colOff>
      <xdr:row>85</xdr:row>
      <xdr:rowOff>76200</xdr:rowOff>
    </xdr:to>
    <xdr:sp macro="" textlink="">
      <xdr:nvSpPr>
        <xdr:cNvPr id="5501639" name="Line 304">
          <a:extLst>
            <a:ext uri="{FF2B5EF4-FFF2-40B4-BE49-F238E27FC236}">
              <a16:creationId xmlns:a16="http://schemas.microsoft.com/office/drawing/2014/main" id="{00000000-0008-0000-0700-0000C7F25300}"/>
            </a:ext>
          </a:extLst>
        </xdr:cNvPr>
        <xdr:cNvSpPr>
          <a:spLocks noChangeShapeType="1"/>
        </xdr:cNvSpPr>
      </xdr:nvSpPr>
      <xdr:spPr bwMode="auto">
        <a:xfrm flipV="1">
          <a:off x="6330950" y="14274800"/>
          <a:ext cx="749300" cy="0"/>
        </a:xfrm>
        <a:prstGeom prst="line">
          <a:avLst/>
        </a:prstGeom>
        <a:noFill/>
        <a:ln w="9525">
          <a:solidFill>
            <a:srgbClr val="92D050"/>
          </a:solidFill>
          <a:prstDash val="sysDot"/>
          <a:round/>
          <a:headEnd/>
          <a:tailEnd/>
        </a:ln>
      </xdr:spPr>
    </xdr:sp>
    <xdr:clientData/>
  </xdr:twoCellAnchor>
  <xdr:twoCellAnchor>
    <xdr:from>
      <xdr:col>8</xdr:col>
      <xdr:colOff>44450</xdr:colOff>
      <xdr:row>87</xdr:row>
      <xdr:rowOff>133350</xdr:rowOff>
    </xdr:from>
    <xdr:to>
      <xdr:col>9</xdr:col>
      <xdr:colOff>0</xdr:colOff>
      <xdr:row>87</xdr:row>
      <xdr:rowOff>133350</xdr:rowOff>
    </xdr:to>
    <xdr:sp macro="" textlink="">
      <xdr:nvSpPr>
        <xdr:cNvPr id="5501640" name="Line 305">
          <a:extLst>
            <a:ext uri="{FF2B5EF4-FFF2-40B4-BE49-F238E27FC236}">
              <a16:creationId xmlns:a16="http://schemas.microsoft.com/office/drawing/2014/main" id="{00000000-0008-0000-0700-0000C8F25300}"/>
            </a:ext>
          </a:extLst>
        </xdr:cNvPr>
        <xdr:cNvSpPr>
          <a:spLocks noChangeShapeType="1"/>
        </xdr:cNvSpPr>
      </xdr:nvSpPr>
      <xdr:spPr bwMode="auto">
        <a:xfrm flipV="1">
          <a:off x="6654800" y="14655800"/>
          <a:ext cx="425450" cy="0"/>
        </a:xfrm>
        <a:prstGeom prst="line">
          <a:avLst/>
        </a:prstGeom>
        <a:noFill/>
        <a:ln w="9525">
          <a:solidFill>
            <a:srgbClr val="92D050"/>
          </a:solidFill>
          <a:prstDash val="sysDot"/>
          <a:round/>
          <a:headEnd/>
          <a:tailEnd/>
        </a:ln>
      </xdr:spPr>
    </xdr:sp>
    <xdr:clientData/>
  </xdr:twoCellAnchor>
  <xdr:twoCellAnchor>
    <xdr:from>
      <xdr:col>8</xdr:col>
      <xdr:colOff>488950</xdr:colOff>
      <xdr:row>89</xdr:row>
      <xdr:rowOff>88900</xdr:rowOff>
    </xdr:from>
    <xdr:to>
      <xdr:col>9</xdr:col>
      <xdr:colOff>0</xdr:colOff>
      <xdr:row>89</xdr:row>
      <xdr:rowOff>88900</xdr:rowOff>
    </xdr:to>
    <xdr:sp macro="" textlink="">
      <xdr:nvSpPr>
        <xdr:cNvPr id="5501641" name="Line 307">
          <a:extLst>
            <a:ext uri="{FF2B5EF4-FFF2-40B4-BE49-F238E27FC236}">
              <a16:creationId xmlns:a16="http://schemas.microsoft.com/office/drawing/2014/main" id="{00000000-0008-0000-0700-0000C9F25300}"/>
            </a:ext>
          </a:extLst>
        </xdr:cNvPr>
        <xdr:cNvSpPr>
          <a:spLocks noChangeShapeType="1"/>
        </xdr:cNvSpPr>
      </xdr:nvSpPr>
      <xdr:spPr bwMode="auto">
        <a:xfrm flipV="1">
          <a:off x="7080250" y="14935200"/>
          <a:ext cx="0" cy="0"/>
        </a:xfrm>
        <a:prstGeom prst="line">
          <a:avLst/>
        </a:prstGeom>
        <a:noFill/>
        <a:ln w="9525">
          <a:solidFill>
            <a:srgbClr val="000000"/>
          </a:solidFill>
          <a:round/>
          <a:headEnd/>
          <a:tailEnd/>
        </a:ln>
      </xdr:spPr>
    </xdr:sp>
    <xdr:clientData/>
  </xdr:twoCellAnchor>
  <xdr:twoCellAnchor>
    <xdr:from>
      <xdr:col>8</xdr:col>
      <xdr:colOff>44450</xdr:colOff>
      <xdr:row>91</xdr:row>
      <xdr:rowOff>76200</xdr:rowOff>
    </xdr:from>
    <xdr:to>
      <xdr:col>9</xdr:col>
      <xdr:colOff>12700</xdr:colOff>
      <xdr:row>91</xdr:row>
      <xdr:rowOff>76200</xdr:rowOff>
    </xdr:to>
    <xdr:sp macro="" textlink="">
      <xdr:nvSpPr>
        <xdr:cNvPr id="5501642" name="Line 308">
          <a:extLst>
            <a:ext uri="{FF2B5EF4-FFF2-40B4-BE49-F238E27FC236}">
              <a16:creationId xmlns:a16="http://schemas.microsoft.com/office/drawing/2014/main" id="{00000000-0008-0000-0700-0000CAF25300}"/>
            </a:ext>
          </a:extLst>
        </xdr:cNvPr>
        <xdr:cNvSpPr>
          <a:spLocks noChangeShapeType="1"/>
        </xdr:cNvSpPr>
      </xdr:nvSpPr>
      <xdr:spPr bwMode="auto">
        <a:xfrm flipH="1" flipV="1">
          <a:off x="6654800" y="15252700"/>
          <a:ext cx="438150" cy="0"/>
        </a:xfrm>
        <a:prstGeom prst="line">
          <a:avLst/>
        </a:prstGeom>
        <a:noFill/>
        <a:ln w="9525">
          <a:solidFill>
            <a:srgbClr val="92D050"/>
          </a:solidFill>
          <a:prstDash val="sysDot"/>
          <a:round/>
          <a:headEnd type="none" w="sm" len="sm"/>
          <a:tailEnd type="none" w="sm" len="sm"/>
        </a:ln>
      </xdr:spPr>
    </xdr:sp>
    <xdr:clientData/>
  </xdr:twoCellAnchor>
  <xdr:twoCellAnchor>
    <xdr:from>
      <xdr:col>8</xdr:col>
      <xdr:colOff>488950</xdr:colOff>
      <xdr:row>96</xdr:row>
      <xdr:rowOff>76200</xdr:rowOff>
    </xdr:from>
    <xdr:to>
      <xdr:col>9</xdr:col>
      <xdr:colOff>0</xdr:colOff>
      <xdr:row>96</xdr:row>
      <xdr:rowOff>76200</xdr:rowOff>
    </xdr:to>
    <xdr:sp macro="" textlink="">
      <xdr:nvSpPr>
        <xdr:cNvPr id="5501643" name="Line 309">
          <a:extLst>
            <a:ext uri="{FF2B5EF4-FFF2-40B4-BE49-F238E27FC236}">
              <a16:creationId xmlns:a16="http://schemas.microsoft.com/office/drawing/2014/main" id="{00000000-0008-0000-0700-0000CBF25300}"/>
            </a:ext>
          </a:extLst>
        </xdr:cNvPr>
        <xdr:cNvSpPr>
          <a:spLocks noChangeShapeType="1"/>
        </xdr:cNvSpPr>
      </xdr:nvSpPr>
      <xdr:spPr bwMode="auto">
        <a:xfrm>
          <a:off x="7080250" y="16052800"/>
          <a:ext cx="0" cy="0"/>
        </a:xfrm>
        <a:prstGeom prst="line">
          <a:avLst/>
        </a:prstGeom>
        <a:noFill/>
        <a:ln w="9525">
          <a:solidFill>
            <a:srgbClr val="000000"/>
          </a:solidFill>
          <a:round/>
          <a:headEnd/>
          <a:tailEnd/>
        </a:ln>
      </xdr:spPr>
    </xdr:sp>
    <xdr:clientData/>
  </xdr:twoCellAnchor>
  <xdr:twoCellAnchor>
    <xdr:from>
      <xdr:col>8</xdr:col>
      <xdr:colOff>488950</xdr:colOff>
      <xdr:row>100</xdr:row>
      <xdr:rowOff>88900</xdr:rowOff>
    </xdr:from>
    <xdr:to>
      <xdr:col>9</xdr:col>
      <xdr:colOff>0</xdr:colOff>
      <xdr:row>100</xdr:row>
      <xdr:rowOff>88900</xdr:rowOff>
    </xdr:to>
    <xdr:sp macro="" textlink="">
      <xdr:nvSpPr>
        <xdr:cNvPr id="5501644" name="Line 310">
          <a:extLst>
            <a:ext uri="{FF2B5EF4-FFF2-40B4-BE49-F238E27FC236}">
              <a16:creationId xmlns:a16="http://schemas.microsoft.com/office/drawing/2014/main" id="{00000000-0008-0000-0700-0000CCF25300}"/>
            </a:ext>
          </a:extLst>
        </xdr:cNvPr>
        <xdr:cNvSpPr>
          <a:spLocks noChangeShapeType="1"/>
        </xdr:cNvSpPr>
      </xdr:nvSpPr>
      <xdr:spPr bwMode="auto">
        <a:xfrm>
          <a:off x="7080250" y="16725900"/>
          <a:ext cx="0" cy="0"/>
        </a:xfrm>
        <a:prstGeom prst="line">
          <a:avLst/>
        </a:prstGeom>
        <a:noFill/>
        <a:ln w="9525">
          <a:solidFill>
            <a:srgbClr val="000000"/>
          </a:solidFill>
          <a:round/>
          <a:headEnd/>
          <a:tailEnd/>
        </a:ln>
      </xdr:spPr>
    </xdr:sp>
    <xdr:clientData/>
  </xdr:twoCellAnchor>
  <xdr:twoCellAnchor>
    <xdr:from>
      <xdr:col>8</xdr:col>
      <xdr:colOff>222250</xdr:colOff>
      <xdr:row>89</xdr:row>
      <xdr:rowOff>88900</xdr:rowOff>
    </xdr:from>
    <xdr:to>
      <xdr:col>8</xdr:col>
      <xdr:colOff>463550</xdr:colOff>
      <xdr:row>89</xdr:row>
      <xdr:rowOff>88900</xdr:rowOff>
    </xdr:to>
    <xdr:sp macro="" textlink="">
      <xdr:nvSpPr>
        <xdr:cNvPr id="5501645" name="Line 278">
          <a:extLst>
            <a:ext uri="{FF2B5EF4-FFF2-40B4-BE49-F238E27FC236}">
              <a16:creationId xmlns:a16="http://schemas.microsoft.com/office/drawing/2014/main" id="{00000000-0008-0000-0700-0000CDF25300}"/>
            </a:ext>
          </a:extLst>
        </xdr:cNvPr>
        <xdr:cNvSpPr>
          <a:spLocks noChangeShapeType="1"/>
        </xdr:cNvSpPr>
      </xdr:nvSpPr>
      <xdr:spPr bwMode="auto">
        <a:xfrm>
          <a:off x="6832600" y="14935200"/>
          <a:ext cx="241300" cy="0"/>
        </a:xfrm>
        <a:prstGeom prst="line">
          <a:avLst/>
        </a:prstGeom>
        <a:noFill/>
        <a:ln w="6350">
          <a:solidFill>
            <a:srgbClr val="000000"/>
          </a:solidFill>
          <a:round/>
          <a:headEnd/>
          <a:tailEnd/>
        </a:ln>
      </xdr:spPr>
    </xdr:sp>
    <xdr:clientData/>
  </xdr:twoCellAnchor>
  <xdr:twoCellAnchor>
    <xdr:from>
      <xdr:col>17</xdr:col>
      <xdr:colOff>69850</xdr:colOff>
      <xdr:row>1</xdr:row>
      <xdr:rowOff>12700</xdr:rowOff>
    </xdr:from>
    <xdr:to>
      <xdr:col>19</xdr:col>
      <xdr:colOff>0</xdr:colOff>
      <xdr:row>31</xdr:row>
      <xdr:rowOff>101600</xdr:rowOff>
    </xdr:to>
    <xdr:grpSp>
      <xdr:nvGrpSpPr>
        <xdr:cNvPr id="5501646" name="Group 232">
          <a:extLst>
            <a:ext uri="{FF2B5EF4-FFF2-40B4-BE49-F238E27FC236}">
              <a16:creationId xmlns:a16="http://schemas.microsoft.com/office/drawing/2014/main" id="{00000000-0008-0000-0700-0000CEF25300}"/>
            </a:ext>
          </a:extLst>
        </xdr:cNvPr>
        <xdr:cNvGrpSpPr>
          <a:grpSpLocks/>
        </xdr:cNvGrpSpPr>
      </xdr:nvGrpSpPr>
      <xdr:grpSpPr bwMode="auto">
        <a:xfrm>
          <a:off x="13427710" y="187960"/>
          <a:ext cx="2155190" cy="5262880"/>
          <a:chOff x="3421" y="5379"/>
          <a:chExt cx="2289" cy="5759"/>
        </a:xfrm>
      </xdr:grpSpPr>
      <xdr:grpSp>
        <xdr:nvGrpSpPr>
          <xdr:cNvPr id="5501685" name="Group 233">
            <a:extLst>
              <a:ext uri="{FF2B5EF4-FFF2-40B4-BE49-F238E27FC236}">
                <a16:creationId xmlns:a16="http://schemas.microsoft.com/office/drawing/2014/main" id="{00000000-0008-0000-0700-0000F5F25300}"/>
              </a:ext>
            </a:extLst>
          </xdr:cNvPr>
          <xdr:cNvGrpSpPr>
            <a:grpSpLocks/>
          </xdr:cNvGrpSpPr>
        </xdr:nvGrpSpPr>
        <xdr:grpSpPr bwMode="auto">
          <a:xfrm>
            <a:off x="4047" y="5379"/>
            <a:ext cx="515" cy="4096"/>
            <a:chOff x="4047" y="5379"/>
            <a:chExt cx="515" cy="4096"/>
          </a:xfrm>
        </xdr:grpSpPr>
        <xdr:sp macro="" textlink="">
          <xdr:nvSpPr>
            <xdr:cNvPr id="5501703" name="Arc 234">
              <a:extLst>
                <a:ext uri="{FF2B5EF4-FFF2-40B4-BE49-F238E27FC236}">
                  <a16:creationId xmlns:a16="http://schemas.microsoft.com/office/drawing/2014/main" id="{00000000-0008-0000-0700-000007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704" name="Group 235">
              <a:extLst>
                <a:ext uri="{FF2B5EF4-FFF2-40B4-BE49-F238E27FC236}">
                  <a16:creationId xmlns:a16="http://schemas.microsoft.com/office/drawing/2014/main" id="{00000000-0008-0000-0700-000008F35300}"/>
                </a:ext>
              </a:extLst>
            </xdr:cNvPr>
            <xdr:cNvGrpSpPr>
              <a:grpSpLocks/>
            </xdr:cNvGrpSpPr>
          </xdr:nvGrpSpPr>
          <xdr:grpSpPr bwMode="auto">
            <a:xfrm>
              <a:off x="4047" y="6306"/>
              <a:ext cx="285" cy="3169"/>
              <a:chOff x="4050" y="6306"/>
              <a:chExt cx="285" cy="3169"/>
            </a:xfrm>
          </xdr:grpSpPr>
          <xdr:sp macro="" textlink="">
            <xdr:nvSpPr>
              <xdr:cNvPr id="5501705" name="Line 236">
                <a:extLst>
                  <a:ext uri="{FF2B5EF4-FFF2-40B4-BE49-F238E27FC236}">
                    <a16:creationId xmlns:a16="http://schemas.microsoft.com/office/drawing/2014/main" id="{00000000-0008-0000-0700-000009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706" name="Line 237">
                <a:extLst>
                  <a:ext uri="{FF2B5EF4-FFF2-40B4-BE49-F238E27FC236}">
                    <a16:creationId xmlns:a16="http://schemas.microsoft.com/office/drawing/2014/main" id="{00000000-0008-0000-0700-00000A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07" name="Line 238">
                <a:extLst>
                  <a:ext uri="{FF2B5EF4-FFF2-40B4-BE49-F238E27FC236}">
                    <a16:creationId xmlns:a16="http://schemas.microsoft.com/office/drawing/2014/main" id="{00000000-0008-0000-0700-00000B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08" name="Line 239">
                <a:extLst>
                  <a:ext uri="{FF2B5EF4-FFF2-40B4-BE49-F238E27FC236}">
                    <a16:creationId xmlns:a16="http://schemas.microsoft.com/office/drawing/2014/main" id="{00000000-0008-0000-0700-00000C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09" name="Line 240">
                <a:extLst>
                  <a:ext uri="{FF2B5EF4-FFF2-40B4-BE49-F238E27FC236}">
                    <a16:creationId xmlns:a16="http://schemas.microsoft.com/office/drawing/2014/main" id="{00000000-0008-0000-0700-00000D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grpSp>
        <xdr:nvGrpSpPr>
          <xdr:cNvPr id="5501686" name="Group 241">
            <a:extLst>
              <a:ext uri="{FF2B5EF4-FFF2-40B4-BE49-F238E27FC236}">
                <a16:creationId xmlns:a16="http://schemas.microsoft.com/office/drawing/2014/main" id="{00000000-0008-0000-0700-0000F6F25300}"/>
              </a:ext>
            </a:extLst>
          </xdr:cNvPr>
          <xdr:cNvGrpSpPr>
            <a:grpSpLocks/>
          </xdr:cNvGrpSpPr>
        </xdr:nvGrpSpPr>
        <xdr:grpSpPr bwMode="auto">
          <a:xfrm flipH="1">
            <a:off x="4560" y="5379"/>
            <a:ext cx="515" cy="4096"/>
            <a:chOff x="4047" y="5379"/>
            <a:chExt cx="515" cy="4096"/>
          </a:xfrm>
        </xdr:grpSpPr>
        <xdr:sp macro="" textlink="">
          <xdr:nvSpPr>
            <xdr:cNvPr id="5501696" name="Arc 242">
              <a:extLst>
                <a:ext uri="{FF2B5EF4-FFF2-40B4-BE49-F238E27FC236}">
                  <a16:creationId xmlns:a16="http://schemas.microsoft.com/office/drawing/2014/main" id="{00000000-0008-0000-0700-000000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697" name="Group 243">
              <a:extLst>
                <a:ext uri="{FF2B5EF4-FFF2-40B4-BE49-F238E27FC236}">
                  <a16:creationId xmlns:a16="http://schemas.microsoft.com/office/drawing/2014/main" id="{00000000-0008-0000-0700-000001F35300}"/>
                </a:ext>
              </a:extLst>
            </xdr:cNvPr>
            <xdr:cNvGrpSpPr>
              <a:grpSpLocks/>
            </xdr:cNvGrpSpPr>
          </xdr:nvGrpSpPr>
          <xdr:grpSpPr bwMode="auto">
            <a:xfrm>
              <a:off x="4047" y="6306"/>
              <a:ext cx="285" cy="3169"/>
              <a:chOff x="4050" y="6306"/>
              <a:chExt cx="285" cy="3169"/>
            </a:xfrm>
          </xdr:grpSpPr>
          <xdr:sp macro="" textlink="">
            <xdr:nvSpPr>
              <xdr:cNvPr id="5501698" name="Line 244">
                <a:extLst>
                  <a:ext uri="{FF2B5EF4-FFF2-40B4-BE49-F238E27FC236}">
                    <a16:creationId xmlns:a16="http://schemas.microsoft.com/office/drawing/2014/main" id="{00000000-0008-0000-0700-000002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699" name="Line 245">
                <a:extLst>
                  <a:ext uri="{FF2B5EF4-FFF2-40B4-BE49-F238E27FC236}">
                    <a16:creationId xmlns:a16="http://schemas.microsoft.com/office/drawing/2014/main" id="{00000000-0008-0000-0700-000003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00" name="Line 246">
                <a:extLst>
                  <a:ext uri="{FF2B5EF4-FFF2-40B4-BE49-F238E27FC236}">
                    <a16:creationId xmlns:a16="http://schemas.microsoft.com/office/drawing/2014/main" id="{00000000-0008-0000-0700-000004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01" name="Line 247">
                <a:extLst>
                  <a:ext uri="{FF2B5EF4-FFF2-40B4-BE49-F238E27FC236}">
                    <a16:creationId xmlns:a16="http://schemas.microsoft.com/office/drawing/2014/main" id="{00000000-0008-0000-0700-000005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02" name="Line 248">
                <a:extLst>
                  <a:ext uri="{FF2B5EF4-FFF2-40B4-BE49-F238E27FC236}">
                    <a16:creationId xmlns:a16="http://schemas.microsoft.com/office/drawing/2014/main" id="{00000000-0008-0000-0700-000006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sp macro="" textlink="">
        <xdr:nvSpPr>
          <xdr:cNvPr id="5501687" name="Line 249">
            <a:extLst>
              <a:ext uri="{FF2B5EF4-FFF2-40B4-BE49-F238E27FC236}">
                <a16:creationId xmlns:a16="http://schemas.microsoft.com/office/drawing/2014/main" id="{00000000-0008-0000-0700-0000F7F25300}"/>
              </a:ext>
            </a:extLst>
          </xdr:cNvPr>
          <xdr:cNvSpPr>
            <a:spLocks noChangeShapeType="1"/>
          </xdr:cNvSpPr>
        </xdr:nvSpPr>
        <xdr:spPr bwMode="auto">
          <a:xfrm>
            <a:off x="4332" y="9310"/>
            <a:ext cx="2" cy="1319"/>
          </a:xfrm>
          <a:prstGeom prst="line">
            <a:avLst/>
          </a:prstGeom>
          <a:noFill/>
          <a:ln w="9525">
            <a:solidFill>
              <a:srgbClr val="00B0F0"/>
            </a:solidFill>
            <a:round/>
            <a:headEnd/>
            <a:tailEnd/>
          </a:ln>
        </xdr:spPr>
      </xdr:sp>
      <xdr:sp macro="" textlink="">
        <xdr:nvSpPr>
          <xdr:cNvPr id="5501688" name="Line 250">
            <a:extLst>
              <a:ext uri="{FF2B5EF4-FFF2-40B4-BE49-F238E27FC236}">
                <a16:creationId xmlns:a16="http://schemas.microsoft.com/office/drawing/2014/main" id="{00000000-0008-0000-0700-0000F8F25300}"/>
              </a:ext>
            </a:extLst>
          </xdr:cNvPr>
          <xdr:cNvSpPr>
            <a:spLocks noChangeShapeType="1"/>
          </xdr:cNvSpPr>
        </xdr:nvSpPr>
        <xdr:spPr bwMode="auto">
          <a:xfrm>
            <a:off x="4790" y="9310"/>
            <a:ext cx="0" cy="1319"/>
          </a:xfrm>
          <a:prstGeom prst="line">
            <a:avLst/>
          </a:prstGeom>
          <a:noFill/>
          <a:ln w="9525">
            <a:solidFill>
              <a:srgbClr val="00B0F0"/>
            </a:solidFill>
            <a:round/>
            <a:headEnd/>
            <a:tailEnd/>
          </a:ln>
        </xdr:spPr>
      </xdr:sp>
      <xdr:sp macro="" textlink="">
        <xdr:nvSpPr>
          <xdr:cNvPr id="5501689" name="Line 251">
            <a:extLst>
              <a:ext uri="{FF2B5EF4-FFF2-40B4-BE49-F238E27FC236}">
                <a16:creationId xmlns:a16="http://schemas.microsoft.com/office/drawing/2014/main" id="{00000000-0008-0000-0700-0000F9F25300}"/>
              </a:ext>
            </a:extLst>
          </xdr:cNvPr>
          <xdr:cNvSpPr>
            <a:spLocks noChangeShapeType="1"/>
          </xdr:cNvSpPr>
        </xdr:nvSpPr>
        <xdr:spPr bwMode="auto">
          <a:xfrm>
            <a:off x="4330" y="10629"/>
            <a:ext cx="458" cy="0"/>
          </a:xfrm>
          <a:prstGeom prst="line">
            <a:avLst/>
          </a:prstGeom>
          <a:noFill/>
          <a:ln w="9525">
            <a:solidFill>
              <a:srgbClr val="00B0F0"/>
            </a:solidFill>
            <a:round/>
            <a:headEnd/>
            <a:tailEnd/>
          </a:ln>
        </xdr:spPr>
      </xdr:sp>
      <xdr:sp macro="" textlink="">
        <xdr:nvSpPr>
          <xdr:cNvPr id="5501690" name="Line 252">
            <a:extLst>
              <a:ext uri="{FF2B5EF4-FFF2-40B4-BE49-F238E27FC236}">
                <a16:creationId xmlns:a16="http://schemas.microsoft.com/office/drawing/2014/main" id="{00000000-0008-0000-0700-0000FAF25300}"/>
              </a:ext>
            </a:extLst>
          </xdr:cNvPr>
          <xdr:cNvSpPr>
            <a:spLocks noChangeShapeType="1"/>
          </xdr:cNvSpPr>
        </xdr:nvSpPr>
        <xdr:spPr bwMode="auto">
          <a:xfrm flipV="1">
            <a:off x="5709" y="10163"/>
            <a:ext cx="1" cy="946"/>
          </a:xfrm>
          <a:prstGeom prst="line">
            <a:avLst/>
          </a:prstGeom>
          <a:noFill/>
          <a:ln w="9525">
            <a:solidFill>
              <a:srgbClr val="00B0F0"/>
            </a:solidFill>
            <a:round/>
            <a:headEnd/>
            <a:tailEnd/>
          </a:ln>
        </xdr:spPr>
      </xdr:sp>
      <xdr:sp macro="" textlink="">
        <xdr:nvSpPr>
          <xdr:cNvPr id="5501691" name="Line 253">
            <a:extLst>
              <a:ext uri="{FF2B5EF4-FFF2-40B4-BE49-F238E27FC236}">
                <a16:creationId xmlns:a16="http://schemas.microsoft.com/office/drawing/2014/main" id="{00000000-0008-0000-0700-0000FBF25300}"/>
              </a:ext>
            </a:extLst>
          </xdr:cNvPr>
          <xdr:cNvSpPr>
            <a:spLocks noChangeShapeType="1"/>
          </xdr:cNvSpPr>
        </xdr:nvSpPr>
        <xdr:spPr bwMode="auto">
          <a:xfrm>
            <a:off x="4796" y="10419"/>
            <a:ext cx="909" cy="712"/>
          </a:xfrm>
          <a:prstGeom prst="line">
            <a:avLst/>
          </a:prstGeom>
          <a:noFill/>
          <a:ln w="9525">
            <a:solidFill>
              <a:srgbClr val="00B0F0"/>
            </a:solidFill>
            <a:round/>
            <a:headEnd/>
            <a:tailEnd/>
          </a:ln>
        </xdr:spPr>
      </xdr:sp>
      <xdr:sp macro="" textlink="">
        <xdr:nvSpPr>
          <xdr:cNvPr id="5501692" name="Line 254">
            <a:extLst>
              <a:ext uri="{FF2B5EF4-FFF2-40B4-BE49-F238E27FC236}">
                <a16:creationId xmlns:a16="http://schemas.microsoft.com/office/drawing/2014/main" id="{00000000-0008-0000-0700-0000FCF25300}"/>
              </a:ext>
            </a:extLst>
          </xdr:cNvPr>
          <xdr:cNvSpPr>
            <a:spLocks noChangeShapeType="1"/>
          </xdr:cNvSpPr>
        </xdr:nvSpPr>
        <xdr:spPr bwMode="auto">
          <a:xfrm flipH="1" flipV="1">
            <a:off x="4804" y="8797"/>
            <a:ext cx="905" cy="1372"/>
          </a:xfrm>
          <a:prstGeom prst="line">
            <a:avLst/>
          </a:prstGeom>
          <a:noFill/>
          <a:ln w="9525">
            <a:solidFill>
              <a:srgbClr val="00B0F0"/>
            </a:solidFill>
            <a:round/>
            <a:headEnd/>
            <a:tailEnd/>
          </a:ln>
        </xdr:spPr>
      </xdr:sp>
      <xdr:sp macro="" textlink="">
        <xdr:nvSpPr>
          <xdr:cNvPr id="5501693" name="Line 255">
            <a:extLst>
              <a:ext uri="{FF2B5EF4-FFF2-40B4-BE49-F238E27FC236}">
                <a16:creationId xmlns:a16="http://schemas.microsoft.com/office/drawing/2014/main" id="{00000000-0008-0000-0700-0000FDF25300}"/>
              </a:ext>
            </a:extLst>
          </xdr:cNvPr>
          <xdr:cNvSpPr>
            <a:spLocks noChangeShapeType="1"/>
          </xdr:cNvSpPr>
        </xdr:nvSpPr>
        <xdr:spPr bwMode="auto">
          <a:xfrm flipH="1" flipV="1">
            <a:off x="3421" y="10178"/>
            <a:ext cx="1" cy="946"/>
          </a:xfrm>
          <a:prstGeom prst="line">
            <a:avLst/>
          </a:prstGeom>
          <a:noFill/>
          <a:ln w="9525">
            <a:solidFill>
              <a:srgbClr val="00B0F0"/>
            </a:solidFill>
            <a:round/>
            <a:headEnd/>
            <a:tailEnd/>
          </a:ln>
        </xdr:spPr>
      </xdr:sp>
      <xdr:sp macro="" textlink="">
        <xdr:nvSpPr>
          <xdr:cNvPr id="5501694" name="Line 256">
            <a:extLst>
              <a:ext uri="{FF2B5EF4-FFF2-40B4-BE49-F238E27FC236}">
                <a16:creationId xmlns:a16="http://schemas.microsoft.com/office/drawing/2014/main" id="{00000000-0008-0000-0700-0000FEF25300}"/>
              </a:ext>
            </a:extLst>
          </xdr:cNvPr>
          <xdr:cNvSpPr>
            <a:spLocks noChangeShapeType="1"/>
          </xdr:cNvSpPr>
        </xdr:nvSpPr>
        <xdr:spPr bwMode="auto">
          <a:xfrm flipH="1">
            <a:off x="3421" y="10426"/>
            <a:ext cx="909" cy="712"/>
          </a:xfrm>
          <a:prstGeom prst="line">
            <a:avLst/>
          </a:prstGeom>
          <a:noFill/>
          <a:ln w="9525">
            <a:solidFill>
              <a:srgbClr val="00B0F0"/>
            </a:solidFill>
            <a:round/>
            <a:headEnd/>
            <a:tailEnd/>
          </a:ln>
        </xdr:spPr>
      </xdr:sp>
      <xdr:sp macro="" textlink="">
        <xdr:nvSpPr>
          <xdr:cNvPr id="5501695" name="Line 257">
            <a:extLst>
              <a:ext uri="{FF2B5EF4-FFF2-40B4-BE49-F238E27FC236}">
                <a16:creationId xmlns:a16="http://schemas.microsoft.com/office/drawing/2014/main" id="{00000000-0008-0000-0700-0000FFF25300}"/>
              </a:ext>
            </a:extLst>
          </xdr:cNvPr>
          <xdr:cNvSpPr>
            <a:spLocks noChangeShapeType="1"/>
          </xdr:cNvSpPr>
        </xdr:nvSpPr>
        <xdr:spPr bwMode="auto">
          <a:xfrm flipV="1">
            <a:off x="3429" y="8804"/>
            <a:ext cx="905" cy="1372"/>
          </a:xfrm>
          <a:prstGeom prst="line">
            <a:avLst/>
          </a:prstGeom>
          <a:noFill/>
          <a:ln w="9525">
            <a:solidFill>
              <a:srgbClr val="00B0F0"/>
            </a:solidFill>
            <a:round/>
            <a:headEnd/>
            <a:tailEnd/>
          </a:ln>
        </xdr:spPr>
      </xdr:sp>
    </xdr:grpSp>
    <xdr:clientData/>
  </xdr:twoCellAnchor>
  <xdr:twoCellAnchor>
    <xdr:from>
      <xdr:col>17</xdr:col>
      <xdr:colOff>831850</xdr:colOff>
      <xdr:row>11</xdr:row>
      <xdr:rowOff>101600</xdr:rowOff>
    </xdr:from>
    <xdr:to>
      <xdr:col>18</xdr:col>
      <xdr:colOff>368300</xdr:colOff>
      <xdr:row>11</xdr:row>
      <xdr:rowOff>101600</xdr:rowOff>
    </xdr:to>
    <xdr:sp macro="" textlink="">
      <xdr:nvSpPr>
        <xdr:cNvPr id="5501647" name="Line 268">
          <a:extLst>
            <a:ext uri="{FF2B5EF4-FFF2-40B4-BE49-F238E27FC236}">
              <a16:creationId xmlns:a16="http://schemas.microsoft.com/office/drawing/2014/main" id="{00000000-0008-0000-0700-0000CFF25300}"/>
            </a:ext>
          </a:extLst>
        </xdr:cNvPr>
        <xdr:cNvSpPr>
          <a:spLocks noChangeShapeType="1"/>
        </xdr:cNvSpPr>
      </xdr:nvSpPr>
      <xdr:spPr bwMode="auto">
        <a:xfrm flipV="1">
          <a:off x="14408150" y="2032000"/>
          <a:ext cx="673100" cy="0"/>
        </a:xfrm>
        <a:prstGeom prst="line">
          <a:avLst/>
        </a:prstGeom>
        <a:noFill/>
        <a:ln w="6350">
          <a:solidFill>
            <a:srgbClr val="000000"/>
          </a:solidFill>
          <a:round/>
          <a:headEnd type="triangle" w="sm" len="lg"/>
          <a:tailEnd type="triangle" w="sm" len="lg"/>
        </a:ln>
      </xdr:spPr>
    </xdr:sp>
    <xdr:clientData/>
  </xdr:twoCellAnchor>
  <xdr:twoCellAnchor>
    <xdr:from>
      <xdr:col>17</xdr:col>
      <xdr:colOff>88900</xdr:colOff>
      <xdr:row>1</xdr:row>
      <xdr:rowOff>12700</xdr:rowOff>
    </xdr:from>
    <xdr:to>
      <xdr:col>19</xdr:col>
      <xdr:colOff>336550</xdr:colOff>
      <xdr:row>1</xdr:row>
      <xdr:rowOff>12700</xdr:rowOff>
    </xdr:to>
    <xdr:sp macro="" textlink="">
      <xdr:nvSpPr>
        <xdr:cNvPr id="5501648" name="Line 269">
          <a:extLst>
            <a:ext uri="{FF2B5EF4-FFF2-40B4-BE49-F238E27FC236}">
              <a16:creationId xmlns:a16="http://schemas.microsoft.com/office/drawing/2014/main" id="{00000000-0008-0000-0700-0000D0F25300}"/>
            </a:ext>
          </a:extLst>
        </xdr:cNvPr>
        <xdr:cNvSpPr>
          <a:spLocks noChangeShapeType="1"/>
        </xdr:cNvSpPr>
      </xdr:nvSpPr>
      <xdr:spPr bwMode="auto">
        <a:xfrm flipV="1">
          <a:off x="13665200" y="184150"/>
          <a:ext cx="2520950" cy="0"/>
        </a:xfrm>
        <a:prstGeom prst="line">
          <a:avLst/>
        </a:prstGeom>
        <a:noFill/>
        <a:ln w="6350">
          <a:solidFill>
            <a:srgbClr val="000000"/>
          </a:solidFill>
          <a:round/>
          <a:headEnd/>
          <a:tailEnd/>
        </a:ln>
      </xdr:spPr>
    </xdr:sp>
    <xdr:clientData/>
  </xdr:twoCellAnchor>
  <xdr:twoCellAnchor>
    <xdr:from>
      <xdr:col>18</xdr:col>
      <xdr:colOff>1054100</xdr:colOff>
      <xdr:row>1</xdr:row>
      <xdr:rowOff>12700</xdr:rowOff>
    </xdr:from>
    <xdr:to>
      <xdr:col>18</xdr:col>
      <xdr:colOff>1054100</xdr:colOff>
      <xdr:row>28</xdr:row>
      <xdr:rowOff>139700</xdr:rowOff>
    </xdr:to>
    <xdr:sp macro="" textlink="">
      <xdr:nvSpPr>
        <xdr:cNvPr id="5501649" name="Line 270">
          <a:extLst>
            <a:ext uri="{FF2B5EF4-FFF2-40B4-BE49-F238E27FC236}">
              <a16:creationId xmlns:a16="http://schemas.microsoft.com/office/drawing/2014/main" id="{00000000-0008-0000-0700-0000D1F25300}"/>
            </a:ext>
          </a:extLst>
        </xdr:cNvPr>
        <xdr:cNvSpPr>
          <a:spLocks noChangeShapeType="1"/>
        </xdr:cNvSpPr>
      </xdr:nvSpPr>
      <xdr:spPr bwMode="auto">
        <a:xfrm>
          <a:off x="15767050" y="184150"/>
          <a:ext cx="0" cy="4705350"/>
        </a:xfrm>
        <a:prstGeom prst="line">
          <a:avLst/>
        </a:prstGeom>
        <a:noFill/>
        <a:ln w="6350">
          <a:solidFill>
            <a:srgbClr val="000000"/>
          </a:solidFill>
          <a:round/>
          <a:headEnd type="triangle" w="sm" len="lg"/>
          <a:tailEnd type="triangle" w="sm" len="lg"/>
        </a:ln>
      </xdr:spPr>
    </xdr:sp>
    <xdr:clientData/>
  </xdr:twoCellAnchor>
  <xdr:twoCellAnchor>
    <xdr:from>
      <xdr:col>17</xdr:col>
      <xdr:colOff>120650</xdr:colOff>
      <xdr:row>10</xdr:row>
      <xdr:rowOff>152400</xdr:rowOff>
    </xdr:from>
    <xdr:to>
      <xdr:col>18</xdr:col>
      <xdr:colOff>412750</xdr:colOff>
      <xdr:row>10</xdr:row>
      <xdr:rowOff>152400</xdr:rowOff>
    </xdr:to>
    <xdr:sp macro="" textlink="">
      <xdr:nvSpPr>
        <xdr:cNvPr id="5501650" name="Line 271">
          <a:extLst>
            <a:ext uri="{FF2B5EF4-FFF2-40B4-BE49-F238E27FC236}">
              <a16:creationId xmlns:a16="http://schemas.microsoft.com/office/drawing/2014/main" id="{00000000-0008-0000-0700-0000D2F25300}"/>
            </a:ext>
          </a:extLst>
        </xdr:cNvPr>
        <xdr:cNvSpPr>
          <a:spLocks noChangeShapeType="1"/>
        </xdr:cNvSpPr>
      </xdr:nvSpPr>
      <xdr:spPr bwMode="auto">
        <a:xfrm>
          <a:off x="13696950" y="1911350"/>
          <a:ext cx="1428750" cy="0"/>
        </a:xfrm>
        <a:prstGeom prst="line">
          <a:avLst/>
        </a:prstGeom>
        <a:noFill/>
        <a:ln w="6350">
          <a:solidFill>
            <a:srgbClr val="000000"/>
          </a:solidFill>
          <a:round/>
          <a:headEnd/>
          <a:tailEnd/>
        </a:ln>
      </xdr:spPr>
    </xdr:sp>
    <xdr:clientData/>
  </xdr:twoCellAnchor>
  <xdr:twoCellAnchor>
    <xdr:from>
      <xdr:col>17</xdr:col>
      <xdr:colOff>152400</xdr:colOff>
      <xdr:row>0</xdr:row>
      <xdr:rowOff>158750</xdr:rowOff>
    </xdr:from>
    <xdr:to>
      <xdr:col>17</xdr:col>
      <xdr:colOff>152400</xdr:colOff>
      <xdr:row>10</xdr:row>
      <xdr:rowOff>139700</xdr:rowOff>
    </xdr:to>
    <xdr:sp macro="" textlink="">
      <xdr:nvSpPr>
        <xdr:cNvPr id="5501651" name="Line 272">
          <a:extLst>
            <a:ext uri="{FF2B5EF4-FFF2-40B4-BE49-F238E27FC236}">
              <a16:creationId xmlns:a16="http://schemas.microsoft.com/office/drawing/2014/main" id="{00000000-0008-0000-0700-0000D3F25300}"/>
            </a:ext>
          </a:extLst>
        </xdr:cNvPr>
        <xdr:cNvSpPr>
          <a:spLocks noChangeShapeType="1"/>
        </xdr:cNvSpPr>
      </xdr:nvSpPr>
      <xdr:spPr bwMode="auto">
        <a:xfrm flipH="1">
          <a:off x="13728700" y="158750"/>
          <a:ext cx="0" cy="1739900"/>
        </a:xfrm>
        <a:prstGeom prst="line">
          <a:avLst/>
        </a:prstGeom>
        <a:noFill/>
        <a:ln w="6350">
          <a:solidFill>
            <a:srgbClr val="000000"/>
          </a:solidFill>
          <a:round/>
          <a:headEnd type="triangle" w="sm" len="lg"/>
          <a:tailEnd type="triangle" w="sm" len="lg"/>
        </a:ln>
      </xdr:spPr>
    </xdr:sp>
    <xdr:clientData/>
  </xdr:twoCellAnchor>
  <xdr:twoCellAnchor>
    <xdr:from>
      <xdr:col>16</xdr:col>
      <xdr:colOff>234950</xdr:colOff>
      <xdr:row>31</xdr:row>
      <xdr:rowOff>95250</xdr:rowOff>
    </xdr:from>
    <xdr:to>
      <xdr:col>17</xdr:col>
      <xdr:colOff>82550</xdr:colOff>
      <xdr:row>31</xdr:row>
      <xdr:rowOff>95250</xdr:rowOff>
    </xdr:to>
    <xdr:sp macro="" textlink="">
      <xdr:nvSpPr>
        <xdr:cNvPr id="5501652" name="Line 277">
          <a:extLst>
            <a:ext uri="{FF2B5EF4-FFF2-40B4-BE49-F238E27FC236}">
              <a16:creationId xmlns:a16="http://schemas.microsoft.com/office/drawing/2014/main" id="{00000000-0008-0000-0700-0000D4F25300}"/>
            </a:ext>
          </a:extLst>
        </xdr:cNvPr>
        <xdr:cNvSpPr>
          <a:spLocks noChangeShapeType="1"/>
        </xdr:cNvSpPr>
      </xdr:nvSpPr>
      <xdr:spPr bwMode="auto">
        <a:xfrm>
          <a:off x="12998450" y="5359400"/>
          <a:ext cx="660400" cy="0"/>
        </a:xfrm>
        <a:prstGeom prst="line">
          <a:avLst/>
        </a:prstGeom>
        <a:noFill/>
        <a:ln w="6350">
          <a:solidFill>
            <a:srgbClr val="000000"/>
          </a:solidFill>
          <a:round/>
          <a:headEnd/>
          <a:tailEnd/>
        </a:ln>
      </xdr:spPr>
    </xdr:sp>
    <xdr:clientData/>
  </xdr:twoCellAnchor>
  <xdr:twoCellAnchor>
    <xdr:from>
      <xdr:col>18</xdr:col>
      <xdr:colOff>196850</xdr:colOff>
      <xdr:row>29</xdr:row>
      <xdr:rowOff>88900</xdr:rowOff>
    </xdr:from>
    <xdr:to>
      <xdr:col>18</xdr:col>
      <xdr:colOff>1035050</xdr:colOff>
      <xdr:row>29</xdr:row>
      <xdr:rowOff>88900</xdr:rowOff>
    </xdr:to>
    <xdr:sp macro="" textlink="">
      <xdr:nvSpPr>
        <xdr:cNvPr id="5501653" name="Line 280">
          <a:extLst>
            <a:ext uri="{FF2B5EF4-FFF2-40B4-BE49-F238E27FC236}">
              <a16:creationId xmlns:a16="http://schemas.microsoft.com/office/drawing/2014/main" id="{00000000-0008-0000-0700-0000D5F25300}"/>
            </a:ext>
          </a:extLst>
        </xdr:cNvPr>
        <xdr:cNvSpPr>
          <a:spLocks noChangeShapeType="1"/>
        </xdr:cNvSpPr>
      </xdr:nvSpPr>
      <xdr:spPr bwMode="auto">
        <a:xfrm>
          <a:off x="14909800" y="5010150"/>
          <a:ext cx="838200" cy="0"/>
        </a:xfrm>
        <a:prstGeom prst="line">
          <a:avLst/>
        </a:prstGeom>
        <a:noFill/>
        <a:ln w="6350">
          <a:solidFill>
            <a:srgbClr val="000000"/>
          </a:solidFill>
          <a:round/>
          <a:headEnd/>
          <a:tailEnd/>
        </a:ln>
      </xdr:spPr>
    </xdr:sp>
    <xdr:clientData/>
  </xdr:twoCellAnchor>
  <xdr:twoCellAnchor>
    <xdr:from>
      <xdr:col>17</xdr:col>
      <xdr:colOff>508000</xdr:colOff>
      <xdr:row>20</xdr:row>
      <xdr:rowOff>0</xdr:rowOff>
    </xdr:from>
    <xdr:to>
      <xdr:col>17</xdr:col>
      <xdr:colOff>508000</xdr:colOff>
      <xdr:row>28</xdr:row>
      <xdr:rowOff>127000</xdr:rowOff>
    </xdr:to>
    <xdr:sp macro="" textlink="">
      <xdr:nvSpPr>
        <xdr:cNvPr id="5501654" name="Line 281">
          <a:extLst>
            <a:ext uri="{FF2B5EF4-FFF2-40B4-BE49-F238E27FC236}">
              <a16:creationId xmlns:a16="http://schemas.microsoft.com/office/drawing/2014/main" id="{00000000-0008-0000-0700-0000D6F25300}"/>
            </a:ext>
          </a:extLst>
        </xdr:cNvPr>
        <xdr:cNvSpPr>
          <a:spLocks noChangeShapeType="1"/>
        </xdr:cNvSpPr>
      </xdr:nvSpPr>
      <xdr:spPr bwMode="auto">
        <a:xfrm flipH="1">
          <a:off x="14084300" y="3422650"/>
          <a:ext cx="0" cy="1454150"/>
        </a:xfrm>
        <a:prstGeom prst="line">
          <a:avLst/>
        </a:prstGeom>
        <a:noFill/>
        <a:ln w="6350">
          <a:solidFill>
            <a:srgbClr val="000000"/>
          </a:solidFill>
          <a:round/>
          <a:headEnd type="triangle" w="sm" len="lg"/>
          <a:tailEnd type="triangle" w="sm" len="lg"/>
        </a:ln>
      </xdr:spPr>
    </xdr:sp>
    <xdr:clientData/>
  </xdr:twoCellAnchor>
  <xdr:twoCellAnchor>
    <xdr:from>
      <xdr:col>16</xdr:col>
      <xdr:colOff>311150</xdr:colOff>
      <xdr:row>27</xdr:row>
      <xdr:rowOff>133350</xdr:rowOff>
    </xdr:from>
    <xdr:to>
      <xdr:col>16</xdr:col>
      <xdr:colOff>323850</xdr:colOff>
      <xdr:row>31</xdr:row>
      <xdr:rowOff>95250</xdr:rowOff>
    </xdr:to>
    <xdr:sp macro="" textlink="">
      <xdr:nvSpPr>
        <xdr:cNvPr id="5501655" name="Line 282">
          <a:extLst>
            <a:ext uri="{FF2B5EF4-FFF2-40B4-BE49-F238E27FC236}">
              <a16:creationId xmlns:a16="http://schemas.microsoft.com/office/drawing/2014/main" id="{00000000-0008-0000-0700-0000D7F25300}"/>
            </a:ext>
          </a:extLst>
        </xdr:cNvPr>
        <xdr:cNvSpPr>
          <a:spLocks noChangeShapeType="1"/>
        </xdr:cNvSpPr>
      </xdr:nvSpPr>
      <xdr:spPr bwMode="auto">
        <a:xfrm flipH="1">
          <a:off x="13074650" y="4711700"/>
          <a:ext cx="12700" cy="647700"/>
        </a:xfrm>
        <a:prstGeom prst="line">
          <a:avLst/>
        </a:prstGeom>
        <a:noFill/>
        <a:ln w="6350">
          <a:solidFill>
            <a:srgbClr val="000000"/>
          </a:solidFill>
          <a:round/>
          <a:headEnd type="triangle" w="sm" len="lg"/>
          <a:tailEnd type="triangle" w="sm" len="lg"/>
        </a:ln>
      </xdr:spPr>
    </xdr:sp>
    <xdr:clientData/>
  </xdr:twoCellAnchor>
  <xdr:twoCellAnchor>
    <xdr:from>
      <xdr:col>16</xdr:col>
      <xdr:colOff>730250</xdr:colOff>
      <xdr:row>20</xdr:row>
      <xdr:rowOff>0</xdr:rowOff>
    </xdr:from>
    <xdr:to>
      <xdr:col>16</xdr:col>
      <xdr:colOff>730250</xdr:colOff>
      <xdr:row>27</xdr:row>
      <xdr:rowOff>133350</xdr:rowOff>
    </xdr:to>
    <xdr:sp macro="" textlink="">
      <xdr:nvSpPr>
        <xdr:cNvPr id="5501656" name="Line 283">
          <a:extLst>
            <a:ext uri="{FF2B5EF4-FFF2-40B4-BE49-F238E27FC236}">
              <a16:creationId xmlns:a16="http://schemas.microsoft.com/office/drawing/2014/main" id="{00000000-0008-0000-0700-0000D8F25300}"/>
            </a:ext>
          </a:extLst>
        </xdr:cNvPr>
        <xdr:cNvSpPr>
          <a:spLocks noChangeShapeType="1"/>
        </xdr:cNvSpPr>
      </xdr:nvSpPr>
      <xdr:spPr bwMode="auto">
        <a:xfrm>
          <a:off x="13493750" y="3422650"/>
          <a:ext cx="0" cy="1289050"/>
        </a:xfrm>
        <a:prstGeom prst="line">
          <a:avLst/>
        </a:prstGeom>
        <a:noFill/>
        <a:ln w="6350">
          <a:solidFill>
            <a:srgbClr val="000000"/>
          </a:solidFill>
          <a:round/>
          <a:headEnd type="triangle" w="sm" len="lg"/>
          <a:tailEnd type="triangle" w="sm" len="lg"/>
        </a:ln>
      </xdr:spPr>
    </xdr:sp>
    <xdr:clientData/>
  </xdr:twoCellAnchor>
  <xdr:twoCellAnchor>
    <xdr:from>
      <xdr:col>17</xdr:col>
      <xdr:colOff>69850</xdr:colOff>
      <xdr:row>31</xdr:row>
      <xdr:rowOff>95250</xdr:rowOff>
    </xdr:from>
    <xdr:to>
      <xdr:col>17</xdr:col>
      <xdr:colOff>69850</xdr:colOff>
      <xdr:row>32</xdr:row>
      <xdr:rowOff>0</xdr:rowOff>
    </xdr:to>
    <xdr:sp macro="" textlink="">
      <xdr:nvSpPr>
        <xdr:cNvPr id="5501657" name="Line 284">
          <a:extLst>
            <a:ext uri="{FF2B5EF4-FFF2-40B4-BE49-F238E27FC236}">
              <a16:creationId xmlns:a16="http://schemas.microsoft.com/office/drawing/2014/main" id="{00000000-0008-0000-0700-0000D9F25300}"/>
            </a:ext>
          </a:extLst>
        </xdr:cNvPr>
        <xdr:cNvSpPr>
          <a:spLocks noChangeShapeType="1"/>
        </xdr:cNvSpPr>
      </xdr:nvSpPr>
      <xdr:spPr bwMode="auto">
        <a:xfrm flipV="1">
          <a:off x="13646150" y="5359400"/>
          <a:ext cx="0" cy="76200"/>
        </a:xfrm>
        <a:prstGeom prst="line">
          <a:avLst/>
        </a:prstGeom>
        <a:noFill/>
        <a:ln w="6350">
          <a:solidFill>
            <a:srgbClr val="000000"/>
          </a:solidFill>
          <a:round/>
          <a:headEnd/>
          <a:tailEnd/>
        </a:ln>
      </xdr:spPr>
    </xdr:sp>
    <xdr:clientData/>
  </xdr:twoCellAnchor>
  <xdr:twoCellAnchor>
    <xdr:from>
      <xdr:col>17</xdr:col>
      <xdr:colOff>946150</xdr:colOff>
      <xdr:row>29</xdr:row>
      <xdr:rowOff>88900</xdr:rowOff>
    </xdr:from>
    <xdr:to>
      <xdr:col>17</xdr:col>
      <xdr:colOff>946150</xdr:colOff>
      <xdr:row>31</xdr:row>
      <xdr:rowOff>158750</xdr:rowOff>
    </xdr:to>
    <xdr:sp macro="" textlink="">
      <xdr:nvSpPr>
        <xdr:cNvPr id="5501658" name="Line 285">
          <a:extLst>
            <a:ext uri="{FF2B5EF4-FFF2-40B4-BE49-F238E27FC236}">
              <a16:creationId xmlns:a16="http://schemas.microsoft.com/office/drawing/2014/main" id="{00000000-0008-0000-0700-0000DAF25300}"/>
            </a:ext>
          </a:extLst>
        </xdr:cNvPr>
        <xdr:cNvSpPr>
          <a:spLocks noChangeShapeType="1"/>
        </xdr:cNvSpPr>
      </xdr:nvSpPr>
      <xdr:spPr bwMode="auto">
        <a:xfrm flipH="1" flipV="1">
          <a:off x="14522450" y="5010150"/>
          <a:ext cx="0" cy="412750"/>
        </a:xfrm>
        <a:prstGeom prst="line">
          <a:avLst/>
        </a:prstGeom>
        <a:noFill/>
        <a:ln w="6350">
          <a:solidFill>
            <a:srgbClr val="000000"/>
          </a:solidFill>
          <a:round/>
          <a:headEnd/>
          <a:tailEnd/>
        </a:ln>
      </xdr:spPr>
    </xdr:sp>
    <xdr:clientData/>
  </xdr:twoCellAnchor>
  <xdr:twoCellAnchor>
    <xdr:from>
      <xdr:col>17</xdr:col>
      <xdr:colOff>88900</xdr:colOff>
      <xdr:row>31</xdr:row>
      <xdr:rowOff>127000</xdr:rowOff>
    </xdr:from>
    <xdr:to>
      <xdr:col>17</xdr:col>
      <xdr:colOff>958850</xdr:colOff>
      <xdr:row>31</xdr:row>
      <xdr:rowOff>127000</xdr:rowOff>
    </xdr:to>
    <xdr:sp macro="" textlink="">
      <xdr:nvSpPr>
        <xdr:cNvPr id="5501659" name="Line 286">
          <a:extLst>
            <a:ext uri="{FF2B5EF4-FFF2-40B4-BE49-F238E27FC236}">
              <a16:creationId xmlns:a16="http://schemas.microsoft.com/office/drawing/2014/main" id="{00000000-0008-0000-0700-0000DBF25300}"/>
            </a:ext>
          </a:extLst>
        </xdr:cNvPr>
        <xdr:cNvSpPr>
          <a:spLocks noChangeShapeType="1"/>
        </xdr:cNvSpPr>
      </xdr:nvSpPr>
      <xdr:spPr bwMode="auto">
        <a:xfrm flipV="1">
          <a:off x="13665200" y="5391150"/>
          <a:ext cx="869950" cy="0"/>
        </a:xfrm>
        <a:prstGeom prst="line">
          <a:avLst/>
        </a:prstGeom>
        <a:noFill/>
        <a:ln w="6350">
          <a:solidFill>
            <a:srgbClr val="000000"/>
          </a:solidFill>
          <a:round/>
          <a:headEnd type="triangle" w="sm" len="lg"/>
          <a:tailEnd type="triangle" w="sm" len="lg"/>
        </a:ln>
      </xdr:spPr>
    </xdr:sp>
    <xdr:clientData/>
  </xdr:twoCellAnchor>
  <xdr:twoCellAnchor>
    <xdr:from>
      <xdr:col>17</xdr:col>
      <xdr:colOff>666750</xdr:colOff>
      <xdr:row>16</xdr:row>
      <xdr:rowOff>57150</xdr:rowOff>
    </xdr:from>
    <xdr:to>
      <xdr:col>18</xdr:col>
      <xdr:colOff>514350</xdr:colOff>
      <xdr:row>16</xdr:row>
      <xdr:rowOff>57150</xdr:rowOff>
    </xdr:to>
    <xdr:sp macro="" textlink="">
      <xdr:nvSpPr>
        <xdr:cNvPr id="5501660" name="Line 287">
          <a:extLst>
            <a:ext uri="{FF2B5EF4-FFF2-40B4-BE49-F238E27FC236}">
              <a16:creationId xmlns:a16="http://schemas.microsoft.com/office/drawing/2014/main" id="{00000000-0008-0000-0700-0000DCF25300}"/>
            </a:ext>
          </a:extLst>
        </xdr:cNvPr>
        <xdr:cNvSpPr>
          <a:spLocks noChangeShapeType="1"/>
        </xdr:cNvSpPr>
      </xdr:nvSpPr>
      <xdr:spPr bwMode="auto">
        <a:xfrm flipV="1">
          <a:off x="14243050" y="2819400"/>
          <a:ext cx="984250" cy="0"/>
        </a:xfrm>
        <a:prstGeom prst="line">
          <a:avLst/>
        </a:prstGeom>
        <a:noFill/>
        <a:ln w="3175">
          <a:solidFill>
            <a:srgbClr val="92D050"/>
          </a:solidFill>
          <a:prstDash val="sysDot"/>
          <a:round/>
          <a:headEnd type="triangle" w="sm" len="sm"/>
          <a:tailEnd type="triangle" w="sm" len="sm"/>
        </a:ln>
      </xdr:spPr>
    </xdr:sp>
    <xdr:clientData/>
  </xdr:twoCellAnchor>
  <xdr:twoCellAnchor>
    <xdr:from>
      <xdr:col>17</xdr:col>
      <xdr:colOff>831850</xdr:colOff>
      <xdr:row>14</xdr:row>
      <xdr:rowOff>127000</xdr:rowOff>
    </xdr:from>
    <xdr:to>
      <xdr:col>19</xdr:col>
      <xdr:colOff>19050</xdr:colOff>
      <xdr:row>14</xdr:row>
      <xdr:rowOff>127000</xdr:rowOff>
    </xdr:to>
    <xdr:sp macro="" textlink="">
      <xdr:nvSpPr>
        <xdr:cNvPr id="5501661" name="Line 289">
          <a:extLst>
            <a:ext uri="{FF2B5EF4-FFF2-40B4-BE49-F238E27FC236}">
              <a16:creationId xmlns:a16="http://schemas.microsoft.com/office/drawing/2014/main" id="{00000000-0008-0000-0700-0000DDF25300}"/>
            </a:ext>
          </a:extLst>
        </xdr:cNvPr>
        <xdr:cNvSpPr>
          <a:spLocks noChangeShapeType="1"/>
        </xdr:cNvSpPr>
      </xdr:nvSpPr>
      <xdr:spPr bwMode="auto">
        <a:xfrm>
          <a:off x="14408150" y="2559050"/>
          <a:ext cx="1460500" cy="0"/>
        </a:xfrm>
        <a:prstGeom prst="line">
          <a:avLst/>
        </a:prstGeom>
        <a:noFill/>
        <a:ln w="6350">
          <a:solidFill>
            <a:srgbClr val="92D050"/>
          </a:solidFill>
          <a:round/>
          <a:headEnd/>
          <a:tailEnd/>
        </a:ln>
      </xdr:spPr>
    </xdr:sp>
    <xdr:clientData/>
  </xdr:twoCellAnchor>
  <xdr:twoCellAnchor>
    <xdr:from>
      <xdr:col>17</xdr:col>
      <xdr:colOff>679450</xdr:colOff>
      <xdr:row>15</xdr:row>
      <xdr:rowOff>127000</xdr:rowOff>
    </xdr:from>
    <xdr:to>
      <xdr:col>19</xdr:col>
      <xdr:colOff>44450</xdr:colOff>
      <xdr:row>15</xdr:row>
      <xdr:rowOff>127000</xdr:rowOff>
    </xdr:to>
    <xdr:sp macro="" textlink="">
      <xdr:nvSpPr>
        <xdr:cNvPr id="5501662" name="Line 290">
          <a:extLst>
            <a:ext uri="{FF2B5EF4-FFF2-40B4-BE49-F238E27FC236}">
              <a16:creationId xmlns:a16="http://schemas.microsoft.com/office/drawing/2014/main" id="{00000000-0008-0000-0700-0000DEF25300}"/>
            </a:ext>
          </a:extLst>
        </xdr:cNvPr>
        <xdr:cNvSpPr>
          <a:spLocks noChangeShapeType="1"/>
        </xdr:cNvSpPr>
      </xdr:nvSpPr>
      <xdr:spPr bwMode="auto">
        <a:xfrm>
          <a:off x="14255750" y="2724150"/>
          <a:ext cx="1638300" cy="0"/>
        </a:xfrm>
        <a:prstGeom prst="line">
          <a:avLst/>
        </a:prstGeom>
        <a:noFill/>
        <a:ln w="6350">
          <a:solidFill>
            <a:srgbClr val="92D050"/>
          </a:solidFill>
          <a:round/>
          <a:headEnd/>
          <a:tailEnd/>
        </a:ln>
      </xdr:spPr>
    </xdr:sp>
    <xdr:clientData/>
  </xdr:twoCellAnchor>
  <xdr:twoCellAnchor>
    <xdr:from>
      <xdr:col>17</xdr:col>
      <xdr:colOff>666750</xdr:colOff>
      <xdr:row>18</xdr:row>
      <xdr:rowOff>69850</xdr:rowOff>
    </xdr:from>
    <xdr:to>
      <xdr:col>19</xdr:col>
      <xdr:colOff>44450</xdr:colOff>
      <xdr:row>18</xdr:row>
      <xdr:rowOff>69850</xdr:rowOff>
    </xdr:to>
    <xdr:sp macro="" textlink="">
      <xdr:nvSpPr>
        <xdr:cNvPr id="5501663" name="Line 291">
          <a:extLst>
            <a:ext uri="{FF2B5EF4-FFF2-40B4-BE49-F238E27FC236}">
              <a16:creationId xmlns:a16="http://schemas.microsoft.com/office/drawing/2014/main" id="{00000000-0008-0000-0700-0000DFF25300}"/>
            </a:ext>
          </a:extLst>
        </xdr:cNvPr>
        <xdr:cNvSpPr>
          <a:spLocks noChangeShapeType="1"/>
        </xdr:cNvSpPr>
      </xdr:nvSpPr>
      <xdr:spPr bwMode="auto">
        <a:xfrm>
          <a:off x="14243050" y="3162300"/>
          <a:ext cx="1651000" cy="0"/>
        </a:xfrm>
        <a:prstGeom prst="line">
          <a:avLst/>
        </a:prstGeom>
        <a:noFill/>
        <a:ln w="6350">
          <a:solidFill>
            <a:srgbClr val="92D050"/>
          </a:solidFill>
          <a:round/>
          <a:headEnd/>
          <a:tailEnd/>
        </a:ln>
      </xdr:spPr>
    </xdr:sp>
    <xdr:clientData/>
  </xdr:twoCellAnchor>
  <xdr:twoCellAnchor>
    <xdr:from>
      <xdr:col>17</xdr:col>
      <xdr:colOff>946150</xdr:colOff>
      <xdr:row>19</xdr:row>
      <xdr:rowOff>139700</xdr:rowOff>
    </xdr:from>
    <xdr:to>
      <xdr:col>19</xdr:col>
      <xdr:colOff>12700</xdr:colOff>
      <xdr:row>19</xdr:row>
      <xdr:rowOff>139700</xdr:rowOff>
    </xdr:to>
    <xdr:sp macro="" textlink="">
      <xdr:nvSpPr>
        <xdr:cNvPr id="5501664" name="Line 292">
          <a:extLst>
            <a:ext uri="{FF2B5EF4-FFF2-40B4-BE49-F238E27FC236}">
              <a16:creationId xmlns:a16="http://schemas.microsoft.com/office/drawing/2014/main" id="{00000000-0008-0000-0700-0000E0F25300}"/>
            </a:ext>
          </a:extLst>
        </xdr:cNvPr>
        <xdr:cNvSpPr>
          <a:spLocks noChangeShapeType="1"/>
        </xdr:cNvSpPr>
      </xdr:nvSpPr>
      <xdr:spPr bwMode="auto">
        <a:xfrm>
          <a:off x="14522450" y="3397250"/>
          <a:ext cx="1339850" cy="0"/>
        </a:xfrm>
        <a:prstGeom prst="line">
          <a:avLst/>
        </a:prstGeom>
        <a:noFill/>
        <a:ln w="6350">
          <a:solidFill>
            <a:srgbClr val="92D050"/>
          </a:solidFill>
          <a:round/>
          <a:headEnd/>
          <a:tailEnd/>
        </a:ln>
      </xdr:spPr>
    </xdr:sp>
    <xdr:clientData/>
  </xdr:twoCellAnchor>
  <xdr:twoCellAnchor>
    <xdr:from>
      <xdr:col>17</xdr:col>
      <xdr:colOff>1136650</xdr:colOff>
      <xdr:row>1</xdr:row>
      <xdr:rowOff>0</xdr:rowOff>
    </xdr:from>
    <xdr:to>
      <xdr:col>18</xdr:col>
      <xdr:colOff>0</xdr:colOff>
      <xdr:row>14</xdr:row>
      <xdr:rowOff>127000</xdr:rowOff>
    </xdr:to>
    <xdr:sp macro="" textlink="">
      <xdr:nvSpPr>
        <xdr:cNvPr id="5501665" name="Line 293">
          <a:extLst>
            <a:ext uri="{FF2B5EF4-FFF2-40B4-BE49-F238E27FC236}">
              <a16:creationId xmlns:a16="http://schemas.microsoft.com/office/drawing/2014/main" id="{00000000-0008-0000-0700-0000E1F25300}"/>
            </a:ext>
          </a:extLst>
        </xdr:cNvPr>
        <xdr:cNvSpPr>
          <a:spLocks noChangeShapeType="1"/>
        </xdr:cNvSpPr>
      </xdr:nvSpPr>
      <xdr:spPr bwMode="auto">
        <a:xfrm flipH="1">
          <a:off x="14712950" y="171450"/>
          <a:ext cx="0" cy="2387600"/>
        </a:xfrm>
        <a:prstGeom prst="line">
          <a:avLst/>
        </a:prstGeom>
        <a:noFill/>
        <a:ln w="9525">
          <a:solidFill>
            <a:srgbClr val="92D050"/>
          </a:solidFill>
          <a:prstDash val="sysDot"/>
          <a:round/>
          <a:headEnd type="triangle" w="sm" len="sm"/>
          <a:tailEnd type="triangle" w="sm" len="sm"/>
        </a:ln>
      </xdr:spPr>
    </xdr:sp>
    <xdr:clientData/>
  </xdr:twoCellAnchor>
  <xdr:twoCellAnchor>
    <xdr:from>
      <xdr:col>18</xdr:col>
      <xdr:colOff>190500</xdr:colOff>
      <xdr:row>1</xdr:row>
      <xdr:rowOff>0</xdr:rowOff>
    </xdr:from>
    <xdr:to>
      <xdr:col>18</xdr:col>
      <xdr:colOff>190500</xdr:colOff>
      <xdr:row>18</xdr:row>
      <xdr:rowOff>69850</xdr:rowOff>
    </xdr:to>
    <xdr:sp macro="" textlink="">
      <xdr:nvSpPr>
        <xdr:cNvPr id="5501666" name="Line 294">
          <a:extLst>
            <a:ext uri="{FF2B5EF4-FFF2-40B4-BE49-F238E27FC236}">
              <a16:creationId xmlns:a16="http://schemas.microsoft.com/office/drawing/2014/main" id="{00000000-0008-0000-0700-0000E2F25300}"/>
            </a:ext>
          </a:extLst>
        </xdr:cNvPr>
        <xdr:cNvSpPr>
          <a:spLocks noChangeShapeType="1"/>
        </xdr:cNvSpPr>
      </xdr:nvSpPr>
      <xdr:spPr bwMode="auto">
        <a:xfrm>
          <a:off x="14903450" y="171450"/>
          <a:ext cx="0" cy="2990850"/>
        </a:xfrm>
        <a:prstGeom prst="line">
          <a:avLst/>
        </a:prstGeom>
        <a:noFill/>
        <a:ln w="9525">
          <a:solidFill>
            <a:srgbClr val="92D050"/>
          </a:solidFill>
          <a:prstDash val="sysDot"/>
          <a:round/>
          <a:headEnd type="triangle" w="sm" len="sm"/>
          <a:tailEnd type="triangle" w="sm" len="sm"/>
        </a:ln>
      </xdr:spPr>
    </xdr:sp>
    <xdr:clientData/>
  </xdr:twoCellAnchor>
  <xdr:twoCellAnchor>
    <xdr:from>
      <xdr:col>19</xdr:col>
      <xdr:colOff>19050</xdr:colOff>
      <xdr:row>14</xdr:row>
      <xdr:rowOff>127000</xdr:rowOff>
    </xdr:from>
    <xdr:to>
      <xdr:col>19</xdr:col>
      <xdr:colOff>19050</xdr:colOff>
      <xdr:row>15</xdr:row>
      <xdr:rowOff>127000</xdr:rowOff>
    </xdr:to>
    <xdr:sp macro="" textlink="">
      <xdr:nvSpPr>
        <xdr:cNvPr id="5501667" name="Line 295">
          <a:extLst>
            <a:ext uri="{FF2B5EF4-FFF2-40B4-BE49-F238E27FC236}">
              <a16:creationId xmlns:a16="http://schemas.microsoft.com/office/drawing/2014/main" id="{00000000-0008-0000-0700-0000E3F25300}"/>
            </a:ext>
          </a:extLst>
        </xdr:cNvPr>
        <xdr:cNvSpPr>
          <a:spLocks noChangeShapeType="1"/>
        </xdr:cNvSpPr>
      </xdr:nvSpPr>
      <xdr:spPr bwMode="auto">
        <a:xfrm>
          <a:off x="15868650" y="2559050"/>
          <a:ext cx="0" cy="165100"/>
        </a:xfrm>
        <a:prstGeom prst="line">
          <a:avLst/>
        </a:prstGeom>
        <a:noFill/>
        <a:ln w="3175">
          <a:solidFill>
            <a:srgbClr val="92D050"/>
          </a:solidFill>
          <a:prstDash val="sysDot"/>
          <a:round/>
          <a:headEnd type="triangle" w="sm" len="sm"/>
          <a:tailEnd type="triangle" w="sm" len="sm"/>
        </a:ln>
      </xdr:spPr>
    </xdr:sp>
    <xdr:clientData/>
  </xdr:twoCellAnchor>
  <xdr:twoCellAnchor>
    <xdr:from>
      <xdr:col>19</xdr:col>
      <xdr:colOff>12700</xdr:colOff>
      <xdr:row>18</xdr:row>
      <xdr:rowOff>69850</xdr:rowOff>
    </xdr:from>
    <xdr:to>
      <xdr:col>19</xdr:col>
      <xdr:colOff>12700</xdr:colOff>
      <xdr:row>19</xdr:row>
      <xdr:rowOff>139700</xdr:rowOff>
    </xdr:to>
    <xdr:sp macro="" textlink="">
      <xdr:nvSpPr>
        <xdr:cNvPr id="5501668" name="Line 296">
          <a:extLst>
            <a:ext uri="{FF2B5EF4-FFF2-40B4-BE49-F238E27FC236}">
              <a16:creationId xmlns:a16="http://schemas.microsoft.com/office/drawing/2014/main" id="{00000000-0008-0000-0700-0000E4F25300}"/>
            </a:ext>
          </a:extLst>
        </xdr:cNvPr>
        <xdr:cNvSpPr>
          <a:spLocks noChangeShapeType="1"/>
        </xdr:cNvSpPr>
      </xdr:nvSpPr>
      <xdr:spPr bwMode="auto">
        <a:xfrm>
          <a:off x="15862300" y="3162300"/>
          <a:ext cx="0" cy="234950"/>
        </a:xfrm>
        <a:prstGeom prst="line">
          <a:avLst/>
        </a:prstGeom>
        <a:noFill/>
        <a:ln w="9525">
          <a:solidFill>
            <a:srgbClr val="92D050"/>
          </a:solidFill>
          <a:prstDash val="sysDot"/>
          <a:round/>
          <a:headEnd type="triangle" w="sm" len="sm"/>
          <a:tailEnd type="triangle" w="sm" len="sm"/>
        </a:ln>
      </xdr:spPr>
    </xdr:sp>
    <xdr:clientData/>
  </xdr:twoCellAnchor>
  <xdr:twoCellAnchor>
    <xdr:from>
      <xdr:col>17</xdr:col>
      <xdr:colOff>0</xdr:colOff>
      <xdr:row>11</xdr:row>
      <xdr:rowOff>101600</xdr:rowOff>
    </xdr:from>
    <xdr:to>
      <xdr:col>17</xdr:col>
      <xdr:colOff>838200</xdr:colOff>
      <xdr:row>11</xdr:row>
      <xdr:rowOff>101600</xdr:rowOff>
    </xdr:to>
    <xdr:sp macro="" textlink="">
      <xdr:nvSpPr>
        <xdr:cNvPr id="5501669" name="Line 297">
          <a:extLst>
            <a:ext uri="{FF2B5EF4-FFF2-40B4-BE49-F238E27FC236}">
              <a16:creationId xmlns:a16="http://schemas.microsoft.com/office/drawing/2014/main" id="{00000000-0008-0000-0700-0000E5F25300}"/>
            </a:ext>
          </a:extLst>
        </xdr:cNvPr>
        <xdr:cNvSpPr>
          <a:spLocks noChangeShapeType="1"/>
        </xdr:cNvSpPr>
      </xdr:nvSpPr>
      <xdr:spPr bwMode="auto">
        <a:xfrm>
          <a:off x="13576300" y="2032000"/>
          <a:ext cx="838200" cy="0"/>
        </a:xfrm>
        <a:prstGeom prst="line">
          <a:avLst/>
        </a:prstGeom>
        <a:noFill/>
        <a:ln w="9525">
          <a:solidFill>
            <a:srgbClr val="000000"/>
          </a:solidFill>
          <a:round/>
          <a:headEnd/>
          <a:tailEnd/>
        </a:ln>
      </xdr:spPr>
    </xdr:sp>
    <xdr:clientData/>
  </xdr:twoCellAnchor>
  <xdr:twoCellAnchor>
    <xdr:from>
      <xdr:col>17</xdr:col>
      <xdr:colOff>0</xdr:colOff>
      <xdr:row>16</xdr:row>
      <xdr:rowOff>69850</xdr:rowOff>
    </xdr:from>
    <xdr:to>
      <xdr:col>17</xdr:col>
      <xdr:colOff>679450</xdr:colOff>
      <xdr:row>16</xdr:row>
      <xdr:rowOff>69850</xdr:rowOff>
    </xdr:to>
    <xdr:sp macro="" textlink="">
      <xdr:nvSpPr>
        <xdr:cNvPr id="5501670" name="Line 298">
          <a:extLst>
            <a:ext uri="{FF2B5EF4-FFF2-40B4-BE49-F238E27FC236}">
              <a16:creationId xmlns:a16="http://schemas.microsoft.com/office/drawing/2014/main" id="{00000000-0008-0000-0700-0000E6F25300}"/>
            </a:ext>
          </a:extLst>
        </xdr:cNvPr>
        <xdr:cNvSpPr>
          <a:spLocks noChangeShapeType="1"/>
        </xdr:cNvSpPr>
      </xdr:nvSpPr>
      <xdr:spPr bwMode="auto">
        <a:xfrm>
          <a:off x="13576300" y="2832100"/>
          <a:ext cx="679450" cy="0"/>
        </a:xfrm>
        <a:prstGeom prst="line">
          <a:avLst/>
        </a:prstGeom>
        <a:noFill/>
        <a:ln w="9525">
          <a:solidFill>
            <a:srgbClr val="92D050"/>
          </a:solidFill>
          <a:round/>
          <a:headEnd/>
          <a:tailEnd/>
        </a:ln>
      </xdr:spPr>
    </xdr:sp>
    <xdr:clientData/>
  </xdr:twoCellAnchor>
  <xdr:twoCellAnchor>
    <xdr:from>
      <xdr:col>17</xdr:col>
      <xdr:colOff>514350</xdr:colOff>
      <xdr:row>31</xdr:row>
      <xdr:rowOff>127000</xdr:rowOff>
    </xdr:from>
    <xdr:to>
      <xdr:col>17</xdr:col>
      <xdr:colOff>514350</xdr:colOff>
      <xdr:row>33</xdr:row>
      <xdr:rowOff>95250</xdr:rowOff>
    </xdr:to>
    <xdr:sp macro="" textlink="">
      <xdr:nvSpPr>
        <xdr:cNvPr id="5501671" name="Line 301">
          <a:extLst>
            <a:ext uri="{FF2B5EF4-FFF2-40B4-BE49-F238E27FC236}">
              <a16:creationId xmlns:a16="http://schemas.microsoft.com/office/drawing/2014/main" id="{00000000-0008-0000-0700-0000E7F25300}"/>
            </a:ext>
          </a:extLst>
        </xdr:cNvPr>
        <xdr:cNvSpPr>
          <a:spLocks noChangeShapeType="1"/>
        </xdr:cNvSpPr>
      </xdr:nvSpPr>
      <xdr:spPr bwMode="auto">
        <a:xfrm flipH="1">
          <a:off x="14090650" y="5391150"/>
          <a:ext cx="0" cy="311150"/>
        </a:xfrm>
        <a:prstGeom prst="line">
          <a:avLst/>
        </a:prstGeom>
        <a:noFill/>
        <a:ln w="9525">
          <a:solidFill>
            <a:srgbClr val="000000"/>
          </a:solidFill>
          <a:round/>
          <a:headEnd/>
          <a:tailEnd/>
        </a:ln>
      </xdr:spPr>
    </xdr:sp>
    <xdr:clientData/>
  </xdr:twoCellAnchor>
  <xdr:twoCellAnchor>
    <xdr:from>
      <xdr:col>17</xdr:col>
      <xdr:colOff>0</xdr:colOff>
      <xdr:row>2</xdr:row>
      <xdr:rowOff>76200</xdr:rowOff>
    </xdr:from>
    <xdr:to>
      <xdr:col>17</xdr:col>
      <xdr:colOff>152400</xdr:colOff>
      <xdr:row>2</xdr:row>
      <xdr:rowOff>76200</xdr:rowOff>
    </xdr:to>
    <xdr:sp macro="" textlink="">
      <xdr:nvSpPr>
        <xdr:cNvPr id="5501672" name="Line 302">
          <a:extLst>
            <a:ext uri="{FF2B5EF4-FFF2-40B4-BE49-F238E27FC236}">
              <a16:creationId xmlns:a16="http://schemas.microsoft.com/office/drawing/2014/main" id="{00000000-0008-0000-0700-0000E8F25300}"/>
            </a:ext>
          </a:extLst>
        </xdr:cNvPr>
        <xdr:cNvSpPr>
          <a:spLocks noChangeShapeType="1"/>
        </xdr:cNvSpPr>
      </xdr:nvSpPr>
      <xdr:spPr bwMode="auto">
        <a:xfrm>
          <a:off x="13576300" y="419100"/>
          <a:ext cx="152400" cy="0"/>
        </a:xfrm>
        <a:prstGeom prst="line">
          <a:avLst/>
        </a:prstGeom>
        <a:noFill/>
        <a:ln w="9525">
          <a:solidFill>
            <a:srgbClr val="000000"/>
          </a:solidFill>
          <a:round/>
          <a:headEnd/>
          <a:tailEnd/>
        </a:ln>
      </xdr:spPr>
    </xdr:sp>
    <xdr:clientData/>
  </xdr:twoCellAnchor>
  <xdr:twoCellAnchor>
    <xdr:from>
      <xdr:col>17</xdr:col>
      <xdr:colOff>1771650</xdr:colOff>
      <xdr:row>10</xdr:row>
      <xdr:rowOff>88900</xdr:rowOff>
    </xdr:from>
    <xdr:to>
      <xdr:col>20</xdr:col>
      <xdr:colOff>0</xdr:colOff>
      <xdr:row>10</xdr:row>
      <xdr:rowOff>88900</xdr:rowOff>
    </xdr:to>
    <xdr:sp macro="" textlink="">
      <xdr:nvSpPr>
        <xdr:cNvPr id="5501673" name="Line 303">
          <a:extLst>
            <a:ext uri="{FF2B5EF4-FFF2-40B4-BE49-F238E27FC236}">
              <a16:creationId xmlns:a16="http://schemas.microsoft.com/office/drawing/2014/main" id="{00000000-0008-0000-0700-0000E9F25300}"/>
            </a:ext>
          </a:extLst>
        </xdr:cNvPr>
        <xdr:cNvSpPr>
          <a:spLocks noChangeShapeType="1"/>
        </xdr:cNvSpPr>
      </xdr:nvSpPr>
      <xdr:spPr bwMode="auto">
        <a:xfrm flipV="1">
          <a:off x="14712950" y="1847850"/>
          <a:ext cx="1949450" cy="0"/>
        </a:xfrm>
        <a:prstGeom prst="line">
          <a:avLst/>
        </a:prstGeom>
        <a:noFill/>
        <a:ln w="9525">
          <a:solidFill>
            <a:srgbClr val="92D050"/>
          </a:solidFill>
          <a:prstDash val="sysDot"/>
          <a:round/>
          <a:headEnd/>
          <a:tailEnd/>
        </a:ln>
      </xdr:spPr>
    </xdr:sp>
    <xdr:clientData/>
  </xdr:twoCellAnchor>
  <xdr:twoCellAnchor>
    <xdr:from>
      <xdr:col>18</xdr:col>
      <xdr:colOff>190500</xdr:colOff>
      <xdr:row>12</xdr:row>
      <xdr:rowOff>76200</xdr:rowOff>
    </xdr:from>
    <xdr:to>
      <xdr:col>20</xdr:col>
      <xdr:colOff>0</xdr:colOff>
      <xdr:row>12</xdr:row>
      <xdr:rowOff>76200</xdr:rowOff>
    </xdr:to>
    <xdr:sp macro="" textlink="">
      <xdr:nvSpPr>
        <xdr:cNvPr id="5501674" name="Line 304">
          <a:extLst>
            <a:ext uri="{FF2B5EF4-FFF2-40B4-BE49-F238E27FC236}">
              <a16:creationId xmlns:a16="http://schemas.microsoft.com/office/drawing/2014/main" id="{00000000-0008-0000-0700-0000EAF25300}"/>
            </a:ext>
          </a:extLst>
        </xdr:cNvPr>
        <xdr:cNvSpPr>
          <a:spLocks noChangeShapeType="1"/>
        </xdr:cNvSpPr>
      </xdr:nvSpPr>
      <xdr:spPr bwMode="auto">
        <a:xfrm flipV="1">
          <a:off x="14903450" y="2178050"/>
          <a:ext cx="1758950" cy="0"/>
        </a:xfrm>
        <a:prstGeom prst="line">
          <a:avLst/>
        </a:prstGeom>
        <a:noFill/>
        <a:ln w="9525">
          <a:solidFill>
            <a:srgbClr val="92D050"/>
          </a:solidFill>
          <a:prstDash val="sysDot"/>
          <a:round/>
          <a:headEnd/>
          <a:tailEnd/>
        </a:ln>
      </xdr:spPr>
    </xdr:sp>
    <xdr:clientData/>
  </xdr:twoCellAnchor>
  <xdr:twoCellAnchor>
    <xdr:from>
      <xdr:col>19</xdr:col>
      <xdr:colOff>19050</xdr:colOff>
      <xdr:row>15</xdr:row>
      <xdr:rowOff>44450</xdr:rowOff>
    </xdr:from>
    <xdr:to>
      <xdr:col>19</xdr:col>
      <xdr:colOff>787400</xdr:colOff>
      <xdr:row>15</xdr:row>
      <xdr:rowOff>44450</xdr:rowOff>
    </xdr:to>
    <xdr:sp macro="" textlink="">
      <xdr:nvSpPr>
        <xdr:cNvPr id="5501675" name="Line 305">
          <a:extLst>
            <a:ext uri="{FF2B5EF4-FFF2-40B4-BE49-F238E27FC236}">
              <a16:creationId xmlns:a16="http://schemas.microsoft.com/office/drawing/2014/main" id="{00000000-0008-0000-0700-0000EBF25300}"/>
            </a:ext>
          </a:extLst>
        </xdr:cNvPr>
        <xdr:cNvSpPr>
          <a:spLocks noChangeShapeType="1"/>
        </xdr:cNvSpPr>
      </xdr:nvSpPr>
      <xdr:spPr bwMode="auto">
        <a:xfrm flipV="1">
          <a:off x="15868650" y="2641600"/>
          <a:ext cx="768350" cy="0"/>
        </a:xfrm>
        <a:prstGeom prst="line">
          <a:avLst/>
        </a:prstGeom>
        <a:noFill/>
        <a:ln w="9525">
          <a:solidFill>
            <a:srgbClr val="92D050"/>
          </a:solidFill>
          <a:prstDash val="sysDot"/>
          <a:round/>
          <a:headEnd/>
          <a:tailEnd/>
        </a:ln>
      </xdr:spPr>
    </xdr:sp>
    <xdr:clientData/>
  </xdr:twoCellAnchor>
  <xdr:twoCellAnchor>
    <xdr:from>
      <xdr:col>19</xdr:col>
      <xdr:colOff>19050</xdr:colOff>
      <xdr:row>19</xdr:row>
      <xdr:rowOff>25400</xdr:rowOff>
    </xdr:from>
    <xdr:to>
      <xdr:col>19</xdr:col>
      <xdr:colOff>806450</xdr:colOff>
      <xdr:row>19</xdr:row>
      <xdr:rowOff>25400</xdr:rowOff>
    </xdr:to>
    <xdr:sp macro="" textlink="">
      <xdr:nvSpPr>
        <xdr:cNvPr id="5501676" name="Line 308">
          <a:extLst>
            <a:ext uri="{FF2B5EF4-FFF2-40B4-BE49-F238E27FC236}">
              <a16:creationId xmlns:a16="http://schemas.microsoft.com/office/drawing/2014/main" id="{00000000-0008-0000-0700-0000ECF25300}"/>
            </a:ext>
          </a:extLst>
        </xdr:cNvPr>
        <xdr:cNvSpPr>
          <a:spLocks noChangeShapeType="1"/>
        </xdr:cNvSpPr>
      </xdr:nvSpPr>
      <xdr:spPr bwMode="auto">
        <a:xfrm flipH="1" flipV="1">
          <a:off x="15868650" y="3282950"/>
          <a:ext cx="787400" cy="0"/>
        </a:xfrm>
        <a:prstGeom prst="line">
          <a:avLst/>
        </a:prstGeom>
        <a:noFill/>
        <a:ln w="9525">
          <a:solidFill>
            <a:srgbClr val="92D050"/>
          </a:solidFill>
          <a:prstDash val="sysDot"/>
          <a:round/>
          <a:headEnd type="none" w="sm" len="sm"/>
          <a:tailEnd type="none" w="sm" len="sm"/>
        </a:ln>
      </xdr:spPr>
    </xdr:sp>
    <xdr:clientData/>
  </xdr:twoCellAnchor>
  <xdr:twoCellAnchor>
    <xdr:from>
      <xdr:col>15</xdr:col>
      <xdr:colOff>812800</xdr:colOff>
      <xdr:row>28</xdr:row>
      <xdr:rowOff>88900</xdr:rowOff>
    </xdr:from>
    <xdr:to>
      <xdr:col>16</xdr:col>
      <xdr:colOff>323850</xdr:colOff>
      <xdr:row>28</xdr:row>
      <xdr:rowOff>88900</xdr:rowOff>
    </xdr:to>
    <xdr:sp macro="" textlink="">
      <xdr:nvSpPr>
        <xdr:cNvPr id="5501677" name="Line 310">
          <a:extLst>
            <a:ext uri="{FF2B5EF4-FFF2-40B4-BE49-F238E27FC236}">
              <a16:creationId xmlns:a16="http://schemas.microsoft.com/office/drawing/2014/main" id="{00000000-0008-0000-0700-0000EDF25300}"/>
            </a:ext>
          </a:extLst>
        </xdr:cNvPr>
        <xdr:cNvSpPr>
          <a:spLocks noChangeShapeType="1"/>
        </xdr:cNvSpPr>
      </xdr:nvSpPr>
      <xdr:spPr bwMode="auto">
        <a:xfrm>
          <a:off x="12763500" y="4838700"/>
          <a:ext cx="323850" cy="0"/>
        </a:xfrm>
        <a:prstGeom prst="line">
          <a:avLst/>
        </a:prstGeom>
        <a:noFill/>
        <a:ln w="9525">
          <a:solidFill>
            <a:srgbClr val="000000"/>
          </a:solidFill>
          <a:round/>
          <a:headEnd/>
          <a:tailEnd/>
        </a:ln>
      </xdr:spPr>
    </xdr:sp>
    <xdr:clientData/>
  </xdr:twoCellAnchor>
  <xdr:twoCellAnchor>
    <xdr:from>
      <xdr:col>16</xdr:col>
      <xdr:colOff>234950</xdr:colOff>
      <xdr:row>27</xdr:row>
      <xdr:rowOff>127000</xdr:rowOff>
    </xdr:from>
    <xdr:to>
      <xdr:col>17</xdr:col>
      <xdr:colOff>69850</xdr:colOff>
      <xdr:row>27</xdr:row>
      <xdr:rowOff>127000</xdr:rowOff>
    </xdr:to>
    <xdr:sp macro="" textlink="">
      <xdr:nvSpPr>
        <xdr:cNvPr id="5501678" name="Line 277">
          <a:extLst>
            <a:ext uri="{FF2B5EF4-FFF2-40B4-BE49-F238E27FC236}">
              <a16:creationId xmlns:a16="http://schemas.microsoft.com/office/drawing/2014/main" id="{00000000-0008-0000-0700-0000EEF25300}"/>
            </a:ext>
          </a:extLst>
        </xdr:cNvPr>
        <xdr:cNvSpPr>
          <a:spLocks noChangeShapeType="1"/>
        </xdr:cNvSpPr>
      </xdr:nvSpPr>
      <xdr:spPr bwMode="auto">
        <a:xfrm>
          <a:off x="12998450" y="4705350"/>
          <a:ext cx="647700" cy="0"/>
        </a:xfrm>
        <a:prstGeom prst="line">
          <a:avLst/>
        </a:prstGeom>
        <a:noFill/>
        <a:ln w="6350">
          <a:solidFill>
            <a:srgbClr val="000000"/>
          </a:solidFill>
          <a:round/>
          <a:headEnd/>
          <a:tailEnd/>
        </a:ln>
      </xdr:spPr>
    </xdr:sp>
    <xdr:clientData/>
  </xdr:twoCellAnchor>
  <xdr:twoCellAnchor>
    <xdr:from>
      <xdr:col>17</xdr:col>
      <xdr:colOff>412750</xdr:colOff>
      <xdr:row>28</xdr:row>
      <xdr:rowOff>127000</xdr:rowOff>
    </xdr:from>
    <xdr:to>
      <xdr:col>19</xdr:col>
      <xdr:colOff>82550</xdr:colOff>
      <xdr:row>28</xdr:row>
      <xdr:rowOff>127000</xdr:rowOff>
    </xdr:to>
    <xdr:sp macro="" textlink="">
      <xdr:nvSpPr>
        <xdr:cNvPr id="5501679" name="Line 280">
          <a:extLst>
            <a:ext uri="{FF2B5EF4-FFF2-40B4-BE49-F238E27FC236}">
              <a16:creationId xmlns:a16="http://schemas.microsoft.com/office/drawing/2014/main" id="{00000000-0008-0000-0700-0000EFF25300}"/>
            </a:ext>
          </a:extLst>
        </xdr:cNvPr>
        <xdr:cNvSpPr>
          <a:spLocks noChangeShapeType="1"/>
        </xdr:cNvSpPr>
      </xdr:nvSpPr>
      <xdr:spPr bwMode="auto">
        <a:xfrm flipV="1">
          <a:off x="13989050" y="4876800"/>
          <a:ext cx="1943100" cy="0"/>
        </a:xfrm>
        <a:prstGeom prst="line">
          <a:avLst/>
        </a:prstGeom>
        <a:noFill/>
        <a:ln w="6350">
          <a:solidFill>
            <a:srgbClr val="000000"/>
          </a:solidFill>
          <a:round/>
          <a:headEnd/>
          <a:tailEnd/>
        </a:ln>
      </xdr:spPr>
    </xdr:sp>
    <xdr:clientData/>
  </xdr:twoCellAnchor>
  <xdr:twoCellAnchor>
    <xdr:from>
      <xdr:col>18</xdr:col>
      <xdr:colOff>165100</xdr:colOff>
      <xdr:row>30</xdr:row>
      <xdr:rowOff>44450</xdr:rowOff>
    </xdr:from>
    <xdr:to>
      <xdr:col>18</xdr:col>
      <xdr:colOff>927100</xdr:colOff>
      <xdr:row>30</xdr:row>
      <xdr:rowOff>44450</xdr:rowOff>
    </xdr:to>
    <xdr:sp macro="" textlink="">
      <xdr:nvSpPr>
        <xdr:cNvPr id="5501680" name="Line 280">
          <a:extLst>
            <a:ext uri="{FF2B5EF4-FFF2-40B4-BE49-F238E27FC236}">
              <a16:creationId xmlns:a16="http://schemas.microsoft.com/office/drawing/2014/main" id="{00000000-0008-0000-0700-0000F0F25300}"/>
            </a:ext>
          </a:extLst>
        </xdr:cNvPr>
        <xdr:cNvSpPr>
          <a:spLocks noChangeShapeType="1"/>
        </xdr:cNvSpPr>
      </xdr:nvSpPr>
      <xdr:spPr bwMode="auto">
        <a:xfrm>
          <a:off x="14878050" y="5137150"/>
          <a:ext cx="762000" cy="0"/>
        </a:xfrm>
        <a:prstGeom prst="line">
          <a:avLst/>
        </a:prstGeom>
        <a:noFill/>
        <a:ln w="6350">
          <a:solidFill>
            <a:srgbClr val="000000"/>
          </a:solidFill>
          <a:round/>
          <a:headEnd/>
          <a:tailEnd/>
        </a:ln>
      </xdr:spPr>
    </xdr:sp>
    <xdr:clientData/>
  </xdr:twoCellAnchor>
  <xdr:twoCellAnchor>
    <xdr:from>
      <xdr:col>17</xdr:col>
      <xdr:colOff>1047750</xdr:colOff>
      <xdr:row>20</xdr:row>
      <xdr:rowOff>0</xdr:rowOff>
    </xdr:from>
    <xdr:to>
      <xdr:col>18</xdr:col>
      <xdr:colOff>158750</xdr:colOff>
      <xdr:row>30</xdr:row>
      <xdr:rowOff>44450</xdr:rowOff>
    </xdr:to>
    <xdr:sp macro="" textlink="">
      <xdr:nvSpPr>
        <xdr:cNvPr id="5501681" name="Rectangle 139">
          <a:extLst>
            <a:ext uri="{FF2B5EF4-FFF2-40B4-BE49-F238E27FC236}">
              <a16:creationId xmlns:a16="http://schemas.microsoft.com/office/drawing/2014/main" id="{00000000-0008-0000-0700-0000F1F25300}"/>
            </a:ext>
          </a:extLst>
        </xdr:cNvPr>
        <xdr:cNvSpPr>
          <a:spLocks noChangeArrowheads="1"/>
        </xdr:cNvSpPr>
      </xdr:nvSpPr>
      <xdr:spPr bwMode="auto">
        <a:xfrm>
          <a:off x="14624050" y="3422650"/>
          <a:ext cx="247650" cy="1714500"/>
        </a:xfrm>
        <a:prstGeom prst="rect">
          <a:avLst/>
        </a:prstGeom>
        <a:noFill/>
        <a:ln w="9525" algn="ctr">
          <a:solidFill>
            <a:srgbClr val="00B0F0"/>
          </a:solidFill>
          <a:prstDash val="sysDash"/>
          <a:round/>
          <a:headEnd/>
          <a:tailEnd/>
        </a:ln>
      </xdr:spPr>
    </xdr:sp>
    <xdr:clientData/>
  </xdr:twoCellAnchor>
  <xdr:twoCellAnchor>
    <xdr:from>
      <xdr:col>18</xdr:col>
      <xdr:colOff>927100</xdr:colOff>
      <xdr:row>1</xdr:row>
      <xdr:rowOff>12700</xdr:rowOff>
    </xdr:from>
    <xdr:to>
      <xdr:col>18</xdr:col>
      <xdr:colOff>927100</xdr:colOff>
      <xdr:row>29</xdr:row>
      <xdr:rowOff>69850</xdr:rowOff>
    </xdr:to>
    <xdr:sp macro="" textlink="">
      <xdr:nvSpPr>
        <xdr:cNvPr id="5501682" name="Line 270">
          <a:extLst>
            <a:ext uri="{FF2B5EF4-FFF2-40B4-BE49-F238E27FC236}">
              <a16:creationId xmlns:a16="http://schemas.microsoft.com/office/drawing/2014/main" id="{00000000-0008-0000-0700-0000F2F25300}"/>
            </a:ext>
          </a:extLst>
        </xdr:cNvPr>
        <xdr:cNvSpPr>
          <a:spLocks noChangeShapeType="1"/>
        </xdr:cNvSpPr>
      </xdr:nvSpPr>
      <xdr:spPr bwMode="auto">
        <a:xfrm flipH="1">
          <a:off x="15640050" y="184150"/>
          <a:ext cx="0" cy="4806950"/>
        </a:xfrm>
        <a:prstGeom prst="line">
          <a:avLst/>
        </a:prstGeom>
        <a:noFill/>
        <a:ln w="6350">
          <a:solidFill>
            <a:srgbClr val="000000"/>
          </a:solidFill>
          <a:round/>
          <a:headEnd type="triangle" w="sm" len="lg"/>
          <a:tailEnd type="triangle" w="sm" len="lg"/>
        </a:ln>
      </xdr:spPr>
    </xdr:sp>
    <xdr:clientData/>
  </xdr:twoCellAnchor>
  <xdr:twoCellAnchor>
    <xdr:from>
      <xdr:col>17</xdr:col>
      <xdr:colOff>12700</xdr:colOff>
      <xdr:row>33</xdr:row>
      <xdr:rowOff>95250</xdr:rowOff>
    </xdr:from>
    <xdr:to>
      <xdr:col>17</xdr:col>
      <xdr:colOff>520700</xdr:colOff>
      <xdr:row>33</xdr:row>
      <xdr:rowOff>95250</xdr:rowOff>
    </xdr:to>
    <xdr:sp macro="" textlink="">
      <xdr:nvSpPr>
        <xdr:cNvPr id="5501683" name="Line 301">
          <a:extLst>
            <a:ext uri="{FF2B5EF4-FFF2-40B4-BE49-F238E27FC236}">
              <a16:creationId xmlns:a16="http://schemas.microsoft.com/office/drawing/2014/main" id="{00000000-0008-0000-0700-0000F3F25300}"/>
            </a:ext>
          </a:extLst>
        </xdr:cNvPr>
        <xdr:cNvSpPr>
          <a:spLocks noChangeShapeType="1"/>
        </xdr:cNvSpPr>
      </xdr:nvSpPr>
      <xdr:spPr bwMode="auto">
        <a:xfrm>
          <a:off x="13589000" y="5702300"/>
          <a:ext cx="508000" cy="0"/>
        </a:xfrm>
        <a:prstGeom prst="line">
          <a:avLst/>
        </a:prstGeom>
        <a:noFill/>
        <a:ln w="9525">
          <a:solidFill>
            <a:srgbClr val="000000"/>
          </a:solidFill>
          <a:round/>
          <a:headEnd/>
          <a:tailEnd/>
        </a:ln>
      </xdr:spPr>
    </xdr:sp>
    <xdr:clientData/>
  </xdr:twoCellAnchor>
  <xdr:twoCellAnchor>
    <xdr:from>
      <xdr:col>18</xdr:col>
      <xdr:colOff>787400</xdr:colOff>
      <xdr:row>1</xdr:row>
      <xdr:rowOff>19050</xdr:rowOff>
    </xdr:from>
    <xdr:to>
      <xdr:col>18</xdr:col>
      <xdr:colOff>787400</xdr:colOff>
      <xdr:row>30</xdr:row>
      <xdr:rowOff>38100</xdr:rowOff>
    </xdr:to>
    <xdr:sp macro="" textlink="">
      <xdr:nvSpPr>
        <xdr:cNvPr id="5501684" name="Line 270">
          <a:extLst>
            <a:ext uri="{FF2B5EF4-FFF2-40B4-BE49-F238E27FC236}">
              <a16:creationId xmlns:a16="http://schemas.microsoft.com/office/drawing/2014/main" id="{00000000-0008-0000-0700-0000F4F25300}"/>
            </a:ext>
          </a:extLst>
        </xdr:cNvPr>
        <xdr:cNvSpPr>
          <a:spLocks noChangeShapeType="1"/>
        </xdr:cNvSpPr>
      </xdr:nvSpPr>
      <xdr:spPr bwMode="auto">
        <a:xfrm>
          <a:off x="15500350" y="190500"/>
          <a:ext cx="0" cy="4940300"/>
        </a:xfrm>
        <a:prstGeom prst="line">
          <a:avLst/>
        </a:prstGeom>
        <a:noFill/>
        <a:ln w="6350">
          <a:solidFill>
            <a:srgbClr val="000000"/>
          </a:solidFill>
          <a:round/>
          <a:headEnd type="triangle" w="sm" len="lg"/>
          <a:tailEnd type="triangle" w="sm" len="lg"/>
        </a:ln>
      </xdr:spPr>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omments" Target="../comments1.xml"/><Relationship Id="rId2" Type="http://schemas.openxmlformats.org/officeDocument/2006/relationships/drawing" Target="../drawings/drawing1.xml"/><Relationship Id="rId16" Type="http://schemas.openxmlformats.org/officeDocument/2006/relationships/ctrlProp" Target="../ctrlProps/ctrlProp13.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16.xml"/><Relationship Id="rId3" Type="http://schemas.openxmlformats.org/officeDocument/2006/relationships/vmlDrawing" Target="../drawings/vmlDrawing2.vml"/><Relationship Id="rId7" Type="http://schemas.openxmlformats.org/officeDocument/2006/relationships/ctrlProp" Target="../ctrlProps/ctrlProp15.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14.xml"/><Relationship Id="rId11" Type="http://schemas.openxmlformats.org/officeDocument/2006/relationships/comments" Target="../comments2.xml"/><Relationship Id="rId5" Type="http://schemas.openxmlformats.org/officeDocument/2006/relationships/image" Target="../media/image6.emf"/><Relationship Id="rId10" Type="http://schemas.openxmlformats.org/officeDocument/2006/relationships/ctrlProp" Target="../ctrlProps/ctrlProp18.xml"/><Relationship Id="rId4" Type="http://schemas.openxmlformats.org/officeDocument/2006/relationships/oleObject" Target="../embeddings/oleObject1.bin"/><Relationship Id="rId9" Type="http://schemas.openxmlformats.org/officeDocument/2006/relationships/ctrlProp" Target="../ctrlProps/ctrlProp17.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oleObject" Target="../embeddings/oleObject12.bin"/><Relationship Id="rId21" Type="http://schemas.openxmlformats.org/officeDocument/2006/relationships/image" Target="../media/image14.emf"/><Relationship Id="rId42" Type="http://schemas.openxmlformats.org/officeDocument/2006/relationships/oleObject" Target="../embeddings/oleObject20.bin"/><Relationship Id="rId47" Type="http://schemas.openxmlformats.org/officeDocument/2006/relationships/image" Target="../media/image27.emf"/><Relationship Id="rId63" Type="http://schemas.openxmlformats.org/officeDocument/2006/relationships/image" Target="../media/image35.emf"/><Relationship Id="rId68" Type="http://schemas.openxmlformats.org/officeDocument/2006/relationships/oleObject" Target="../embeddings/oleObject33.bin"/><Relationship Id="rId16" Type="http://schemas.openxmlformats.org/officeDocument/2006/relationships/oleObject" Target="../embeddings/oleObject7.bin"/><Relationship Id="rId11" Type="http://schemas.openxmlformats.org/officeDocument/2006/relationships/image" Target="../media/image9.emf"/><Relationship Id="rId24" Type="http://schemas.openxmlformats.org/officeDocument/2006/relationships/oleObject" Target="../embeddings/oleObject11.bin"/><Relationship Id="rId32" Type="http://schemas.openxmlformats.org/officeDocument/2006/relationships/oleObject" Target="../embeddings/oleObject15.bin"/><Relationship Id="rId37" Type="http://schemas.openxmlformats.org/officeDocument/2006/relationships/image" Target="../media/image22.emf"/><Relationship Id="rId40" Type="http://schemas.openxmlformats.org/officeDocument/2006/relationships/oleObject" Target="../embeddings/oleObject19.bin"/><Relationship Id="rId45" Type="http://schemas.openxmlformats.org/officeDocument/2006/relationships/image" Target="../media/image26.emf"/><Relationship Id="rId53" Type="http://schemas.openxmlformats.org/officeDocument/2006/relationships/image" Target="../media/image30.emf"/><Relationship Id="rId58" Type="http://schemas.openxmlformats.org/officeDocument/2006/relationships/oleObject" Target="../embeddings/oleObject28.bin"/><Relationship Id="rId66" Type="http://schemas.openxmlformats.org/officeDocument/2006/relationships/oleObject" Target="../embeddings/oleObject32.bin"/><Relationship Id="rId74" Type="http://schemas.openxmlformats.org/officeDocument/2006/relationships/oleObject" Target="../embeddings/oleObject36.bin"/><Relationship Id="rId5" Type="http://schemas.openxmlformats.org/officeDocument/2006/relationships/vmlDrawing" Target="../drawings/vmlDrawing3.vml"/><Relationship Id="rId61" Type="http://schemas.openxmlformats.org/officeDocument/2006/relationships/image" Target="../media/image34.emf"/><Relationship Id="rId19" Type="http://schemas.openxmlformats.org/officeDocument/2006/relationships/image" Target="../media/image13.emf"/><Relationship Id="rId14" Type="http://schemas.openxmlformats.org/officeDocument/2006/relationships/oleObject" Target="../embeddings/oleObject6.bin"/><Relationship Id="rId22" Type="http://schemas.openxmlformats.org/officeDocument/2006/relationships/oleObject" Target="../embeddings/oleObject10.bin"/><Relationship Id="rId27" Type="http://schemas.openxmlformats.org/officeDocument/2006/relationships/image" Target="../media/image17.emf"/><Relationship Id="rId30" Type="http://schemas.openxmlformats.org/officeDocument/2006/relationships/oleObject" Target="../embeddings/oleObject14.bin"/><Relationship Id="rId35" Type="http://schemas.openxmlformats.org/officeDocument/2006/relationships/image" Target="../media/image21.emf"/><Relationship Id="rId43" Type="http://schemas.openxmlformats.org/officeDocument/2006/relationships/image" Target="../media/image25.emf"/><Relationship Id="rId48" Type="http://schemas.openxmlformats.org/officeDocument/2006/relationships/oleObject" Target="../embeddings/oleObject23.bin"/><Relationship Id="rId56" Type="http://schemas.openxmlformats.org/officeDocument/2006/relationships/oleObject" Target="../embeddings/oleObject27.bin"/><Relationship Id="rId64" Type="http://schemas.openxmlformats.org/officeDocument/2006/relationships/oleObject" Target="../embeddings/oleObject31.bin"/><Relationship Id="rId69" Type="http://schemas.openxmlformats.org/officeDocument/2006/relationships/image" Target="../media/image38.emf"/><Relationship Id="rId77" Type="http://schemas.openxmlformats.org/officeDocument/2006/relationships/image" Target="../media/image42.emf"/><Relationship Id="rId8" Type="http://schemas.openxmlformats.org/officeDocument/2006/relationships/oleObject" Target="../embeddings/oleObject3.bin"/><Relationship Id="rId51" Type="http://schemas.openxmlformats.org/officeDocument/2006/relationships/image" Target="../media/image29.emf"/><Relationship Id="rId72" Type="http://schemas.openxmlformats.org/officeDocument/2006/relationships/oleObject" Target="../embeddings/oleObject35.bin"/><Relationship Id="rId3" Type="http://schemas.openxmlformats.org/officeDocument/2006/relationships/printerSettings" Target="../printerSettings/printerSettings5.bin"/><Relationship Id="rId12" Type="http://schemas.openxmlformats.org/officeDocument/2006/relationships/oleObject" Target="../embeddings/oleObject5.bin"/><Relationship Id="rId17" Type="http://schemas.openxmlformats.org/officeDocument/2006/relationships/image" Target="../media/image12.emf"/><Relationship Id="rId25" Type="http://schemas.openxmlformats.org/officeDocument/2006/relationships/image" Target="../media/image16.emf"/><Relationship Id="rId33" Type="http://schemas.openxmlformats.org/officeDocument/2006/relationships/image" Target="../media/image20.emf"/><Relationship Id="rId38" Type="http://schemas.openxmlformats.org/officeDocument/2006/relationships/oleObject" Target="../embeddings/oleObject18.bin"/><Relationship Id="rId46" Type="http://schemas.openxmlformats.org/officeDocument/2006/relationships/oleObject" Target="../embeddings/oleObject22.bin"/><Relationship Id="rId59" Type="http://schemas.openxmlformats.org/officeDocument/2006/relationships/image" Target="../media/image33.emf"/><Relationship Id="rId67" Type="http://schemas.openxmlformats.org/officeDocument/2006/relationships/image" Target="../media/image37.emf"/><Relationship Id="rId20" Type="http://schemas.openxmlformats.org/officeDocument/2006/relationships/oleObject" Target="../embeddings/oleObject9.bin"/><Relationship Id="rId41" Type="http://schemas.openxmlformats.org/officeDocument/2006/relationships/image" Target="../media/image24.emf"/><Relationship Id="rId54" Type="http://schemas.openxmlformats.org/officeDocument/2006/relationships/oleObject" Target="../embeddings/oleObject26.bin"/><Relationship Id="rId62" Type="http://schemas.openxmlformats.org/officeDocument/2006/relationships/oleObject" Target="../embeddings/oleObject30.bin"/><Relationship Id="rId70" Type="http://schemas.openxmlformats.org/officeDocument/2006/relationships/oleObject" Target="../embeddings/oleObject34.bin"/><Relationship Id="rId75" Type="http://schemas.openxmlformats.org/officeDocument/2006/relationships/image" Target="../media/image41.emf"/><Relationship Id="rId1" Type="http://schemas.openxmlformats.org/officeDocument/2006/relationships/hyperlink" Target="http://en.wikipedia.org/wiki/Template:Numerical_integrators" TargetMode="External"/><Relationship Id="rId6" Type="http://schemas.openxmlformats.org/officeDocument/2006/relationships/oleObject" Target="../embeddings/oleObject2.bin"/><Relationship Id="rId15" Type="http://schemas.openxmlformats.org/officeDocument/2006/relationships/image" Target="../media/image11.emf"/><Relationship Id="rId23" Type="http://schemas.openxmlformats.org/officeDocument/2006/relationships/image" Target="../media/image15.emf"/><Relationship Id="rId28" Type="http://schemas.openxmlformats.org/officeDocument/2006/relationships/oleObject" Target="../embeddings/oleObject13.bin"/><Relationship Id="rId36" Type="http://schemas.openxmlformats.org/officeDocument/2006/relationships/oleObject" Target="../embeddings/oleObject17.bin"/><Relationship Id="rId49" Type="http://schemas.openxmlformats.org/officeDocument/2006/relationships/image" Target="../media/image28.emf"/><Relationship Id="rId57" Type="http://schemas.openxmlformats.org/officeDocument/2006/relationships/image" Target="../media/image32.emf"/><Relationship Id="rId10" Type="http://schemas.openxmlformats.org/officeDocument/2006/relationships/oleObject" Target="../embeddings/oleObject4.bin"/><Relationship Id="rId31" Type="http://schemas.openxmlformats.org/officeDocument/2006/relationships/image" Target="../media/image19.emf"/><Relationship Id="rId44" Type="http://schemas.openxmlformats.org/officeDocument/2006/relationships/oleObject" Target="../embeddings/oleObject21.bin"/><Relationship Id="rId52" Type="http://schemas.openxmlformats.org/officeDocument/2006/relationships/oleObject" Target="../embeddings/oleObject25.bin"/><Relationship Id="rId60" Type="http://schemas.openxmlformats.org/officeDocument/2006/relationships/oleObject" Target="../embeddings/oleObject29.bin"/><Relationship Id="rId65" Type="http://schemas.openxmlformats.org/officeDocument/2006/relationships/image" Target="../media/image36.emf"/><Relationship Id="rId73" Type="http://schemas.openxmlformats.org/officeDocument/2006/relationships/image" Target="../media/image40.emf"/><Relationship Id="rId4" Type="http://schemas.openxmlformats.org/officeDocument/2006/relationships/drawing" Target="../drawings/drawing5.xml"/><Relationship Id="rId9" Type="http://schemas.openxmlformats.org/officeDocument/2006/relationships/image" Target="../media/image8.emf"/><Relationship Id="rId13" Type="http://schemas.openxmlformats.org/officeDocument/2006/relationships/image" Target="../media/image10.emf"/><Relationship Id="rId18" Type="http://schemas.openxmlformats.org/officeDocument/2006/relationships/oleObject" Target="../embeddings/oleObject8.bin"/><Relationship Id="rId39" Type="http://schemas.openxmlformats.org/officeDocument/2006/relationships/image" Target="../media/image23.emf"/><Relationship Id="rId34" Type="http://schemas.openxmlformats.org/officeDocument/2006/relationships/oleObject" Target="../embeddings/oleObject16.bin"/><Relationship Id="rId50" Type="http://schemas.openxmlformats.org/officeDocument/2006/relationships/oleObject" Target="../embeddings/oleObject24.bin"/><Relationship Id="rId55" Type="http://schemas.openxmlformats.org/officeDocument/2006/relationships/image" Target="../media/image31.emf"/><Relationship Id="rId76" Type="http://schemas.openxmlformats.org/officeDocument/2006/relationships/oleObject" Target="../embeddings/oleObject37.bin"/><Relationship Id="rId7" Type="http://schemas.openxmlformats.org/officeDocument/2006/relationships/image" Target="../media/image7.emf"/><Relationship Id="rId71" Type="http://schemas.openxmlformats.org/officeDocument/2006/relationships/image" Target="../media/image39.emf"/><Relationship Id="rId2" Type="http://schemas.openxmlformats.org/officeDocument/2006/relationships/hyperlink" Target="http://www.planete-sciences.org/espace/basedoc/" TargetMode="External"/><Relationship Id="rId29" Type="http://schemas.openxmlformats.org/officeDocument/2006/relationships/image" Target="../media/image18.emf"/></Relationships>
</file>

<file path=xl/worksheets/_rels/sheet6.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vmlDrawing" Target="../drawings/vmlDrawing4.vml"/><Relationship Id="rId7" Type="http://schemas.openxmlformats.org/officeDocument/2006/relationships/ctrlProp" Target="../ctrlProps/ctrlProp20.xml"/><Relationship Id="rId2" Type="http://schemas.openxmlformats.org/officeDocument/2006/relationships/drawing" Target="../drawings/drawing6.xml"/><Relationship Id="rId1" Type="http://schemas.openxmlformats.org/officeDocument/2006/relationships/printerSettings" Target="../printerSettings/printerSettings6.bin"/><Relationship Id="rId6" Type="http://schemas.openxmlformats.org/officeDocument/2006/relationships/ctrlProp" Target="../ctrlProps/ctrlProp19.xml"/><Relationship Id="rId5" Type="http://schemas.openxmlformats.org/officeDocument/2006/relationships/image" Target="../media/image43.emf"/><Relationship Id="rId4" Type="http://schemas.openxmlformats.org/officeDocument/2006/relationships/oleObject" Target="../embeddings/oleObject38.bin"/></Relationships>
</file>

<file path=xl/worksheets/_rels/sheet7.xml.rels><?xml version="1.0" encoding="UTF-8" standalone="yes"?>
<Relationships xmlns="http://schemas.openxmlformats.org/package/2006/relationships"><Relationship Id="rId3" Type="http://schemas.openxmlformats.org/officeDocument/2006/relationships/hyperlink" Target="http://creativecommons.org/licenses/by-sa/3.0/" TargetMode="External"/><Relationship Id="rId7" Type="http://schemas.openxmlformats.org/officeDocument/2006/relationships/comments" Target="../comments4.xml"/><Relationship Id="rId2" Type="http://schemas.openxmlformats.org/officeDocument/2006/relationships/hyperlink" Target="mailto:espace@planete-sciences.org" TargetMode="External"/><Relationship Id="rId1" Type="http://schemas.openxmlformats.org/officeDocument/2006/relationships/hyperlink" Target="http://www.planete-sciences.org/espace/basedoc/" TargetMode="External"/><Relationship Id="rId6" Type="http://schemas.openxmlformats.org/officeDocument/2006/relationships/vmlDrawing" Target="../drawings/vmlDrawing5.vm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2">
    <pageSetUpPr fitToPage="1"/>
  </sheetPr>
  <dimension ref="A1:W361"/>
  <sheetViews>
    <sheetView showGridLines="0" tabSelected="1" topLeftCell="A7" zoomScaleNormal="100" zoomScaleSheetLayoutView="100" workbookViewId="0">
      <selection activeCell="T27" sqref="T27"/>
    </sheetView>
  </sheetViews>
  <sheetFormatPr baseColWidth="10" defaultColWidth="11.33203125" defaultRowHeight="13.2" x14ac:dyDescent="0.25"/>
  <cols>
    <col min="1" max="1" width="2.21875" style="35" customWidth="1"/>
    <col min="2" max="2" width="16.21875" style="35" customWidth="1"/>
    <col min="3" max="3" width="12.77734375" style="52" customWidth="1"/>
    <col min="4" max="4" width="12.77734375" style="35" customWidth="1"/>
    <col min="5" max="5" width="4.21875" style="119" customWidth="1"/>
    <col min="6" max="6" width="10.21875" style="56" bestFit="1" customWidth="1"/>
    <col min="7" max="7" width="10" style="56" bestFit="1" customWidth="1"/>
    <col min="8" max="9" width="8.6640625" style="56" customWidth="1"/>
    <col min="10" max="10" width="5.33203125" style="35" customWidth="1"/>
    <col min="11" max="11" width="2.21875" style="35" customWidth="1"/>
    <col min="12" max="12" width="17" style="35" customWidth="1"/>
    <col min="13" max="13" width="8.6640625" style="35" customWidth="1"/>
    <col min="14" max="15" width="4.21875" style="35" customWidth="1"/>
    <col min="16" max="16" width="8.6640625" style="35" customWidth="1"/>
    <col min="17" max="18" width="2.21875" style="35" customWidth="1"/>
    <col min="19" max="16384" width="11.33203125" style="35"/>
  </cols>
  <sheetData>
    <row r="1" spans="1:20" ht="12.75" customHeight="1" x14ac:dyDescent="0.25">
      <c r="A1" s="29"/>
      <c r="B1" s="30"/>
      <c r="C1" s="31"/>
      <c r="D1" s="30"/>
      <c r="E1" s="113"/>
      <c r="F1" s="32"/>
      <c r="G1" s="32"/>
      <c r="H1" s="32"/>
      <c r="I1" s="32"/>
      <c r="J1" s="30"/>
      <c r="K1" s="30"/>
      <c r="L1" s="30"/>
      <c r="M1" s="30"/>
      <c r="N1" s="30"/>
      <c r="O1" s="30"/>
      <c r="P1" s="30"/>
      <c r="Q1" s="33"/>
      <c r="R1" s="34"/>
    </row>
    <row r="2" spans="1:20" ht="12.75" customHeight="1" x14ac:dyDescent="0.25">
      <c r="A2" s="36"/>
      <c r="B2" s="34"/>
      <c r="C2" s="663" t="s">
        <v>54</v>
      </c>
      <c r="D2" s="663"/>
      <c r="E2" s="114"/>
      <c r="F2" s="37"/>
      <c r="G2" s="37"/>
      <c r="H2" s="37"/>
      <c r="I2" s="37"/>
      <c r="J2" s="34"/>
      <c r="K2" s="34"/>
      <c r="L2" s="180" t="str">
        <f>"Language/Langue"</f>
        <v>Language/Langue</v>
      </c>
      <c r="M2" s="688" t="s">
        <v>1</v>
      </c>
      <c r="N2" s="688"/>
      <c r="O2" s="688"/>
      <c r="P2" s="689"/>
      <c r="Q2" s="38"/>
      <c r="R2" s="34"/>
    </row>
    <row r="3" spans="1:20" ht="12.75" customHeight="1" x14ac:dyDescent="0.25">
      <c r="A3" s="36"/>
      <c r="B3" s="34"/>
      <c r="C3" s="663"/>
      <c r="D3" s="663"/>
      <c r="E3" s="114"/>
      <c r="F3" s="37"/>
      <c r="G3" s="37"/>
      <c r="H3" s="37"/>
      <c r="I3" s="37"/>
      <c r="J3" s="34"/>
      <c r="K3" s="34"/>
      <c r="L3" s="696"/>
      <c r="M3" s="696"/>
      <c r="N3" s="214"/>
      <c r="O3" s="34"/>
      <c r="P3" s="34"/>
      <c r="Q3" s="38"/>
      <c r="R3" s="34"/>
    </row>
    <row r="4" spans="1:20" ht="12.75" customHeight="1" x14ac:dyDescent="0.25">
      <c r="A4" s="36"/>
      <c r="B4" s="34"/>
      <c r="C4" s="664" t="str">
        <f>IF(Lang="Français","Stabilité de fusée à ailerons",IF(Lang="English","Stability for rocket with fins",""))</f>
        <v>Stabilité de fusée à ailerons</v>
      </c>
      <c r="D4" s="664"/>
      <c r="E4" s="114"/>
      <c r="F4" s="37"/>
      <c r="G4" s="37"/>
      <c r="H4" s="37"/>
      <c r="I4" s="37"/>
      <c r="J4" s="34"/>
      <c r="K4" s="34"/>
      <c r="L4" s="45"/>
      <c r="M4" s="688" t="s">
        <v>552</v>
      </c>
      <c r="N4" s="688"/>
      <c r="O4" s="688"/>
      <c r="P4" s="689"/>
      <c r="Q4" s="38"/>
      <c r="R4" s="34"/>
    </row>
    <row r="5" spans="1:20" ht="12.75" customHeight="1" x14ac:dyDescent="0.3">
      <c r="A5" s="36"/>
      <c r="B5" s="39"/>
      <c r="C5" s="645"/>
      <c r="D5" s="645"/>
      <c r="E5" s="114"/>
      <c r="F5" s="37"/>
      <c r="G5" s="37"/>
      <c r="H5" s="37"/>
      <c r="I5" s="37"/>
      <c r="J5" s="34"/>
      <c r="K5" s="34"/>
      <c r="L5" s="45"/>
      <c r="M5" s="670" t="s">
        <v>157</v>
      </c>
      <c r="N5" s="671"/>
      <c r="O5" s="699" t="s">
        <v>158</v>
      </c>
      <c r="P5" s="699"/>
      <c r="Q5" s="40"/>
      <c r="R5" s="34"/>
    </row>
    <row r="6" spans="1:20" ht="12.75" customHeight="1" thickBot="1" x14ac:dyDescent="0.3">
      <c r="A6" s="36"/>
      <c r="B6" s="111"/>
      <c r="C6" s="658" t="str">
        <f>IF(Lang="Français","Remplir les cases jaunes",IF(Lang="English","Fill-in yellow cells only",""))</f>
        <v>Remplir les cases jaunes</v>
      </c>
      <c r="D6" s="658"/>
      <c r="E6" s="114"/>
      <c r="F6" s="37"/>
      <c r="G6" s="37"/>
      <c r="H6" s="37"/>
      <c r="I6" s="37"/>
      <c r="J6" s="34"/>
      <c r="K6" s="34"/>
      <c r="L6" s="172" t="str">
        <f>IF(Lang="Français","Longueur      'L'",IF(Lang="English","Length      'L'",""))</f>
        <v>Longueur      'L'</v>
      </c>
      <c r="M6" s="659">
        <v>50</v>
      </c>
      <c r="N6" s="660"/>
      <c r="O6" s="680">
        <v>50</v>
      </c>
      <c r="P6" s="680"/>
      <c r="Q6" s="40"/>
      <c r="R6" s="34"/>
    </row>
    <row r="7" spans="1:20" ht="12.75" customHeight="1" thickTop="1" thickBot="1" x14ac:dyDescent="0.3">
      <c r="A7" s="36"/>
      <c r="B7" s="42"/>
      <c r="C7" s="666" t="str">
        <f>IF(Lang="Français","Fusée",IF(Lang="English","Rocket",""))</f>
        <v>Fusée</v>
      </c>
      <c r="D7" s="667"/>
      <c r="E7" s="114"/>
      <c r="F7" s="37"/>
      <c r="G7" s="37"/>
      <c r="H7" s="37"/>
      <c r="I7" s="37"/>
      <c r="J7" s="34"/>
      <c r="K7" s="34"/>
      <c r="L7" s="172" t="str">
        <f>IF(Lang="Français","Diamètre     'D1'",IF(Lang="English","Diameter 'D1'",""))</f>
        <v>Diamètre     'D1'</v>
      </c>
      <c r="M7" s="659">
        <f>D_og</f>
        <v>100</v>
      </c>
      <c r="N7" s="660"/>
      <c r="O7" s="680">
        <f>D2j</f>
        <v>80</v>
      </c>
      <c r="P7" s="680"/>
      <c r="Q7" s="40"/>
      <c r="R7" s="34"/>
    </row>
    <row r="8" spans="1:20" ht="12.75" customHeight="1" thickTop="1" x14ac:dyDescent="0.25">
      <c r="A8" s="36"/>
      <c r="B8" s="171" t="str">
        <f>IF(Lang="Français","Nom",IF(Lang="English","Name",""))</f>
        <v>Nom</v>
      </c>
      <c r="C8" s="661" t="s">
        <v>557</v>
      </c>
      <c r="D8" s="661"/>
      <c r="E8" s="115"/>
      <c r="F8" s="37"/>
      <c r="G8" s="37"/>
      <c r="H8" s="37"/>
      <c r="I8" s="37"/>
      <c r="J8" s="34"/>
      <c r="K8" s="44"/>
      <c r="L8" s="172" t="str">
        <f>IF(Lang="Français","Diamètre     'D2'",IF(Lang="English","Diameter 'D2'",""))</f>
        <v>Diamètre     'D2'</v>
      </c>
      <c r="M8" s="659">
        <v>80</v>
      </c>
      <c r="N8" s="660"/>
      <c r="O8" s="680">
        <f>D_og</f>
        <v>100</v>
      </c>
      <c r="P8" s="680"/>
      <c r="Q8" s="40"/>
      <c r="R8" s="34"/>
    </row>
    <row r="9" spans="1:20" ht="12.75" customHeight="1" x14ac:dyDescent="0.25">
      <c r="A9" s="36"/>
      <c r="B9" s="171" t="s">
        <v>4</v>
      </c>
      <c r="C9" s="662" t="s">
        <v>558</v>
      </c>
      <c r="D9" s="662"/>
      <c r="E9" s="115"/>
      <c r="F9" s="37"/>
      <c r="G9" s="37"/>
      <c r="H9" s="37"/>
      <c r="I9" s="37"/>
      <c r="J9" s="34"/>
      <c r="K9" s="44"/>
      <c r="L9" s="172" t="str">
        <f>IF(Lang="Français","Implantation 'x'",IF(Lang="English","Basement 'x'",""))</f>
        <v>Implantation 'x'</v>
      </c>
      <c r="M9" s="659">
        <v>300</v>
      </c>
      <c r="N9" s="660"/>
      <c r="O9" s="680">
        <v>500</v>
      </c>
      <c r="P9" s="680"/>
      <c r="Q9" s="40"/>
      <c r="R9" s="34"/>
    </row>
    <row r="10" spans="1:20" ht="12.75" customHeight="1" x14ac:dyDescent="0.25">
      <c r="A10" s="36"/>
      <c r="B10" s="172" t="s">
        <v>55</v>
      </c>
      <c r="C10" s="668" t="s">
        <v>559</v>
      </c>
      <c r="D10" s="669"/>
      <c r="E10" s="115"/>
      <c r="F10" s="37"/>
      <c r="G10" s="37"/>
      <c r="H10" s="37"/>
      <c r="I10" s="37"/>
      <c r="J10" s="34"/>
      <c r="K10" s="44"/>
      <c r="L10" s="34"/>
      <c r="M10" s="34"/>
      <c r="N10" s="34"/>
      <c r="O10" s="34"/>
      <c r="P10" s="34"/>
      <c r="Q10" s="40"/>
      <c r="R10" s="34"/>
    </row>
    <row r="11" spans="1:20" ht="12.75" customHeight="1" x14ac:dyDescent="0.25">
      <c r="A11" s="36"/>
      <c r="B11" s="172" t="str">
        <f>IF(Lang="Français","Masse",IF(Lang="English","Weight",""))</f>
        <v>Masse</v>
      </c>
      <c r="C11" s="260">
        <v>8000</v>
      </c>
      <c r="D11" s="47" t="s">
        <v>425</v>
      </c>
      <c r="E11" s="116"/>
      <c r="F11" s="37"/>
      <c r="G11" s="37"/>
      <c r="H11" s="37"/>
      <c r="I11" s="37"/>
      <c r="J11" s="34"/>
      <c r="K11" s="45"/>
      <c r="L11" s="136"/>
      <c r="M11" s="262" t="str">
        <f>IF(Lang="Français","Propu plein",IF(Lang="English","Loaded Motor",""))</f>
        <v>Propu plein</v>
      </c>
      <c r="N11" s="697" t="str">
        <f>IF(Lang="Français","Propu vide",IF(Lang="English","Empty Motor",""))</f>
        <v>Propu vide</v>
      </c>
      <c r="O11" s="698"/>
      <c r="P11" s="262" t="str">
        <f>IF(Lang="Français","Sans propu",IF(Lang="English","Without M",""))</f>
        <v>Sans propu</v>
      </c>
      <c r="Q11" s="40"/>
      <c r="R11" s="34"/>
      <c r="S11" s="446"/>
      <c r="T11" s="447" t="str">
        <f>IF(Lang="Français","Propulseur",IF(Lang="English","Motor",""))</f>
        <v>Propulseur</v>
      </c>
    </row>
    <row r="12" spans="1:20" ht="12.75" customHeight="1" x14ac:dyDescent="0.25">
      <c r="A12" s="36"/>
      <c r="B12" s="172" t="str">
        <f>IF(Lang="Français","Centre de Masse",IF(Lang="English","Center of Mass",""))</f>
        <v>Centre de Masse</v>
      </c>
      <c r="C12" s="48">
        <v>1100</v>
      </c>
      <c r="D12" s="47" t="s">
        <v>425</v>
      </c>
      <c r="E12" s="114"/>
      <c r="F12" s="37"/>
      <c r="G12" s="37"/>
      <c r="H12" s="37"/>
      <c r="I12" s="37"/>
      <c r="J12" s="34"/>
      <c r="K12" s="34"/>
      <c r="L12" s="137" t="str">
        <f>IF(Lang="Français","Masse propu",IF(Lang="English","Motor Mass",""))</f>
        <v>Masse propu</v>
      </c>
      <c r="M12" s="138">
        <f ca="1">MpropuPlein</f>
        <v>3.5110000000000001</v>
      </c>
      <c r="N12" s="692">
        <f ca="1">MpropuVide</f>
        <v>1.6379999999999999</v>
      </c>
      <c r="O12" s="693"/>
      <c r="P12" s="139" t="s">
        <v>14</v>
      </c>
      <c r="Q12" s="40"/>
      <c r="R12" s="34"/>
      <c r="S12" s="447" t="str">
        <f>IF(Lang="Français","Haut",IF(Lang="English","Top",""))</f>
        <v>Haut</v>
      </c>
      <c r="T12" s="448">
        <f ca="1">XpropuRef-Long_propu</f>
        <v>1314</v>
      </c>
    </row>
    <row r="13" spans="1:20" ht="12.75" customHeight="1" x14ac:dyDescent="0.25">
      <c r="A13" s="36"/>
      <c r="B13" s="172" t="str">
        <f>IF(Lang="Français","Longueur totale",IF(Lang="English","Total length",""))</f>
        <v>Longueur totale</v>
      </c>
      <c r="C13" s="659">
        <v>1800</v>
      </c>
      <c r="D13" s="660"/>
      <c r="E13" s="114"/>
      <c r="F13" s="37"/>
      <c r="G13" s="37"/>
      <c r="H13" s="37"/>
      <c r="I13" s="37"/>
      <c r="J13" s="34"/>
      <c r="K13" s="34"/>
      <c r="L13" s="137" t="str">
        <f>IF(Lang="Français","CdM propu",IF(Lang="English","Motor CoM",""))</f>
        <v>CdM propu</v>
      </c>
      <c r="M13" s="140">
        <f ca="1">XpropuPlein</f>
        <v>243</v>
      </c>
      <c r="N13" s="690">
        <f ca="1">XpropuVide</f>
        <v>243</v>
      </c>
      <c r="O13" s="691"/>
      <c r="P13" s="139" t="s">
        <v>14</v>
      </c>
      <c r="Q13" s="40"/>
      <c r="R13" s="34"/>
      <c r="S13" s="447" t="str">
        <f>IF(Lang="Français","Longueur",IF(Lang="English","Length",""))</f>
        <v>Longueur</v>
      </c>
      <c r="T13" s="448">
        <f ca="1">Long_propu</f>
        <v>486</v>
      </c>
    </row>
    <row r="14" spans="1:20" ht="12.75" customHeight="1" x14ac:dyDescent="0.25">
      <c r="A14" s="36"/>
      <c r="B14" s="172" t="str">
        <f>IF(Lang="Français","Diamètre Réf.",IF(Lang="English","Ref. Diameter",""))</f>
        <v>Diamètre Réf.</v>
      </c>
      <c r="C14" s="659">
        <f>D_og</f>
        <v>100</v>
      </c>
      <c r="D14" s="660"/>
      <c r="E14" s="114"/>
      <c r="F14" s="37"/>
      <c r="G14" s="37"/>
      <c r="H14" s="37"/>
      <c r="I14" s="37"/>
      <c r="J14" s="34"/>
      <c r="K14" s="34"/>
      <c r="L14" s="137" t="str">
        <f>IF(Lang="Français","Masse fusée",IF(Lang="English","Rocket Mass",""))</f>
        <v>Masse fusée</v>
      </c>
      <c r="M14" s="141">
        <f ca="1">MasseSans+MpropuPlein</f>
        <v>11.510999999999999</v>
      </c>
      <c r="N14" s="672">
        <f ca="1">MasseSans+MpropuVide</f>
        <v>9.6379999999999999</v>
      </c>
      <c r="O14" s="673"/>
      <c r="P14" s="138">
        <f>IF(OR(D11="sans propu",D11="without motor"),C11/1000,IF(OR(D11="avec propu vide",D11="with empty motor"),C11/1000-MpropuVide,IF(OR(D11="avec propu plein",D11="with loaded motor"),C11/1000-MpropuPlein,"Erreur")))</f>
        <v>8</v>
      </c>
      <c r="Q14" s="40"/>
      <c r="R14" s="34"/>
      <c r="S14" s="447" t="str">
        <f>IF(Lang="Français","Bas",IF(Lang="English","Base",""))</f>
        <v>Bas</v>
      </c>
      <c r="T14" s="448">
        <f>XpropuRef</f>
        <v>1800</v>
      </c>
    </row>
    <row r="15" spans="1:20" ht="12.75" customHeight="1" thickBot="1" x14ac:dyDescent="0.3">
      <c r="A15" s="36"/>
      <c r="B15" s="34"/>
      <c r="C15" s="42"/>
      <c r="D15" s="42"/>
      <c r="E15" s="114"/>
      <c r="F15" s="37"/>
      <c r="G15" s="37"/>
      <c r="H15" s="37"/>
      <c r="I15" s="37"/>
      <c r="J15" s="34"/>
      <c r="K15" s="34"/>
      <c r="L15" s="208" t="str">
        <f>IF(Lang="Français","CdM fusée",IF(Lang="English","Rocket CoM",""))</f>
        <v>CdM fusée</v>
      </c>
      <c r="M15" s="209">
        <f ca="1">(XcgSans*MasseSans+(XpropuRef-Long_propu+XpropuPlein)*MpropuPlein)/MassePlein</f>
        <v>1239.3907566675355</v>
      </c>
      <c r="N15" s="674">
        <f ca="1">(XcgSans*MasseSans+(XpropuRef-Long_propu+XpropuVide)*MpropuVide)/MasseVide</f>
        <v>1177.6681884208342</v>
      </c>
      <c r="O15" s="675"/>
      <c r="P15" s="142">
        <f>IF(OR(D12="sans propu",D12="without motor"),C12,IF(OR(D12="avec propu vide",D12="with empty motor"),(C12*MasseVide-(XpropuRef-Long_propu+XpropuVide)*MpropuVide)/MasseSans,IF(OR(D12="avec propu plein",D12="with loaded motor"),(C12*MassePlein-(XpropuRef-Long_propu+XpropuPlein)*MpropuPlein)/MasseSans,"Erreur")))</f>
        <v>1100</v>
      </c>
      <c r="Q15" s="40"/>
      <c r="R15" s="34"/>
    </row>
    <row r="16" spans="1:20" ht="12.75" customHeight="1" thickTop="1" thickBot="1" x14ac:dyDescent="0.3">
      <c r="A16" s="36"/>
      <c r="B16" s="34"/>
      <c r="C16" s="647" t="str">
        <f>IF(Lang="Français","Propulseur",IF(Lang="English","Motor",""))</f>
        <v>Propulseur</v>
      </c>
      <c r="D16" s="648"/>
      <c r="E16" s="114"/>
      <c r="F16" s="37"/>
      <c r="G16" s="37"/>
      <c r="H16" s="37"/>
      <c r="I16" s="37"/>
      <c r="J16" s="34"/>
      <c r="K16" s="34"/>
      <c r="L16" s="123"/>
      <c r="M16" s="123"/>
      <c r="N16" s="123"/>
      <c r="O16" s="123"/>
      <c r="P16" s="123"/>
      <c r="Q16" s="40"/>
      <c r="R16" s="34"/>
      <c r="S16" s="446"/>
      <c r="T16" s="447" t="str">
        <f>IF(RIGHT(Type_masquage,1)=",",IF(Lang="Français","Ailerons","Fins"),IF(Lang="Français","Ailerons bas","Lower Fins"))</f>
        <v>Ailerons bas</v>
      </c>
    </row>
    <row r="17" spans="1:20" ht="12.75" customHeight="1" thickTop="1" x14ac:dyDescent="0.25">
      <c r="A17" s="36"/>
      <c r="B17" s="172" t="s">
        <v>55</v>
      </c>
      <c r="C17" s="649" t="s">
        <v>555</v>
      </c>
      <c r="D17" s="650"/>
      <c r="E17" s="114"/>
      <c r="F17" s="37"/>
      <c r="G17" s="37"/>
      <c r="H17" s="37"/>
      <c r="I17" s="37"/>
      <c r="J17" s="34"/>
      <c r="K17" s="34"/>
      <c r="L17" s="143"/>
      <c r="M17" s="676" t="s">
        <v>56</v>
      </c>
      <c r="N17" s="677"/>
      <c r="O17" s="700" t="s">
        <v>66</v>
      </c>
      <c r="P17" s="700"/>
      <c r="Q17" s="40"/>
      <c r="R17" s="34"/>
      <c r="S17" s="447" t="str">
        <f>IF(Lang="Français","Haut","Top")</f>
        <v>Haut</v>
      </c>
      <c r="T17" s="448">
        <f>X_ail-m_ail</f>
        <v>1580</v>
      </c>
    </row>
    <row r="18" spans="1:20" ht="12.75" customHeight="1" x14ac:dyDescent="0.25">
      <c r="A18" s="36"/>
      <c r="B18" s="172" t="str">
        <f>IF(Lang="Français","Position du bas",IF(Lang="English","Basement",""))</f>
        <v>Position du bas</v>
      </c>
      <c r="C18" s="680">
        <f>Long_tot</f>
        <v>1800</v>
      </c>
      <c r="D18" s="680"/>
      <c r="F18" s="37"/>
      <c r="G18" s="37"/>
      <c r="H18" s="37"/>
      <c r="I18" s="37"/>
      <c r="J18" s="34"/>
      <c r="K18" s="50"/>
      <c r="L18" s="137" t="str">
        <f>IF(Lang="Français","Coiffe",IF(Lang="English","Nose Cone",""))</f>
        <v>Coiffe</v>
      </c>
      <c r="M18" s="652">
        <f>IF(LEFT(Forme_ogive,5)="Parab",1/2*Long_ogive,IF(LEFT(Forme_ogive,4)="Ogiv",7/15*Long_ogive,IF(LEFT(Forme_ogive,3)="Con",2/3*Long_ogive)))</f>
        <v>116.66666666666667</v>
      </c>
      <c r="N18" s="653"/>
      <c r="O18" s="651">
        <f>2*POWER(D_og/D_ref, 2)</f>
        <v>2</v>
      </c>
      <c r="P18" s="651"/>
      <c r="Q18" s="40"/>
      <c r="R18" s="34"/>
      <c r="S18" s="447" t="str">
        <f>IF(Lang="Français","Emplanture","Root edge")</f>
        <v>Emplanture</v>
      </c>
      <c r="T18" s="448">
        <f>m_ail</f>
        <v>220</v>
      </c>
    </row>
    <row r="19" spans="1:20" ht="12.75" customHeight="1" thickBot="1" x14ac:dyDescent="0.3">
      <c r="A19" s="36"/>
      <c r="B19" s="493" t="str">
        <f>IF(Propu="Cariacou","Cariacou :"," ")</f>
        <v xml:space="preserve"> </v>
      </c>
      <c r="C19" s="681" t="str">
        <f>IF(Propu="Pandora (Pro24-6G)",IF(Lang="Français","C'Space Seulement",IF(Lang="English","C'Space only","")),"")</f>
        <v/>
      </c>
      <c r="D19" s="681"/>
      <c r="E19" s="114"/>
      <c r="F19" s="37"/>
      <c r="G19" s="37"/>
      <c r="H19" s="37"/>
      <c r="I19" s="37"/>
      <c r="J19" s="34"/>
      <c r="K19" s="34"/>
      <c r="L19" s="137" t="str">
        <f>IF(Lang="Français","Ailerons",IF(Lang="English","Fins",""))</f>
        <v>Ailerons</v>
      </c>
      <c r="M19" s="652">
        <f>(XCpa*Cnail-0.5*XCpi*Cni)/Cnai</f>
        <v>1709.375</v>
      </c>
      <c r="N19" s="653"/>
      <c r="O19" s="654">
        <f>Cnail-Cni/2</f>
        <v>17.135014339693754</v>
      </c>
      <c r="P19" s="655"/>
      <c r="Q19" s="40"/>
      <c r="R19" s="34"/>
      <c r="S19" s="447" t="str">
        <f>IF(Lang="Français","Bas","Base")</f>
        <v>Bas</v>
      </c>
      <c r="T19" s="448">
        <f>X_ail</f>
        <v>1800</v>
      </c>
    </row>
    <row r="20" spans="1:20" ht="12.75" customHeight="1" thickTop="1" thickBot="1" x14ac:dyDescent="0.3">
      <c r="A20" s="36"/>
      <c r="B20" s="51"/>
      <c r="C20" s="656" t="str">
        <f>IF(Lang="Français","Coiffe",IF(Lang="English","Nose Cone",""))</f>
        <v>Coiffe</v>
      </c>
      <c r="D20" s="657"/>
      <c r="E20" s="114"/>
      <c r="F20" s="37"/>
      <c r="G20" s="37"/>
      <c r="H20" s="37"/>
      <c r="I20" s="37"/>
      <c r="J20" s="34"/>
      <c r="K20" s="34"/>
      <c r="L20" s="137" t="str">
        <f>IF(Lang="Français","Ail bas entier",IF(Lang="English","Total Lower Fins",""))</f>
        <v>Ail bas entier</v>
      </c>
      <c r="M20" s="652">
        <f>X_ail-m_ail+p_ail*(m_ail+2*n_ail)/(3*(m_ail+n_ail))+(m_ail+n_ail-m_ail*n_ail/(m_ail+n_ail))/6</f>
        <v>1709.375</v>
      </c>
      <c r="N20" s="653"/>
      <c r="O20" s="651">
        <f>4*Q_ail*POWER((E_ail/D_ref),2)*(1+D_ail/(2*E_ail+D_ail))/(1+SQRT(1+POWER(2*f_ail/(m_ail+n_ail),2)))</f>
        <v>17.135014339693754</v>
      </c>
      <c r="P20" s="651"/>
      <c r="Q20" s="40"/>
      <c r="R20" s="34"/>
    </row>
    <row r="21" spans="1:20" ht="12.75" customHeight="1" thickTop="1" x14ac:dyDescent="0.25">
      <c r="A21" s="36"/>
      <c r="B21" s="172" t="str">
        <f>IF(Lang="Français","Forme",IF(Lang="English","Shape",""))</f>
        <v>Forme</v>
      </c>
      <c r="C21" s="682" t="s">
        <v>550</v>
      </c>
      <c r="D21" s="683"/>
      <c r="E21" s="114"/>
      <c r="F21" s="37"/>
      <c r="G21" s="37"/>
      <c r="H21" s="37"/>
      <c r="I21" s="37"/>
      <c r="J21" s="34"/>
      <c r="K21" s="34"/>
      <c r="L21" s="137" t="str">
        <f>IF(Lang="Français","Ailerons haut",IF(Lang="English","Upper Fins",""))</f>
        <v>Ailerons haut</v>
      </c>
      <c r="M21" s="652">
        <f>IF(LEFT(Type_masquage,1)="M",0, X_can-m_can+p_can*(m_can+2*n_can)/(3*(m_can+n_can))+(m_can+n_can-m_can*n_can/(m_can+n_can))/6)</f>
        <v>0</v>
      </c>
      <c r="N21" s="653"/>
      <c r="O21" s="651">
        <f>IF(LEFT(Type_masquage,1)="M",0, 4*Q_can*POWER((E_can/D_ref),2)*(1+D_can/(2*E_can+D_can))/(1+SQRT(1+POWER(2*f_can/(m_can+n_can),2))))</f>
        <v>0</v>
      </c>
      <c r="P21" s="651"/>
      <c r="Q21" s="40"/>
      <c r="R21" s="34"/>
    </row>
    <row r="22" spans="1:20" ht="12.75" customHeight="1" x14ac:dyDescent="0.25">
      <c r="A22" s="36"/>
      <c r="B22" s="172" t="str">
        <f>IF(Lang="Français","Hauteur",IF(Lang="English","Heigth",""))</f>
        <v>Hauteur</v>
      </c>
      <c r="C22" s="659">
        <v>250</v>
      </c>
      <c r="D22" s="660"/>
      <c r="E22" s="114"/>
      <c r="F22" s="37"/>
      <c r="G22" s="37"/>
      <c r="H22" s="37"/>
      <c r="I22" s="37"/>
      <c r="J22" s="34"/>
      <c r="K22" s="34"/>
      <c r="L22" s="137" t="str">
        <f>IF(Lang="Français","Partie masquée",IF(Lang="English","Interation zone",""))</f>
        <v>Partie masquée</v>
      </c>
      <c r="M22" s="665">
        <f>IF(LEFT(Type_masquage,1)="B", X_int-m_int+p_int*(m_int+2*n_int)/(3*(m_int+n_int))+(m_int+n_int-m_int*n_int/(m_int+n_int))/6, 0 )</f>
        <v>0</v>
      </c>
      <c r="N22" s="665"/>
      <c r="O22" s="654">
        <f>IF(LEFT(Type_masquage,1)="B", 4*Q_int*POWER((E_int/D_ref),2)*(1+D_int/(2*E_int+D_int))/(1+SQRT(1+POWER(2*f_int/(m_int+n_int),2))), 0 )</f>
        <v>0</v>
      </c>
      <c r="P22" s="655"/>
      <c r="Q22" s="40"/>
      <c r="R22" s="34"/>
    </row>
    <row r="23" spans="1:20" ht="12.75" customHeight="1" x14ac:dyDescent="0.25">
      <c r="A23" s="36"/>
      <c r="B23" s="172" t="str">
        <f>IF(Lang="Français","Diamètre",IF(Lang="English","Diameter",""))</f>
        <v>Diamètre</v>
      </c>
      <c r="C23" s="659">
        <v>100</v>
      </c>
      <c r="D23" s="660"/>
      <c r="E23" s="114"/>
      <c r="F23" s="37"/>
      <c r="G23" s="37"/>
      <c r="H23" s="37"/>
      <c r="I23" s="37"/>
      <c r="J23" s="34"/>
      <c r="K23" s="34"/>
      <c r="L23" s="137" t="s">
        <v>157</v>
      </c>
      <c r="M23" s="652">
        <f>IF(OR(RIGHT(Nb_diam,1)=",",D2j=0),0, X_j+l_j/3*(1+1/(1+D1j/D2j)) )</f>
        <v>0</v>
      </c>
      <c r="N23" s="653"/>
      <c r="O23" s="651">
        <f>IF(OR(RIGHT(Nb_diam,1)=",",D2j=0),0,2*(POWER(D2j/D_ref,2)-POWER(D1j/D_ref,2)))</f>
        <v>0</v>
      </c>
      <c r="P23" s="651"/>
      <c r="Q23" s="40"/>
      <c r="R23" s="34"/>
    </row>
    <row r="24" spans="1:20" ht="12.75" customHeight="1" thickBot="1" x14ac:dyDescent="0.3">
      <c r="A24" s="36"/>
      <c r="E24" s="114"/>
      <c r="F24" s="37"/>
      <c r="G24" s="37"/>
      <c r="H24" s="37"/>
      <c r="I24" s="37"/>
      <c r="J24" s="34"/>
      <c r="K24" s="34"/>
      <c r="L24" s="137" t="s">
        <v>158</v>
      </c>
      <c r="M24" s="652">
        <f>IF( OR(RIGHT(Nb_diam,1)=",",D2r=0), 0, X_r+l_r/3*(1+1/(1+D1r/D2r)) )</f>
        <v>0</v>
      </c>
      <c r="N24" s="653"/>
      <c r="O24" s="651">
        <f>IF( OR(RIGHT(Nb_diam,1)=",",D2r=0), 0, 2*(POWER(D2r/D_ref,2)-POWER(D1r/D_ref,2)) )</f>
        <v>0</v>
      </c>
      <c r="P24" s="651"/>
      <c r="Q24" s="40"/>
      <c r="R24" s="34"/>
    </row>
    <row r="25" spans="1:20" ht="12.75" customHeight="1" thickTop="1" thickBot="1" x14ac:dyDescent="0.3">
      <c r="A25" s="36"/>
      <c r="B25" s="41"/>
      <c r="C25" s="211" t="str">
        <f>IF(LEFT(Type_masquage,1)="M",IF(Lang="Français","Ailerons","Fins"),IF(Lang="Français","Ailerons bas","Lower Fins"))</f>
        <v>Ailerons</v>
      </c>
      <c r="D25" s="212" t="str">
        <f>IF(Lang="Français","Ailerons haut",IF(Lang="English","Upper Fins",""))</f>
        <v>Ailerons haut</v>
      </c>
      <c r="E25" s="213" t="s">
        <v>152</v>
      </c>
      <c r="F25" s="37"/>
      <c r="G25" s="37"/>
      <c r="H25" s="37"/>
      <c r="I25" s="37"/>
      <c r="J25" s="34"/>
      <c r="K25" s="53"/>
      <c r="L25" s="54"/>
      <c r="M25" s="54"/>
      <c r="N25" s="54"/>
      <c r="O25" s="34"/>
      <c r="P25" s="34"/>
      <c r="Q25" s="40"/>
      <c r="R25" s="54"/>
      <c r="S25" s="449" t="str">
        <f ca="1">IF(AND(Portee_balistique&gt;200,LEFT(Type_propu,3)="Min"),IF(Lang="Français","Fusée trop lègère !","Rocket too light"),"")</f>
        <v/>
      </c>
    </row>
    <row r="26" spans="1:20" ht="12.75" customHeight="1" thickTop="1" x14ac:dyDescent="0.25">
      <c r="A26" s="36"/>
      <c r="B26" s="41"/>
      <c r="C26" s="678" t="s">
        <v>426</v>
      </c>
      <c r="D26" s="679"/>
      <c r="E26" s="117"/>
      <c r="F26" s="55">
        <f ca="1">TODAY()</f>
        <v>44882</v>
      </c>
      <c r="G26" s="170" t="s">
        <v>63</v>
      </c>
      <c r="H26" s="646" t="str">
        <f>IF(Lang="Français","Résultats",IF(Lang="English","Results",""))</f>
        <v>Résultats</v>
      </c>
      <c r="I26" s="646"/>
      <c r="J26" s="170" t="s">
        <v>64</v>
      </c>
      <c r="K26" s="43"/>
      <c r="L26" s="54"/>
      <c r="M26" s="54"/>
      <c r="N26" s="54"/>
      <c r="O26" s="34"/>
      <c r="P26" s="34"/>
      <c r="Q26" s="40"/>
      <c r="R26" s="54"/>
      <c r="S26" s="449" t="str">
        <f ca="1">IF(AND(Vsortie_de_rampe&lt;18, OR(LEFT(Type_fusee,1)=",",LEFT(Type_fusee,4)="Mini",LEFT(Type_fusee,1)="R")),IF(Lang="Français","Fusée trop lourde ou rampe trop courte !","Rocket too heavy or launch pad too small!"),"")</f>
        <v/>
      </c>
    </row>
    <row r="27" spans="1:20" ht="12.75" customHeight="1" x14ac:dyDescent="0.25">
      <c r="A27" s="36"/>
      <c r="B27" s="628" t="str">
        <f>IF(Lang="Français"," Emplanture  'm'",IF(Lang="English"," Root edge  'm'",""))</f>
        <v xml:space="preserve"> Emplanture  'm'</v>
      </c>
      <c r="C27" s="210">
        <v>220</v>
      </c>
      <c r="D27" s="210">
        <v>70</v>
      </c>
      <c r="E27" s="179">
        <f>m_ail</f>
        <v>220</v>
      </c>
      <c r="F27" s="134" t="s">
        <v>65</v>
      </c>
      <c r="G27" s="133">
        <f>IF(RIGHT(Type_fusee,1)=".",10, IF(OR(LEFT(Type_fusee,1)="R",LEFT(Type_fusee,1)=",",LEFT(Type_fusee,4)="Mini"),10, IF(LEFT(Type_fusee,5)="Micro",10, IF(RIGHT(Type_fusee,1)=" ",1))))</f>
        <v>10</v>
      </c>
      <c r="H27" s="694">
        <f>Long_tot/D_ref</f>
        <v>18</v>
      </c>
      <c r="I27" s="695"/>
      <c r="J27" s="133">
        <f>IF(RIGHT(Type_fusee,1)=".",35, IF(OR(LEFT(Type_fusee,1)="R",LEFT(Type_fusee,1)=",",LEFT(Type_fusee,4)="Mini"),20, IF(LEFT(Type_fusee,5)="Micro",30, IF(RIGHT(Type_fusee,1)=" ",100))))</f>
        <v>35</v>
      </c>
      <c r="K27" s="43"/>
      <c r="L27" s="54"/>
      <c r="M27" s="54"/>
      <c r="N27" s="54"/>
      <c r="O27" s="34"/>
      <c r="P27" s="34"/>
      <c r="Q27" s="40"/>
      <c r="R27" s="54"/>
      <c r="S27" s="449" t="str">
        <f>IF(Finesse&lt;CritFinessemin, IF(Lang="Français","Fusée trop courte !","Rocket too short!"), "" ) &amp; IF(Finesse&gt;CritFinessemax, IF(Lang="Français","Fusée trop longue !","Rocket too long!"), "" )</f>
        <v/>
      </c>
    </row>
    <row r="28" spans="1:20" ht="12.75" customHeight="1" x14ac:dyDescent="0.25">
      <c r="A28" s="36"/>
      <c r="B28" s="628" t="str">
        <f>IF(Lang="Français"," Saumon       'n'",IF(Lang="English"," Tip edge    'n'",""))</f>
        <v xml:space="preserve"> Saumon       'n'</v>
      </c>
      <c r="C28" s="48">
        <v>100</v>
      </c>
      <c r="D28" s="48">
        <v>10</v>
      </c>
      <c r="E28" s="179">
        <f>n_ail+(m_ail-n_ail)*(1-E_int/E_ail)</f>
        <v>180</v>
      </c>
      <c r="F28" s="134" t="str">
        <f>IF(Lang="Français","Portance","Lift")</f>
        <v>Portance</v>
      </c>
      <c r="G28" s="133">
        <f>IF(RIGHT(Type_fusee,1)=".",15,IF(OR(LEFT(Type_fusee,1)="R",LEFT(Type_fusee,1)=",",LEFT(Type_fusee,4)="Mini"),15, IF(LEFT(Type_fusee,5)="Micro",15, IF(RIGHT(Type_fusee,1)=" ",15))))</f>
        <v>15</v>
      </c>
      <c r="H28" s="597">
        <f>Cnai+Cnc+Cno+Cnj+Cnr</f>
        <v>19.135014339693754</v>
      </c>
      <c r="I28" s="597">
        <f>Cnail+Cnc+Cno+Cnj+Cnr</f>
        <v>19.135014339693754</v>
      </c>
      <c r="J28" s="133">
        <f>IF(RIGHT(Type_fusee,1)=".",40, IF(OR(LEFT(Type_fusee,1)="R",LEFT(Type_fusee,1)=",",LEFT(Type_fusee,4)="Mini"),30, IF(LEFT(Type_fusee,5)="Micro",30, IF(RIGHT(Type_fusee,1)=" ",30))))</f>
        <v>40</v>
      </c>
      <c r="K28" s="43"/>
      <c r="L28" s="54"/>
      <c r="M28" s="54"/>
      <c r="N28" s="54"/>
      <c r="O28" s="34"/>
      <c r="P28" s="34"/>
      <c r="Q28" s="40"/>
      <c r="R28" s="54"/>
      <c r="S28" s="449" t="str">
        <f>IF(Cn&lt;CritCnmin, IF(Lang="Français","Ailerons trop petits !","Fins too small!"), "" ) &amp; IF(Cn&gt;CritCnmax, IF(Lang="Français","Ailerons trop grands !","Fins too big!"), "" )</f>
        <v/>
      </c>
    </row>
    <row r="29" spans="1:20" ht="12.75" customHeight="1" x14ac:dyDescent="0.25">
      <c r="A29" s="36"/>
      <c r="B29" s="628" t="str">
        <f>IF(Lang="Français"," Flèche          'p'"," Offset         'p'")</f>
        <v xml:space="preserve"> Flèche          'p'</v>
      </c>
      <c r="C29" s="48">
        <v>200</v>
      </c>
      <c r="D29" s="48">
        <v>40</v>
      </c>
      <c r="E29" s="179">
        <f>p_ail*E_int/E_ail</f>
        <v>66.666666666666671</v>
      </c>
      <c r="F29" s="605" t="str">
        <f>IF(Lang="Français","MargeStat.","StatMargin")</f>
        <v>MargeStat.</v>
      </c>
      <c r="G29" s="599">
        <f>IF(RIGHT(Type_fusee,1)=".",2, IF(OR(LEFT(Type_fusee,1)="R",LEFT(Type_fusee,1)=",",LEFT(Type_fusee,4)="Mini"),1.5, IF(LEFT(Type_fusee,5)="Micro",1, IF(RIGHT(Type_fusee,1)=" ",1))))</f>
        <v>2</v>
      </c>
      <c r="H29" s="126">
        <f ca="1">(XCp-XcgPlein)/D_ref</f>
        <v>3.0351367737846751</v>
      </c>
      <c r="I29" s="127">
        <f ca="1">(XCp0-XcgVide)/D_ref</f>
        <v>3.6523624562516877</v>
      </c>
      <c r="J29" s="599">
        <f>IF(RIGHT(Type_fusee,1)=".",6, IF(OR(LEFT(Type_fusee,1)="R",LEFT(Type_fusee,1)=",",LEFT(Type_fusee,4)="Mini"),6, IF(LEFT(Type_fusee,5)="Micro",3, IF(RIGHT(Type_fusee,1)=" ",3))))</f>
        <v>6</v>
      </c>
      <c r="K29" s="43"/>
      <c r="L29" s="34"/>
      <c r="M29" s="34"/>
      <c r="N29" s="34"/>
      <c r="O29" s="34"/>
      <c r="P29" s="34"/>
      <c r="Q29" s="40"/>
      <c r="R29" s="54"/>
      <c r="S29" s="449" t="str">
        <f ca="1">IF(MS_min&lt;CritMsmin, IF(Lang="Français","Abaisser les ailerons ou rehausser le CdM !","Lower the fins or move up the center of mass!"), "" ) &amp; IF(MS_max&gt;CritMsmax, IF(Lang="Français","Rehausser les ailerons ou abaisser le CdM !","Move up the fins or lower the center of mass!"), "" )</f>
        <v/>
      </c>
    </row>
    <row r="30" spans="1:20" ht="12.75" customHeight="1" x14ac:dyDescent="0.25">
      <c r="A30" s="36"/>
      <c r="B30" s="628" t="str">
        <f>IF(Lang="Français"," Envergure     'E'",IF(Lang="English"," Span          'E'",""))</f>
        <v xml:space="preserve"> Envergure     'E'</v>
      </c>
      <c r="C30" s="48">
        <v>150</v>
      </c>
      <c r="D30" s="48">
        <v>50</v>
      </c>
      <c r="E30" s="179">
        <f>IF(D_can/2+E_can&lt;=D_ail/2,0, IF(D_can/2+E_can&gt;=D_ail/2+E_ail,E_ail,  D_can/2+E_can - D_ail/2  ) )</f>
        <v>50</v>
      </c>
      <c r="F30" s="606" t="str">
        <f>IF(Lang="Français","Couple","Torque")</f>
        <v>Couple</v>
      </c>
      <c r="G30" s="600">
        <f>IF(RIGHT(Type_fusee,1)=".",40, IF(OR(LEFT(Type_fusee,1)="R",LEFT(Type_fusee,1)=",",LEFT(Type_fusee,4)="Mini"),30, IF(LEFT(Type_fusee,5)="Micro",15, IF(RIGHT(Type_fusee,1)=" ",15))))</f>
        <v>40</v>
      </c>
      <c r="H30" s="128">
        <f ca="1">MS_min*Cn</f>
        <v>58.077385689301593</v>
      </c>
      <c r="I30" s="125">
        <f ca="1">MS_max*Cn0</f>
        <v>69.888007974135149</v>
      </c>
      <c r="J30" s="600">
        <f>IF(RIGHT(Type_fusee,1)=".",100, IF(OR(LEFT(Type_fusee,1)="R",LEFT(Type_fusee,1)=",",LEFT(Type_fusee,4)="Mini"),100, IF(LEFT(Type_fusee,5)="Micro",100, IF(RIGHT(Type_fusee,1)=" ",90))))</f>
        <v>100</v>
      </c>
      <c r="K30" s="43"/>
      <c r="L30" s="34"/>
      <c r="M30" s="34"/>
      <c r="N30" s="34"/>
      <c r="O30" s="34"/>
      <c r="P30" s="34"/>
      <c r="Q30" s="40"/>
      <c r="R30" s="54"/>
      <c r="S30" s="449" t="str">
        <f ca="1">IF(MS_Cn_min&lt;CritMsCnmin, IF(Lang="Français","Ailerons trop petits ou trop haut /CdM !","Fins too small or too high /CoM!"), "" ) &amp; IF(MS_Cn_max&gt;CritMsCnmax, IF(Lang="Français","Ailerons trop grands ou trop bas  /CdM !","Fins too big or too low / CoM!"), "" )</f>
        <v/>
      </c>
    </row>
    <row r="31" spans="1:20" ht="12.75" customHeight="1" x14ac:dyDescent="0.25">
      <c r="A31" s="36"/>
      <c r="B31" s="629" t="str">
        <f>IF(Lang="Français"," Epaisseur     'ep'",IF(Lang="English"," Thickness  'ep'",""))</f>
        <v xml:space="preserve"> Epaisseur     'ep'</v>
      </c>
      <c r="C31" s="48">
        <v>2</v>
      </c>
      <c r="D31" s="48">
        <v>2</v>
      </c>
      <c r="E31" s="179">
        <f>ep_ail</f>
        <v>2</v>
      </c>
      <c r="F31" s="135" t="s">
        <v>56</v>
      </c>
      <c r="G31" s="132"/>
      <c r="H31" s="598">
        <f>(Cnai*XCpai+Cnc*XCpc+Cnj*XCpj+Cnr*XCpr+Cno*XCpo)/(Cnai+Cnc+Cnr+Cnj+Cno)</f>
        <v>1542.904434046003</v>
      </c>
      <c r="I31" s="598">
        <f>(Cnail*XCpa+Cnc*XCpc+Cnj*XCpj+Cnr*XCpr+Cno*XCpo)/(Cnail+Cnc+Cnr+Cnj+Cno)</f>
        <v>1542.904434046003</v>
      </c>
      <c r="J31" s="131"/>
      <c r="K31" s="43"/>
      <c r="L31" s="34"/>
      <c r="M31" s="34"/>
      <c r="N31" s="34"/>
      <c r="O31" s="34"/>
      <c r="P31" s="34"/>
      <c r="Q31" s="40"/>
      <c r="R31" s="54"/>
      <c r="S31" s="449"/>
    </row>
    <row r="32" spans="1:20" ht="12.75" customHeight="1" x14ac:dyDescent="0.25">
      <c r="A32" s="36"/>
      <c r="B32" s="628" t="str">
        <f>IF(Lang="Français"," Nombre            ",IF(Lang="English"," Number of fins",""))</f>
        <v xml:space="preserve"> Nombre            </v>
      </c>
      <c r="C32" s="49">
        <v>4</v>
      </c>
      <c r="D32" s="49">
        <v>4</v>
      </c>
      <c r="E32" s="179">
        <f>IF(Q_ail=Q_can,Q_ail,FALSE)</f>
        <v>4</v>
      </c>
      <c r="F32" s="135" t="s">
        <v>67</v>
      </c>
      <c r="G32" s="132"/>
      <c r="H32" s="129">
        <f ca="1">(XCp-XcgPlein)/Long_tot*100</f>
        <v>16.861870965470416</v>
      </c>
      <c r="I32" s="130">
        <f ca="1">(XCp-XcgVide)/Long_tot*100</f>
        <v>20.290902534731597</v>
      </c>
      <c r="J32" s="131"/>
      <c r="K32" s="43"/>
      <c r="L32" s="34"/>
      <c r="M32" s="34"/>
      <c r="N32" s="34"/>
      <c r="O32" s="34"/>
      <c r="P32" s="34"/>
      <c r="Q32" s="40"/>
      <c r="R32" s="54"/>
    </row>
    <row r="33" spans="1:23" ht="12.75" customHeight="1" x14ac:dyDescent="0.25">
      <c r="A33" s="36"/>
      <c r="B33" s="628" t="str">
        <f>IF(Lang="Français"," Position du bas",IF(Lang="English"," Basement",""))</f>
        <v xml:space="preserve"> Position du bas</v>
      </c>
      <c r="C33" s="48">
        <f>Long_tot</f>
        <v>1800</v>
      </c>
      <c r="D33" s="48">
        <v>700</v>
      </c>
      <c r="E33" s="179">
        <f>X_ail</f>
        <v>1800</v>
      </c>
      <c r="F33" s="37"/>
      <c r="G33" s="34"/>
      <c r="H33" s="684" t="str">
        <f ca="1">IF(AND(CritCnmin&lt;Cn,Cn0&lt;CritCnmax,CritMsmin&lt;MS_min,MS_max&lt;CritMsmax,CritMsCnmin&lt;MS_Cn_min,MS_Cn_max&lt;CritMsCnmax),"STABLE",IF(OR(Cn&lt;CritCnmin,MS_min&lt;CritMsmin,MS_Cn_min&lt;CritMsCnmin),"INSTABLE",IF(Lang="Français","SURSTABLE","OVERSTABLE")))</f>
        <v>STABLE</v>
      </c>
      <c r="I33" s="685"/>
      <c r="J33" s="46"/>
      <c r="K33" s="43"/>
      <c r="L33" s="34"/>
      <c r="M33" s="34"/>
      <c r="N33" s="34"/>
      <c r="O33" s="34"/>
      <c r="P33" s="34"/>
      <c r="Q33" s="40"/>
      <c r="R33" s="54"/>
    </row>
    <row r="34" spans="1:23" ht="12.75" customHeight="1" x14ac:dyDescent="0.25">
      <c r="A34" s="36"/>
      <c r="B34" s="628" t="str">
        <f>IF(Lang="Français"," Diamètre         ",IF(Lang="English"," Diameter at Fins",""))</f>
        <v xml:space="preserve"> Diamètre         </v>
      </c>
      <c r="C34" s="48">
        <f>D_ref</f>
        <v>100</v>
      </c>
      <c r="D34" s="48">
        <f>D_ref</f>
        <v>100</v>
      </c>
      <c r="E34" s="179">
        <f>D_ail</f>
        <v>100</v>
      </c>
      <c r="F34" s="37"/>
      <c r="G34" s="34"/>
      <c r="H34" s="686"/>
      <c r="I34" s="687"/>
      <c r="J34" s="34"/>
      <c r="K34" s="43"/>
      <c r="L34" s="34"/>
      <c r="M34" s="34"/>
      <c r="N34" s="34"/>
      <c r="O34" s="34"/>
      <c r="P34" s="34"/>
      <c r="Q34" s="40"/>
      <c r="R34" s="54"/>
    </row>
    <row r="35" spans="1:23" ht="12.75" customHeight="1" x14ac:dyDescent="0.25">
      <c r="A35" s="36"/>
      <c r="B35" s="628" t="str">
        <f>IF(Lang="Français"," Ligne mi-corde f",IF(Lang="English"," Mid-chord line f",""))</f>
        <v xml:space="preserve"> Ligne mi-corde f</v>
      </c>
      <c r="C35" s="178">
        <f>SQRT(POWER(p_ail+n_ail/2-m_ail/2,2)+POWER(E_ail,2))</f>
        <v>205.18284528683191</v>
      </c>
      <c r="D35" s="178">
        <f>SQRT(POWER(p_can+n_can/2-m_can/2,2)+POWER(E_can,2))</f>
        <v>50.990195135927848</v>
      </c>
      <c r="E35" s="179">
        <f>SQRT(POWER(p_int+n_int/2-m_int/2,2)+POWER(E_int,2))</f>
        <v>68.394281762277316</v>
      </c>
      <c r="F35" s="37"/>
      <c r="G35" s="37"/>
      <c r="H35" s="37"/>
      <c r="I35" s="37"/>
      <c r="J35" s="34"/>
      <c r="K35" s="43"/>
      <c r="L35" s="34"/>
      <c r="M35" s="34"/>
      <c r="N35" s="34"/>
      <c r="O35" s="34"/>
      <c r="P35" s="34"/>
      <c r="Q35" s="40"/>
      <c r="R35" s="54"/>
      <c r="W35" s="35" t="str">
        <f>RIGHT(Type_fusee,1="R")</f>
        <v/>
      </c>
    </row>
    <row r="36" spans="1:23" ht="12.75" customHeight="1" thickBot="1" x14ac:dyDescent="0.3">
      <c r="A36" s="57"/>
      <c r="B36" s="216" t="str">
        <f>IF(Lang="Français","Commentaire libre :",IF(Lang="English","Free comment:",""))</f>
        <v>Commentaire libre :</v>
      </c>
      <c r="C36" s="58"/>
      <c r="D36" s="59"/>
      <c r="E36" s="118"/>
      <c r="F36" s="89"/>
      <c r="G36" s="89"/>
      <c r="H36" s="89"/>
      <c r="I36" s="89"/>
      <c r="J36" s="60"/>
      <c r="K36" s="59"/>
      <c r="L36" s="450" t="s">
        <v>271</v>
      </c>
      <c r="M36" s="453" t="str">
        <f>IF(ROUND(SUM(Propu!5:1228),0)=395253,"propu OK","propu NOK")</f>
        <v>propu OK</v>
      </c>
      <c r="N36" s="452" t="str">
        <f>IF(Lang="Français","fichier initial","Initial file")</f>
        <v>fichier initial</v>
      </c>
      <c r="O36" s="453"/>
      <c r="P36" s="451"/>
      <c r="Q36" s="341" t="s">
        <v>546</v>
      </c>
      <c r="R36" s="54"/>
    </row>
    <row r="37" spans="1:23" ht="12.75" customHeight="1" x14ac:dyDescent="0.25">
      <c r="R37" s="61"/>
    </row>
    <row r="38" spans="1:23" x14ac:dyDescent="0.25">
      <c r="L38" s="265" t="str">
        <f>IF(Lang="Français","Maintenant que votre fusée est stable, vérifiez sa trajectoire via la feuille","Now your rocket is stable, check its trajectory on sheet")</f>
        <v>Maintenant que votre fusée est stable, vérifiez sa trajectoire via la feuille</v>
      </c>
      <c r="M38" s="569" t="s">
        <v>181</v>
      </c>
    </row>
    <row r="39" spans="1:23" x14ac:dyDescent="0.25">
      <c r="H39" s="264"/>
      <c r="O39" s="56"/>
      <c r="P39" s="56"/>
    </row>
    <row r="40" spans="1:23" x14ac:dyDescent="0.25">
      <c r="F40" s="35"/>
      <c r="H40" s="61"/>
      <c r="I40" s="62"/>
      <c r="J40" s="61"/>
      <c r="N40" s="61"/>
      <c r="Q40" s="61"/>
      <c r="S40" s="595"/>
    </row>
    <row r="41" spans="1:23" x14ac:dyDescent="0.25">
      <c r="F41" s="35"/>
      <c r="G41" s="592"/>
      <c r="H41" s="593"/>
      <c r="I41" s="62"/>
      <c r="J41" s="61"/>
      <c r="N41" s="61"/>
      <c r="Q41" s="61"/>
      <c r="R41" s="61"/>
    </row>
    <row r="42" spans="1:23" x14ac:dyDescent="0.25">
      <c r="F42" s="35"/>
      <c r="H42" s="61"/>
      <c r="I42" s="62"/>
      <c r="J42" s="61"/>
      <c r="N42" s="61"/>
      <c r="Q42" s="61"/>
      <c r="R42" s="61"/>
    </row>
    <row r="43" spans="1:23" x14ac:dyDescent="0.25">
      <c r="F43" s="35"/>
      <c r="H43" s="61"/>
      <c r="I43" s="62"/>
      <c r="J43" s="61"/>
      <c r="N43" s="61"/>
      <c r="Q43" s="61"/>
      <c r="R43" s="61"/>
    </row>
    <row r="44" spans="1:23" x14ac:dyDescent="0.25">
      <c r="F44" s="35"/>
      <c r="H44" s="61"/>
      <c r="I44" s="62"/>
      <c r="J44" s="61"/>
      <c r="N44" s="61"/>
      <c r="O44" s="34"/>
      <c r="P44" s="34"/>
      <c r="Q44" s="61"/>
      <c r="R44" s="61"/>
    </row>
    <row r="45" spans="1:23" x14ac:dyDescent="0.25">
      <c r="F45" s="35"/>
      <c r="H45" s="61"/>
      <c r="I45" s="62"/>
      <c r="J45" s="61"/>
      <c r="N45" s="61"/>
      <c r="O45" s="34"/>
      <c r="P45" s="34"/>
      <c r="Q45" s="61"/>
      <c r="R45" s="61"/>
    </row>
    <row r="46" spans="1:23" x14ac:dyDescent="0.25">
      <c r="F46" s="35"/>
      <c r="H46" s="61"/>
      <c r="I46" s="62"/>
      <c r="J46" s="61"/>
      <c r="L46" s="61"/>
      <c r="M46" s="61"/>
      <c r="N46" s="61"/>
      <c r="O46" s="34"/>
      <c r="P46" s="34"/>
      <c r="Q46" s="61"/>
      <c r="R46" s="61"/>
    </row>
    <row r="47" spans="1:23" x14ac:dyDescent="0.25">
      <c r="F47" s="35"/>
      <c r="H47" s="61"/>
      <c r="I47" s="62"/>
      <c r="J47" s="61"/>
      <c r="L47" s="61"/>
      <c r="M47" s="61"/>
      <c r="N47" s="61"/>
      <c r="O47" s="34"/>
      <c r="P47" s="34"/>
      <c r="Q47" s="61"/>
      <c r="R47" s="61"/>
    </row>
    <row r="48" spans="1:23" x14ac:dyDescent="0.25">
      <c r="F48" s="35"/>
      <c r="H48" s="61"/>
      <c r="I48" s="62"/>
      <c r="J48" s="61"/>
      <c r="L48" s="61"/>
      <c r="M48" s="61"/>
      <c r="N48" s="61"/>
      <c r="O48" s="34"/>
      <c r="P48" s="34"/>
      <c r="Q48" s="61"/>
      <c r="R48" s="61"/>
    </row>
    <row r="49" spans="2:18" x14ac:dyDescent="0.25">
      <c r="F49" s="35"/>
      <c r="H49" s="61"/>
      <c r="I49" s="62"/>
      <c r="J49" s="61"/>
      <c r="L49" s="61"/>
      <c r="M49" s="61"/>
      <c r="N49" s="61"/>
      <c r="O49" s="34"/>
      <c r="P49" s="34"/>
      <c r="Q49" s="61"/>
      <c r="R49" s="61"/>
    </row>
    <row r="50" spans="2:18" x14ac:dyDescent="0.25">
      <c r="F50" s="35"/>
      <c r="H50" s="61"/>
      <c r="I50" s="62"/>
      <c r="J50" s="61"/>
      <c r="L50" s="61"/>
      <c r="M50" s="61"/>
      <c r="N50" s="61"/>
      <c r="O50" s="34"/>
      <c r="P50" s="34"/>
      <c r="Q50" s="61"/>
      <c r="R50" s="61"/>
    </row>
    <row r="51" spans="2:18" x14ac:dyDescent="0.25">
      <c r="F51" s="35"/>
      <c r="H51" s="61"/>
      <c r="I51" s="62"/>
      <c r="J51" s="61"/>
      <c r="L51" s="61"/>
      <c r="M51" s="61"/>
      <c r="N51" s="61"/>
      <c r="O51" s="34"/>
      <c r="P51" s="34"/>
      <c r="Q51" s="61"/>
      <c r="R51" s="61"/>
    </row>
    <row r="52" spans="2:18" x14ac:dyDescent="0.25">
      <c r="H52" s="61"/>
      <c r="I52" s="62"/>
      <c r="J52" s="61"/>
      <c r="L52" s="61"/>
      <c r="M52" s="61"/>
      <c r="N52" s="61"/>
      <c r="O52" s="34"/>
      <c r="P52" s="34"/>
      <c r="Q52" s="61"/>
      <c r="R52" s="61"/>
    </row>
    <row r="53" spans="2:18" x14ac:dyDescent="0.25">
      <c r="H53" s="61"/>
      <c r="I53" s="62"/>
      <c r="J53" s="61"/>
      <c r="L53" s="61"/>
      <c r="M53" s="61"/>
      <c r="N53" s="61"/>
      <c r="Q53" s="61"/>
      <c r="R53" s="61"/>
    </row>
    <row r="54" spans="2:18" x14ac:dyDescent="0.25">
      <c r="H54" s="61"/>
      <c r="I54" s="62"/>
      <c r="J54" s="61"/>
      <c r="L54" s="61"/>
      <c r="M54" s="61"/>
      <c r="N54" s="61"/>
      <c r="Q54" s="61"/>
      <c r="R54" s="61"/>
    </row>
    <row r="55" spans="2:18" x14ac:dyDescent="0.25">
      <c r="H55" s="61"/>
      <c r="I55" s="62"/>
      <c r="J55" s="61"/>
      <c r="L55" s="61"/>
      <c r="M55" s="61"/>
      <c r="N55" s="61"/>
      <c r="Q55" s="61"/>
      <c r="R55" s="61"/>
    </row>
    <row r="56" spans="2:18" x14ac:dyDescent="0.25">
      <c r="C56" s="35"/>
      <c r="H56" s="61"/>
      <c r="I56" s="62"/>
      <c r="J56" s="61"/>
      <c r="L56" s="61"/>
      <c r="M56" s="61"/>
      <c r="N56" s="61"/>
      <c r="Q56" s="61"/>
      <c r="R56" s="61"/>
    </row>
    <row r="57" spans="2:18" x14ac:dyDescent="0.25">
      <c r="H57" s="61"/>
      <c r="I57" s="62"/>
      <c r="J57" s="61"/>
      <c r="L57" s="61"/>
      <c r="M57" s="61"/>
      <c r="N57" s="61"/>
      <c r="Q57" s="61"/>
      <c r="R57" s="61"/>
    </row>
    <row r="58" spans="2:18" x14ac:dyDescent="0.25">
      <c r="B58" s="52"/>
      <c r="H58" s="61"/>
      <c r="I58" s="62"/>
      <c r="J58" s="61"/>
      <c r="L58" s="61"/>
      <c r="M58" s="61"/>
      <c r="N58" s="61"/>
      <c r="Q58" s="61"/>
      <c r="R58" s="61"/>
    </row>
    <row r="59" spans="2:18" x14ac:dyDescent="0.25">
      <c r="B59" s="52"/>
      <c r="H59" s="61"/>
      <c r="I59" s="62"/>
      <c r="J59" s="61"/>
      <c r="L59" s="61"/>
      <c r="M59" s="61"/>
      <c r="N59" s="61"/>
      <c r="Q59" s="61"/>
      <c r="R59" s="61"/>
    </row>
    <row r="60" spans="2:18" x14ac:dyDescent="0.25">
      <c r="B60" s="52"/>
      <c r="H60" s="61"/>
      <c r="I60" s="62"/>
      <c r="J60" s="61"/>
      <c r="L60" s="61"/>
      <c r="M60" s="61"/>
      <c r="N60" s="61"/>
      <c r="Q60" s="61"/>
      <c r="R60" s="61"/>
    </row>
    <row r="61" spans="2:18" x14ac:dyDescent="0.25">
      <c r="B61" s="52"/>
      <c r="H61" s="61"/>
      <c r="I61" s="62"/>
      <c r="J61" s="61"/>
      <c r="L61" s="61"/>
      <c r="M61" s="61"/>
      <c r="N61" s="61"/>
      <c r="Q61" s="61"/>
      <c r="R61" s="61"/>
    </row>
    <row r="62" spans="2:18" x14ac:dyDescent="0.25">
      <c r="B62" s="52"/>
      <c r="H62" s="61"/>
      <c r="I62" s="62"/>
      <c r="J62" s="61"/>
      <c r="L62" s="61"/>
      <c r="M62" s="61"/>
      <c r="N62" s="61"/>
      <c r="Q62" s="61"/>
      <c r="R62" s="61"/>
    </row>
    <row r="63" spans="2:18" x14ac:dyDescent="0.25">
      <c r="B63" s="52"/>
      <c r="H63" s="61"/>
      <c r="I63" s="62"/>
      <c r="J63" s="61"/>
      <c r="L63" s="61"/>
      <c r="M63" s="61"/>
      <c r="N63" s="61"/>
      <c r="Q63" s="61"/>
      <c r="R63" s="61"/>
    </row>
    <row r="64" spans="2:18" x14ac:dyDescent="0.25">
      <c r="B64" s="52"/>
      <c r="H64" s="61"/>
      <c r="I64" s="62"/>
      <c r="J64" s="61"/>
      <c r="L64" s="61"/>
      <c r="M64" s="61"/>
      <c r="N64" s="61"/>
      <c r="Q64" s="61"/>
      <c r="R64" s="61"/>
    </row>
    <row r="65" spans="2:18" x14ac:dyDescent="0.25">
      <c r="B65" s="52"/>
      <c r="H65" s="61"/>
      <c r="I65" s="62"/>
      <c r="J65" s="61"/>
      <c r="L65" s="61"/>
      <c r="M65" s="61"/>
      <c r="N65" s="61"/>
      <c r="Q65" s="61"/>
      <c r="R65" s="61"/>
    </row>
    <row r="66" spans="2:18" x14ac:dyDescent="0.25">
      <c r="B66" s="52"/>
      <c r="H66" s="61"/>
      <c r="I66" s="62"/>
      <c r="J66" s="61"/>
      <c r="L66" s="61"/>
      <c r="M66" s="61"/>
      <c r="N66" s="61"/>
      <c r="Q66" s="61"/>
      <c r="R66" s="61"/>
    </row>
    <row r="67" spans="2:18" x14ac:dyDescent="0.25">
      <c r="C67" s="35"/>
      <c r="H67" s="61"/>
      <c r="I67" s="62"/>
      <c r="J67" s="61"/>
      <c r="L67" s="61"/>
      <c r="M67" s="61"/>
      <c r="N67" s="61"/>
      <c r="Q67" s="61"/>
      <c r="R67" s="61"/>
    </row>
    <row r="68" spans="2:18" x14ac:dyDescent="0.25">
      <c r="C68" s="35"/>
      <c r="H68" s="61"/>
      <c r="I68" s="62"/>
      <c r="J68" s="61"/>
      <c r="L68" s="61"/>
      <c r="M68" s="61"/>
      <c r="N68" s="61"/>
      <c r="Q68" s="61"/>
      <c r="R68" s="61"/>
    </row>
    <row r="69" spans="2:18" x14ac:dyDescent="0.25">
      <c r="C69" s="35"/>
      <c r="H69" s="61"/>
      <c r="I69" s="62"/>
      <c r="J69" s="61"/>
      <c r="L69" s="61"/>
      <c r="M69" s="61"/>
      <c r="N69" s="61"/>
      <c r="Q69" s="61"/>
      <c r="R69" s="61"/>
    </row>
    <row r="70" spans="2:18" x14ac:dyDescent="0.25">
      <c r="C70" s="35"/>
      <c r="H70" s="61"/>
      <c r="I70" s="62"/>
      <c r="J70" s="61"/>
      <c r="L70" s="61"/>
      <c r="M70" s="61"/>
      <c r="N70" s="61"/>
      <c r="Q70" s="61"/>
      <c r="R70" s="61"/>
    </row>
    <row r="71" spans="2:18" x14ac:dyDescent="0.25">
      <c r="C71" s="35"/>
      <c r="H71" s="61"/>
      <c r="I71" s="62"/>
      <c r="J71" s="61"/>
      <c r="L71" s="61"/>
      <c r="M71" s="61"/>
      <c r="N71" s="61"/>
      <c r="Q71" s="61"/>
      <c r="R71" s="61"/>
    </row>
    <row r="72" spans="2:18" x14ac:dyDescent="0.25">
      <c r="C72" s="35"/>
      <c r="H72" s="61"/>
      <c r="I72" s="62"/>
      <c r="J72" s="61"/>
      <c r="L72" s="61"/>
      <c r="M72" s="61"/>
      <c r="N72" s="61"/>
      <c r="Q72" s="61"/>
      <c r="R72" s="61"/>
    </row>
    <row r="73" spans="2:18" x14ac:dyDescent="0.25">
      <c r="C73" s="35"/>
      <c r="H73" s="61"/>
      <c r="I73" s="62"/>
      <c r="J73" s="61"/>
      <c r="L73" s="61"/>
      <c r="M73" s="61"/>
      <c r="N73" s="61"/>
      <c r="Q73" s="61"/>
      <c r="R73" s="61"/>
    </row>
    <row r="74" spans="2:18" x14ac:dyDescent="0.25">
      <c r="C74" s="35"/>
      <c r="H74" s="61"/>
      <c r="I74" s="62"/>
      <c r="J74" s="61"/>
      <c r="L74" s="61"/>
      <c r="M74" s="61"/>
      <c r="N74" s="61"/>
      <c r="Q74" s="61"/>
      <c r="R74" s="61"/>
    </row>
    <row r="75" spans="2:18" x14ac:dyDescent="0.25">
      <c r="C75" s="35"/>
      <c r="H75" s="61"/>
      <c r="I75" s="62"/>
      <c r="J75" s="61"/>
      <c r="L75" s="61"/>
      <c r="M75" s="61"/>
      <c r="N75" s="61"/>
      <c r="Q75" s="61"/>
      <c r="R75" s="61"/>
    </row>
    <row r="76" spans="2:18" x14ac:dyDescent="0.25">
      <c r="C76" s="35"/>
      <c r="H76" s="61"/>
      <c r="I76" s="62"/>
      <c r="J76" s="61"/>
      <c r="L76" s="61"/>
      <c r="M76" s="61"/>
      <c r="N76" s="61"/>
      <c r="Q76" s="61"/>
      <c r="R76" s="61"/>
    </row>
    <row r="77" spans="2:18" x14ac:dyDescent="0.25">
      <c r="C77" s="35"/>
      <c r="H77" s="61"/>
      <c r="I77" s="62"/>
      <c r="J77" s="61"/>
      <c r="L77" s="61"/>
      <c r="M77" s="61"/>
      <c r="N77" s="61"/>
      <c r="Q77" s="61"/>
      <c r="R77" s="61"/>
    </row>
    <row r="78" spans="2:18" x14ac:dyDescent="0.25">
      <c r="C78" s="35"/>
      <c r="H78" s="61"/>
      <c r="I78" s="62"/>
      <c r="J78" s="61"/>
      <c r="L78" s="61"/>
      <c r="M78" s="61"/>
      <c r="N78" s="61"/>
      <c r="Q78" s="61"/>
      <c r="R78" s="61"/>
    </row>
    <row r="79" spans="2:18" x14ac:dyDescent="0.25">
      <c r="C79" s="35"/>
      <c r="H79" s="61"/>
      <c r="I79" s="62"/>
      <c r="J79" s="61"/>
      <c r="L79" s="61"/>
      <c r="M79" s="61"/>
      <c r="N79" s="61"/>
      <c r="Q79" s="61"/>
      <c r="R79" s="61"/>
    </row>
    <row r="80" spans="2:18" x14ac:dyDescent="0.25">
      <c r="C80" s="35"/>
      <c r="H80" s="61"/>
      <c r="I80" s="62"/>
      <c r="J80" s="61"/>
      <c r="L80" s="61"/>
      <c r="M80" s="61"/>
      <c r="N80" s="61"/>
      <c r="Q80" s="61"/>
      <c r="R80" s="61"/>
    </row>
    <row r="81" spans="2:18" x14ac:dyDescent="0.25">
      <c r="C81" s="35"/>
      <c r="H81" s="61"/>
      <c r="I81" s="62"/>
      <c r="J81" s="61"/>
      <c r="L81" s="61"/>
      <c r="M81" s="61"/>
      <c r="N81" s="61"/>
      <c r="Q81" s="61"/>
      <c r="R81" s="61"/>
    </row>
    <row r="82" spans="2:18" x14ac:dyDescent="0.25">
      <c r="C82" s="35"/>
      <c r="H82" s="61"/>
      <c r="I82" s="62"/>
      <c r="J82" s="61"/>
      <c r="L82" s="61"/>
      <c r="M82" s="61"/>
      <c r="N82" s="61"/>
      <c r="Q82" s="61"/>
      <c r="R82" s="61"/>
    </row>
    <row r="83" spans="2:18" x14ac:dyDescent="0.25">
      <c r="C83" s="35"/>
      <c r="H83" s="61"/>
      <c r="I83" s="62"/>
      <c r="J83" s="61"/>
      <c r="L83" s="61"/>
      <c r="M83" s="61"/>
      <c r="N83" s="61"/>
      <c r="Q83" s="61"/>
      <c r="R83" s="61"/>
    </row>
    <row r="84" spans="2:18" x14ac:dyDescent="0.25">
      <c r="C84" s="35"/>
      <c r="H84" s="61"/>
      <c r="I84" s="62"/>
      <c r="J84" s="61"/>
      <c r="L84" s="61"/>
      <c r="M84" s="61"/>
      <c r="N84" s="61"/>
      <c r="Q84" s="61"/>
      <c r="R84" s="61"/>
    </row>
    <row r="85" spans="2:18" x14ac:dyDescent="0.25">
      <c r="C85" s="35"/>
      <c r="H85" s="61"/>
      <c r="I85" s="62"/>
      <c r="J85" s="61"/>
      <c r="L85" s="61"/>
      <c r="M85" s="61"/>
      <c r="N85" s="61"/>
      <c r="Q85" s="61"/>
      <c r="R85" s="61"/>
    </row>
    <row r="86" spans="2:18" x14ac:dyDescent="0.25">
      <c r="C86" s="35"/>
      <c r="H86" s="61"/>
      <c r="I86" s="62"/>
      <c r="J86" s="61"/>
      <c r="L86" s="61"/>
      <c r="M86" s="61"/>
      <c r="N86" s="61"/>
      <c r="Q86" s="61"/>
      <c r="R86" s="61"/>
    </row>
    <row r="87" spans="2:18" x14ac:dyDescent="0.25">
      <c r="C87" s="35"/>
      <c r="H87" s="61"/>
      <c r="I87" s="62"/>
      <c r="J87" s="61"/>
      <c r="L87" s="61"/>
      <c r="M87" s="61"/>
      <c r="N87" s="61"/>
      <c r="Q87" s="61"/>
      <c r="R87" s="61"/>
    </row>
    <row r="88" spans="2:18" x14ac:dyDescent="0.25">
      <c r="C88" s="35"/>
      <c r="H88" s="61"/>
      <c r="I88" s="62"/>
      <c r="J88" s="61"/>
      <c r="L88" s="61"/>
      <c r="M88" s="61"/>
      <c r="N88" s="61"/>
      <c r="Q88" s="61"/>
      <c r="R88" s="61"/>
    </row>
    <row r="89" spans="2:18" x14ac:dyDescent="0.25">
      <c r="C89" s="35"/>
      <c r="H89" s="61"/>
      <c r="I89" s="62"/>
      <c r="J89" s="61"/>
      <c r="L89" s="61"/>
      <c r="M89" s="61"/>
      <c r="N89" s="61"/>
      <c r="Q89" s="61"/>
      <c r="R89" s="61"/>
    </row>
    <row r="90" spans="2:18" x14ac:dyDescent="0.25">
      <c r="C90" s="35"/>
      <c r="H90" s="61"/>
      <c r="I90" s="62"/>
      <c r="J90" s="61"/>
      <c r="L90" s="61"/>
      <c r="M90" s="61"/>
      <c r="N90" s="61"/>
      <c r="Q90" s="61"/>
      <c r="R90" s="61"/>
    </row>
    <row r="91" spans="2:18" x14ac:dyDescent="0.25">
      <c r="B91" s="35" t="str">
        <f>IF(Lang="Français","Textes pour les listes déroulantes et graphiques :",IF(Lang="English","Texts for drop-down lists &amp; graphics :",""))</f>
        <v>Textes pour les listes déroulantes et graphiques :</v>
      </c>
      <c r="H91" s="61"/>
      <c r="I91" s="62"/>
      <c r="J91" s="61"/>
      <c r="L91" s="61"/>
      <c r="M91" s="61"/>
      <c r="N91" s="61"/>
      <c r="Q91" s="61"/>
      <c r="R91" s="61"/>
    </row>
    <row r="92" spans="2:18" x14ac:dyDescent="0.25">
      <c r="H92" s="61"/>
      <c r="I92" s="62"/>
      <c r="J92" s="61"/>
      <c r="L92" s="61"/>
      <c r="M92" s="61"/>
      <c r="N92" s="61"/>
      <c r="Q92" s="61"/>
      <c r="R92" s="61"/>
    </row>
    <row r="93" spans="2:18" x14ac:dyDescent="0.25">
      <c r="B93" s="37" t="s">
        <v>1</v>
      </c>
      <c r="H93" s="61"/>
      <c r="I93" s="62"/>
      <c r="J93" s="61"/>
      <c r="L93" s="61"/>
      <c r="M93" s="61"/>
      <c r="N93" s="61"/>
      <c r="Q93" s="61"/>
      <c r="R93" s="61"/>
    </row>
    <row r="94" spans="2:18" x14ac:dyDescent="0.25">
      <c r="B94" s="63" t="s">
        <v>68</v>
      </c>
      <c r="H94" s="61"/>
      <c r="I94" s="62"/>
      <c r="J94" s="61"/>
      <c r="L94" s="61"/>
      <c r="M94" s="61"/>
      <c r="N94" s="61"/>
      <c r="Q94" s="61"/>
      <c r="R94" s="61"/>
    </row>
    <row r="95" spans="2:18" x14ac:dyDescent="0.25">
      <c r="B95" s="63"/>
      <c r="H95" s="61"/>
      <c r="I95" s="62"/>
      <c r="J95" s="61"/>
      <c r="L95" s="61"/>
      <c r="M95" s="61"/>
      <c r="N95" s="61"/>
      <c r="Q95" s="61"/>
      <c r="R95" s="61"/>
    </row>
    <row r="96" spans="2:18" x14ac:dyDescent="0.25">
      <c r="B96" s="37" t="str">
        <f>IF(Lang="Français","Fusée à eau  ",IF(Lang="English","Water-rocket  ",""))</f>
        <v xml:space="preserve">Fusée à eau  </v>
      </c>
      <c r="H96" s="61"/>
      <c r="I96" s="62"/>
      <c r="J96" s="61"/>
      <c r="L96" s="61"/>
      <c r="M96" s="61"/>
      <c r="N96" s="61"/>
      <c r="Q96" s="61"/>
      <c r="R96" s="61"/>
    </row>
    <row r="97" spans="2:18" x14ac:dyDescent="0.25">
      <c r="B97" s="37" t="str">
        <f>IF(Lang="Français","Microfusée",IF(Lang="English","Micro-rocket",""))</f>
        <v>Microfusée</v>
      </c>
      <c r="H97" s="61"/>
      <c r="I97" s="62"/>
      <c r="J97" s="61"/>
      <c r="L97" s="61"/>
      <c r="M97" s="61"/>
      <c r="N97" s="61"/>
      <c r="Q97" s="61"/>
      <c r="R97" s="61"/>
    </row>
    <row r="98" spans="2:18" x14ac:dyDescent="0.25">
      <c r="B98" s="37" t="str">
        <f>IF(Lang="Français","Minifusée",IF(Lang="English","Mini-rocket",""))</f>
        <v>Minifusée</v>
      </c>
      <c r="H98" s="61"/>
      <c r="I98" s="62"/>
      <c r="J98" s="61"/>
      <c r="L98" s="61"/>
      <c r="M98" s="61"/>
      <c r="N98" s="61"/>
      <c r="Q98" s="61"/>
      <c r="R98" s="61"/>
    </row>
    <row r="99" spans="2:18" x14ac:dyDescent="0.25">
      <c r="B99" s="37" t="s">
        <v>399</v>
      </c>
      <c r="H99" s="61"/>
      <c r="I99" s="62"/>
      <c r="J99" s="61"/>
      <c r="L99" s="61"/>
      <c r="M99" s="61"/>
      <c r="N99" s="61"/>
      <c r="Q99" s="61"/>
      <c r="R99" s="61"/>
    </row>
    <row r="100" spans="2:18" x14ac:dyDescent="0.25">
      <c r="B100" s="37" t="str">
        <f>IF(Lang="Français","Fusée expérimentale.",IF(Lang="English","Experimental Rocket.",""))</f>
        <v>Fusée expérimentale.</v>
      </c>
      <c r="H100" s="61"/>
      <c r="I100" s="62"/>
      <c r="J100" s="61"/>
      <c r="L100" s="61"/>
      <c r="M100" s="61"/>
      <c r="N100" s="61"/>
      <c r="Q100" s="61"/>
      <c r="R100" s="61"/>
    </row>
    <row r="101" spans="2:18" x14ac:dyDescent="0.25">
      <c r="B101" s="37" t="s">
        <v>400</v>
      </c>
      <c r="H101" s="61"/>
      <c r="I101" s="62"/>
      <c r="J101" s="61"/>
      <c r="L101" s="61"/>
      <c r="M101" s="61"/>
      <c r="N101" s="61"/>
      <c r="Q101" s="61"/>
      <c r="R101" s="61"/>
    </row>
    <row r="102" spans="2:18" x14ac:dyDescent="0.25">
      <c r="B102" s="37"/>
      <c r="H102" s="61"/>
      <c r="I102" s="62"/>
      <c r="J102" s="61"/>
      <c r="L102" s="61"/>
      <c r="M102" s="61"/>
      <c r="N102" s="61"/>
      <c r="Q102" s="61"/>
      <c r="R102" s="61"/>
    </row>
    <row r="103" spans="2:18" x14ac:dyDescent="0.25">
      <c r="B103" s="37" t="str">
        <f>IF(Lang="Français","sans propu",IF(Lang="English","without motor",""))</f>
        <v>sans propu</v>
      </c>
      <c r="H103" s="61"/>
      <c r="I103" s="62"/>
      <c r="J103" s="61"/>
      <c r="L103" s="61"/>
      <c r="M103" s="61"/>
      <c r="N103" s="61"/>
      <c r="Q103" s="61"/>
      <c r="R103" s="61"/>
    </row>
    <row r="104" spans="2:18" x14ac:dyDescent="0.25">
      <c r="B104" s="37" t="str">
        <f>IF(Lang="Français","avec propu vide",IF(Lang="English","with empty motor",""))</f>
        <v>avec propu vide</v>
      </c>
      <c r="H104" s="61"/>
      <c r="I104" s="62"/>
      <c r="J104" s="61"/>
      <c r="L104" s="61"/>
      <c r="M104" s="61"/>
      <c r="N104" s="61"/>
      <c r="Q104" s="61"/>
      <c r="R104" s="61"/>
    </row>
    <row r="105" spans="2:18" x14ac:dyDescent="0.25">
      <c r="B105" s="37" t="str">
        <f>IF(Lang="Français","avec propu plein",IF(Lang="English","with loaded motor",""))</f>
        <v>avec propu plein</v>
      </c>
      <c r="H105" s="61"/>
      <c r="I105" s="62"/>
      <c r="J105" s="61"/>
      <c r="L105" s="61"/>
      <c r="M105" s="61"/>
      <c r="N105" s="61"/>
      <c r="Q105" s="61"/>
      <c r="R105" s="61"/>
    </row>
    <row r="106" spans="2:18" x14ac:dyDescent="0.25">
      <c r="B106" s="37"/>
      <c r="H106" s="61"/>
      <c r="I106" s="62"/>
      <c r="J106" s="61"/>
      <c r="L106" s="61"/>
      <c r="M106" s="61"/>
      <c r="N106" s="61"/>
      <c r="Q106" s="61"/>
      <c r="R106" s="61"/>
    </row>
    <row r="107" spans="2:18" x14ac:dyDescent="0.25">
      <c r="B107" s="37" t="str">
        <f>IF(Lang="Français","Parabolique (arrondie)",IF(Lang="English","Parabola (rounded)",""))</f>
        <v>Parabolique (arrondie)</v>
      </c>
      <c r="H107" s="61"/>
      <c r="I107" s="62"/>
      <c r="J107" s="61"/>
      <c r="L107" s="61"/>
      <c r="M107" s="61"/>
      <c r="N107" s="61"/>
      <c r="Q107" s="61"/>
      <c r="R107" s="61"/>
    </row>
    <row r="108" spans="2:18" x14ac:dyDescent="0.25">
      <c r="B108" s="63" t="str">
        <f>IF(Lang="Français","Ogivale (pointue)",IF(Lang="English","Ogive (sharp)",""))</f>
        <v>Ogivale (pointue)</v>
      </c>
      <c r="H108" s="61"/>
      <c r="I108" s="62"/>
      <c r="J108" s="61"/>
      <c r="L108" s="61"/>
      <c r="M108" s="61"/>
      <c r="N108" s="61"/>
      <c r="Q108" s="61"/>
      <c r="R108" s="61"/>
    </row>
    <row r="109" spans="2:18" x14ac:dyDescent="0.25">
      <c r="B109" s="37" t="str">
        <f>IF(Lang="Français","Conique (droite)",IF(Lang="English","Cone (straight)",""))</f>
        <v>Conique (droite)</v>
      </c>
      <c r="H109" s="61"/>
      <c r="I109" s="62"/>
      <c r="J109" s="61"/>
      <c r="L109" s="61"/>
      <c r="M109" s="61"/>
      <c r="N109" s="61"/>
      <c r="Q109" s="61"/>
      <c r="R109" s="61"/>
    </row>
    <row r="110" spans="2:18" x14ac:dyDescent="0.25">
      <c r="B110" s="64"/>
      <c r="H110" s="61"/>
      <c r="I110" s="62"/>
      <c r="J110" s="61"/>
      <c r="L110" s="61"/>
      <c r="M110" s="61"/>
      <c r="N110" s="61"/>
      <c r="Q110" s="61"/>
      <c r="R110" s="61"/>
    </row>
    <row r="111" spans="2:18" x14ac:dyDescent="0.25">
      <c r="B111" s="65" t="s">
        <v>426</v>
      </c>
      <c r="H111" s="61"/>
      <c r="I111" s="62"/>
      <c r="J111" s="61"/>
      <c r="L111" s="61"/>
      <c r="M111" s="61"/>
      <c r="N111" s="61"/>
      <c r="Q111" s="61"/>
      <c r="R111" s="61"/>
    </row>
    <row r="112" spans="2:18" x14ac:dyDescent="0.25">
      <c r="B112" s="65" t="s">
        <v>427</v>
      </c>
      <c r="H112" s="61"/>
      <c r="I112" s="62"/>
      <c r="J112" s="61"/>
      <c r="L112" s="61"/>
      <c r="M112" s="61"/>
      <c r="N112" s="61"/>
      <c r="Q112" s="61"/>
      <c r="R112" s="61"/>
    </row>
    <row r="113" spans="2:18" x14ac:dyDescent="0.25">
      <c r="B113" s="64"/>
      <c r="H113" s="61"/>
      <c r="I113" s="62"/>
      <c r="J113" s="61"/>
      <c r="L113" s="61"/>
      <c r="M113" s="61"/>
      <c r="N113" s="61"/>
      <c r="Q113" s="61"/>
      <c r="R113" s="61"/>
    </row>
    <row r="114" spans="2:18" x14ac:dyDescent="0.25">
      <c r="B114" s="65" t="str">
        <f>IF(Lang="Français","Fusée mono-diamètre,",IF(Lang="English","Mono-diameter rocket,",""))</f>
        <v>Fusée mono-diamètre,</v>
      </c>
      <c r="H114" s="61"/>
      <c r="I114" s="62"/>
      <c r="J114" s="61"/>
      <c r="L114" s="61"/>
      <c r="M114" s="61"/>
      <c r="N114" s="61"/>
      <c r="Q114" s="61"/>
      <c r="R114" s="61"/>
    </row>
    <row r="115" spans="2:18" x14ac:dyDescent="0.25">
      <c r="B115" s="65" t="str">
        <f>IF(Lang="Français","Plusieurs diamètres.",IF(Lang="English","Many diameters rocket.",""))</f>
        <v>Plusieurs diamètres.</v>
      </c>
      <c r="H115" s="61"/>
      <c r="I115" s="62"/>
      <c r="J115" s="61"/>
      <c r="L115" s="61"/>
      <c r="M115" s="61"/>
      <c r="N115" s="61"/>
      <c r="Q115" s="61"/>
      <c r="R115" s="61"/>
    </row>
    <row r="116" spans="2:18" x14ac:dyDescent="0.25">
      <c r="B116" s="65"/>
      <c r="H116" s="61"/>
      <c r="I116" s="62"/>
      <c r="J116" s="61"/>
      <c r="L116" s="61"/>
      <c r="M116" s="61"/>
      <c r="N116" s="61"/>
      <c r="Q116" s="61"/>
      <c r="R116" s="61"/>
    </row>
    <row r="117" spans="2:18" x14ac:dyDescent="0.25">
      <c r="B117" s="261" t="str">
        <f>IF(Lang="Français","Diagramme des critères de stabilité","Stability criterions diagram")</f>
        <v>Diagramme des critères de stabilité</v>
      </c>
      <c r="H117" s="61"/>
      <c r="I117" s="62"/>
      <c r="J117" s="61"/>
      <c r="L117" s="61"/>
      <c r="M117" s="61"/>
      <c r="N117" s="61"/>
      <c r="Q117" s="61"/>
      <c r="R117" s="61"/>
    </row>
    <row r="118" spans="2:18" x14ac:dyDescent="0.25">
      <c r="B118" s="261" t="str">
        <f>IF(Lang="Français","Marge Statique (MS)","Static Margin")</f>
        <v>Marge Statique (MS)</v>
      </c>
      <c r="H118" s="61"/>
      <c r="I118" s="62"/>
      <c r="J118" s="61"/>
      <c r="L118" s="61"/>
      <c r="M118" s="61"/>
      <c r="N118" s="61"/>
      <c r="Q118" s="61"/>
      <c r="R118" s="61"/>
    </row>
    <row r="119" spans="2:18" x14ac:dyDescent="0.25">
      <c r="B119" s="261" t="str">
        <f>IF(Lang="Français","Portance Cnα","Lift Cnα")</f>
        <v>Portance Cnα</v>
      </c>
      <c r="H119" s="61"/>
      <c r="I119" s="62"/>
      <c r="J119" s="61"/>
      <c r="L119" s="61"/>
      <c r="M119" s="61"/>
      <c r="N119" s="61"/>
      <c r="Q119" s="61"/>
      <c r="R119" s="61"/>
    </row>
    <row r="120" spans="2:18" x14ac:dyDescent="0.25">
      <c r="B120" s="65"/>
      <c r="H120" s="61"/>
      <c r="I120" s="62"/>
      <c r="J120" s="61"/>
      <c r="L120" s="61"/>
      <c r="M120" s="61"/>
      <c r="N120" s="61"/>
      <c r="Q120" s="61"/>
      <c r="R120" s="61"/>
    </row>
    <row r="121" spans="2:18" x14ac:dyDescent="0.25">
      <c r="B121" s="35" t="str">
        <f>IF(Lang="Français","Données pour les graphiques :",IF(Lang="English","Data for plots:",""))</f>
        <v>Données pour les graphiques :</v>
      </c>
      <c r="H121" s="61"/>
      <c r="I121" s="62"/>
      <c r="J121" s="61"/>
      <c r="L121" s="61"/>
      <c r="M121" s="61"/>
      <c r="N121" s="61"/>
      <c r="Q121" s="61"/>
      <c r="R121" s="61"/>
    </row>
    <row r="122" spans="2:18" x14ac:dyDescent="0.25">
      <c r="H122" s="61"/>
      <c r="I122" s="62"/>
      <c r="J122" s="61"/>
      <c r="L122" s="61"/>
      <c r="M122" s="61"/>
      <c r="N122" s="61"/>
      <c r="Q122" s="61"/>
      <c r="R122" s="61"/>
    </row>
    <row r="123" spans="2:18" x14ac:dyDescent="0.25">
      <c r="B123" s="66"/>
      <c r="C123" s="66" t="s">
        <v>69</v>
      </c>
      <c r="D123" s="66" t="s">
        <v>70</v>
      </c>
      <c r="E123" s="120" t="s">
        <v>71</v>
      </c>
      <c r="K123" s="66"/>
      <c r="R123" s="61"/>
    </row>
    <row r="124" spans="2:18" x14ac:dyDescent="0.25">
      <c r="B124" s="66" t="s">
        <v>73</v>
      </c>
      <c r="C124" s="67">
        <f>-Long_ogive</f>
        <v>-250</v>
      </c>
      <c r="D124" s="67">
        <v>0</v>
      </c>
      <c r="E124" s="121">
        <f t="shared" ref="E124:E136" si="0">-D124</f>
        <v>0</v>
      </c>
      <c r="K124" s="67"/>
    </row>
    <row r="125" spans="2:18" x14ac:dyDescent="0.25">
      <c r="B125" s="66" t="s">
        <v>73</v>
      </c>
      <c r="C125" s="67">
        <f>-Long_ogive</f>
        <v>-250</v>
      </c>
      <c r="D125" s="67">
        <f>D_og/2</f>
        <v>50</v>
      </c>
      <c r="E125" s="121">
        <f t="shared" si="0"/>
        <v>-50</v>
      </c>
      <c r="K125" s="67"/>
    </row>
    <row r="126" spans="2:18" x14ac:dyDescent="0.25">
      <c r="B126" s="66" t="s">
        <v>74</v>
      </c>
      <c r="C126" s="67">
        <f>IF(AND(RIGHT(Nb_diam,1)=".",X_j), -X_j, C125 )</f>
        <v>-250</v>
      </c>
      <c r="D126" s="67">
        <f>IF(AND(RIGHT(Nb_diam,1)=".",X_j), D1j/2, D125 )</f>
        <v>50</v>
      </c>
      <c r="E126" s="121">
        <f t="shared" si="0"/>
        <v>-50</v>
      </c>
      <c r="K126" s="67"/>
    </row>
    <row r="127" spans="2:18" x14ac:dyDescent="0.25">
      <c r="B127" s="66" t="s">
        <v>75</v>
      </c>
      <c r="C127" s="67">
        <f>IF(AND(RIGHT(Nb_diam,1)=".",X_j), -X_j-l_j, C126 )</f>
        <v>-250</v>
      </c>
      <c r="D127" s="67">
        <f>IF(AND(RIGHT(Nb_diam,1)=".",X_j), D2j/2, D126 )</f>
        <v>50</v>
      </c>
      <c r="E127" s="121">
        <f t="shared" si="0"/>
        <v>-50</v>
      </c>
      <c r="K127" s="67"/>
    </row>
    <row r="128" spans="2:18" x14ac:dyDescent="0.25">
      <c r="B128" s="66" t="s">
        <v>76</v>
      </c>
      <c r="C128" s="67">
        <f>IF(AND(RIGHT(Nb_diam,1)=".",X_r), -X_r, C127 )</f>
        <v>-250</v>
      </c>
      <c r="D128" s="67">
        <f>IF(AND(RIGHT(Nb_diam,1)=".",X_r), D1r/2, D127 )</f>
        <v>50</v>
      </c>
      <c r="E128" s="121">
        <f t="shared" si="0"/>
        <v>-50</v>
      </c>
      <c r="K128" s="67"/>
    </row>
    <row r="129" spans="2:11" x14ac:dyDescent="0.25">
      <c r="B129" s="66" t="s">
        <v>77</v>
      </c>
      <c r="C129" s="67">
        <f>IF(AND(RIGHT(Nb_diam,1)=".",X_r), -X_r-l_r, C128 )</f>
        <v>-250</v>
      </c>
      <c r="D129" s="67">
        <f>IF(AND(RIGHT(Nb_diam,1)=".",X_r), D2r/2, D128 )</f>
        <v>50</v>
      </c>
      <c r="E129" s="121">
        <f t="shared" si="0"/>
        <v>-50</v>
      </c>
      <c r="K129" s="67"/>
    </row>
    <row r="130" spans="2:11" x14ac:dyDescent="0.25">
      <c r="B130" s="66" t="s">
        <v>78</v>
      </c>
      <c r="C130" s="67">
        <f>-Long_tot</f>
        <v>-1800</v>
      </c>
      <c r="D130" s="67">
        <f>D129</f>
        <v>50</v>
      </c>
      <c r="E130" s="121">
        <f t="shared" si="0"/>
        <v>-50</v>
      </c>
      <c r="K130" s="67"/>
    </row>
    <row r="131" spans="2:11" x14ac:dyDescent="0.25">
      <c r="B131" s="66" t="s">
        <v>78</v>
      </c>
      <c r="C131" s="67">
        <f>-Long_tot</f>
        <v>-1800</v>
      </c>
      <c r="D131" s="67">
        <v>0</v>
      </c>
      <c r="E131" s="121">
        <f t="shared" si="0"/>
        <v>0</v>
      </c>
      <c r="K131" s="67"/>
    </row>
    <row r="132" spans="2:11" x14ac:dyDescent="0.25">
      <c r="B132" s="217" t="s">
        <v>79</v>
      </c>
      <c r="C132" s="231">
        <f>-X_ail+m_ail</f>
        <v>-1580</v>
      </c>
      <c r="D132" s="231">
        <f>D_ail/2</f>
        <v>50</v>
      </c>
      <c r="E132" s="232">
        <f t="shared" si="0"/>
        <v>-50</v>
      </c>
      <c r="K132" s="67"/>
    </row>
    <row r="133" spans="2:11" x14ac:dyDescent="0.25">
      <c r="B133" s="219" t="s">
        <v>80</v>
      </c>
      <c r="C133" s="233">
        <f>-X_ail+m_ail-p_ail</f>
        <v>-1780</v>
      </c>
      <c r="D133" s="233">
        <f>D_ail/2+E_ail</f>
        <v>200</v>
      </c>
      <c r="E133" s="234">
        <f t="shared" si="0"/>
        <v>-200</v>
      </c>
      <c r="K133" s="67"/>
    </row>
    <row r="134" spans="2:11" x14ac:dyDescent="0.25">
      <c r="B134" s="219" t="s">
        <v>81</v>
      </c>
      <c r="C134" s="233">
        <f>-X_ail+m_ail-p_ail-n_ail</f>
        <v>-1880</v>
      </c>
      <c r="D134" s="233">
        <f>D_ail/2+E_ail</f>
        <v>200</v>
      </c>
      <c r="E134" s="234">
        <f t="shared" si="0"/>
        <v>-200</v>
      </c>
      <c r="K134" s="67"/>
    </row>
    <row r="135" spans="2:11" x14ac:dyDescent="0.25">
      <c r="B135" s="219" t="s">
        <v>82</v>
      </c>
      <c r="C135" s="233">
        <f>-X_ail</f>
        <v>-1800</v>
      </c>
      <c r="D135" s="233">
        <f>D_ail/2</f>
        <v>50</v>
      </c>
      <c r="E135" s="234">
        <f t="shared" si="0"/>
        <v>-50</v>
      </c>
      <c r="K135" s="67"/>
    </row>
    <row r="136" spans="2:11" x14ac:dyDescent="0.25">
      <c r="B136" s="221" t="s">
        <v>79</v>
      </c>
      <c r="C136" s="235">
        <f>-X_ail+m_ail</f>
        <v>-1580</v>
      </c>
      <c r="D136" s="235">
        <f>D_ail/2</f>
        <v>50</v>
      </c>
      <c r="E136" s="236">
        <f t="shared" si="0"/>
        <v>-50</v>
      </c>
      <c r="K136" s="67"/>
    </row>
    <row r="137" spans="2:11" x14ac:dyDescent="0.25">
      <c r="B137" s="226" t="str">
        <f>IF(E_ail&gt;0,IF(Lang="Français","Envergure","Span"),"")</f>
        <v>Envergure</v>
      </c>
      <c r="C137" s="231">
        <f>MIN(-X_ail,-X_ail+m_ail-p_ail-n_ail)-Long_tot/30</f>
        <v>-1940</v>
      </c>
      <c r="D137" s="242">
        <f>-D_ail/2-E_ail</f>
        <v>-200</v>
      </c>
      <c r="E137" s="247"/>
      <c r="K137" s="67"/>
    </row>
    <row r="138" spans="2:11" x14ac:dyDescent="0.25">
      <c r="B138" s="229" t="s">
        <v>167</v>
      </c>
      <c r="C138" s="233">
        <f>MIN(-X_ail,-X_ail+m_ail-p_ail-n_ail)-Long_tot/30</f>
        <v>-1940</v>
      </c>
      <c r="D138" s="243">
        <f>-D_ail/2-E_ail/2</f>
        <v>-125</v>
      </c>
      <c r="E138" s="247"/>
      <c r="K138" s="67"/>
    </row>
    <row r="139" spans="2:11" x14ac:dyDescent="0.25">
      <c r="B139" s="248" t="s">
        <v>163</v>
      </c>
      <c r="C139" s="235">
        <f>MIN(-X_ail,-X_ail+m_ail-p_ail-n_ail)-Long_tot/30</f>
        <v>-1940</v>
      </c>
      <c r="D139" s="244">
        <f>-D_ail/2</f>
        <v>-50</v>
      </c>
      <c r="E139" s="247"/>
      <c r="K139" s="67"/>
    </row>
    <row r="140" spans="2:11" x14ac:dyDescent="0.25">
      <c r="B140" s="226" t="str">
        <f>IF(Lang="Français","Emplanture","Root edge")</f>
        <v>Emplanture</v>
      </c>
      <c r="C140" s="231">
        <f>-X_ail+m_ail</f>
        <v>-1580</v>
      </c>
      <c r="D140" s="242">
        <f>D_ail/2+E_ail+Long_tot/20</f>
        <v>290</v>
      </c>
      <c r="E140" s="247"/>
      <c r="K140" s="67"/>
    </row>
    <row r="141" spans="2:11" x14ac:dyDescent="0.25">
      <c r="B141" s="229" t="s">
        <v>169</v>
      </c>
      <c r="C141" s="233">
        <f>-X_ail+m_ail/2</f>
        <v>-1690</v>
      </c>
      <c r="D141" s="243">
        <f>D_ail/2+E_ail+Long_tot/20</f>
        <v>290</v>
      </c>
      <c r="E141" s="247"/>
      <c r="K141" s="67"/>
    </row>
    <row r="142" spans="2:11" x14ac:dyDescent="0.25">
      <c r="B142" s="248" t="s">
        <v>170</v>
      </c>
      <c r="C142" s="235">
        <f>-X_ail</f>
        <v>-1800</v>
      </c>
      <c r="D142" s="244">
        <f>D_ail/2+E_ail+Long_tot/20</f>
        <v>290</v>
      </c>
      <c r="E142" s="247"/>
      <c r="K142" s="67"/>
    </row>
    <row r="143" spans="2:11" x14ac:dyDescent="0.25">
      <c r="B143" s="226" t="str">
        <f>IF(p_ail&lt;&gt;0,IF(Lang="Français","Flèche","Offset"),"")</f>
        <v>Flèche</v>
      </c>
      <c r="C143" s="231">
        <f>-X_ail+m_ail</f>
        <v>-1580</v>
      </c>
      <c r="D143" s="242">
        <f>-D_ail/2-E_ail-Long_tot/30</f>
        <v>-260</v>
      </c>
      <c r="E143" s="247"/>
      <c r="K143" s="67"/>
    </row>
    <row r="144" spans="2:11" x14ac:dyDescent="0.25">
      <c r="B144" s="229" t="s">
        <v>166</v>
      </c>
      <c r="C144" s="233">
        <f>-X_ail+m_ail-p_ail/2</f>
        <v>-1680</v>
      </c>
      <c r="D144" s="243">
        <f>-D_ail/2-E_ail-Long_tot/30</f>
        <v>-260</v>
      </c>
      <c r="E144" s="247"/>
      <c r="K144" s="67"/>
    </row>
    <row r="145" spans="2:11" x14ac:dyDescent="0.25">
      <c r="B145" s="248" t="s">
        <v>164</v>
      </c>
      <c r="C145" s="235">
        <f>-X_ail+m_ail-p_ail</f>
        <v>-1780</v>
      </c>
      <c r="D145" s="244">
        <f>-D_ail/2-E_ail-Long_tot/30</f>
        <v>-260</v>
      </c>
      <c r="E145" s="247"/>
      <c r="K145" s="67"/>
    </row>
    <row r="146" spans="2:11" x14ac:dyDescent="0.25">
      <c r="B146" s="226" t="str">
        <f>IF(n_ail&gt;0,IF(Lang="Français","Saumon","Tip edge"),"")</f>
        <v>Saumon</v>
      </c>
      <c r="C146" s="231">
        <f>-X_ail+m_ail-p_ail</f>
        <v>-1780</v>
      </c>
      <c r="D146" s="242">
        <f>-D_ail/2-E_ail-Long_tot/20</f>
        <v>-290</v>
      </c>
      <c r="E146" s="247"/>
      <c r="K146" s="67"/>
    </row>
    <row r="147" spans="2:11" x14ac:dyDescent="0.25">
      <c r="B147" s="229" t="s">
        <v>168</v>
      </c>
      <c r="C147" s="233">
        <f>-X_ail+m_ail-p_ail-n_ail/2</f>
        <v>-1830</v>
      </c>
      <c r="D147" s="243">
        <f>-D_ail/2-E_ail-Long_tot/20</f>
        <v>-290</v>
      </c>
      <c r="E147" s="247"/>
      <c r="K147" s="67"/>
    </row>
    <row r="148" spans="2:11" x14ac:dyDescent="0.25">
      <c r="B148" s="248" t="s">
        <v>165</v>
      </c>
      <c r="C148" s="235">
        <f>-X_ail+m_ail-p_ail-n_ail</f>
        <v>-1880</v>
      </c>
      <c r="D148" s="244">
        <f>-D_ail/2-E_ail-Long_tot/20</f>
        <v>-290</v>
      </c>
      <c r="E148" s="247"/>
      <c r="K148" s="67"/>
    </row>
    <row r="149" spans="2:11" x14ac:dyDescent="0.25">
      <c r="B149" s="217" t="s">
        <v>83</v>
      </c>
      <c r="C149" s="231">
        <f ca="1">-XcgPlein</f>
        <v>-1239.3907566675355</v>
      </c>
      <c r="D149" s="242">
        <v>0</v>
      </c>
      <c r="E149" s="121"/>
      <c r="K149" s="67"/>
    </row>
    <row r="150" spans="2:11" x14ac:dyDescent="0.25">
      <c r="B150" s="221" t="s">
        <v>84</v>
      </c>
      <c r="C150" s="235">
        <f ca="1">-XcgVide</f>
        <v>-1177.6681884208342</v>
      </c>
      <c r="D150" s="244">
        <v>0</v>
      </c>
      <c r="E150" s="121"/>
      <c r="K150" s="67"/>
    </row>
    <row r="151" spans="2:11" x14ac:dyDescent="0.25">
      <c r="B151" s="217" t="s">
        <v>85</v>
      </c>
      <c r="C151" s="231">
        <f>-XCp</f>
        <v>-1542.904434046003</v>
      </c>
      <c r="D151" s="242">
        <v>0</v>
      </c>
      <c r="E151" s="121"/>
      <c r="K151" s="67"/>
    </row>
    <row r="152" spans="2:11" x14ac:dyDescent="0.25">
      <c r="B152" s="221" t="s">
        <v>85</v>
      </c>
      <c r="C152" s="235">
        <f>-XCp</f>
        <v>-1542.904434046003</v>
      </c>
      <c r="D152" s="244">
        <f>Cn*D_ref/CritCnmin</f>
        <v>127.56676226462501</v>
      </c>
      <c r="E152" s="121"/>
      <c r="K152" s="67"/>
    </row>
    <row r="153" spans="2:11" x14ac:dyDescent="0.25">
      <c r="B153" s="219" t="s">
        <v>424</v>
      </c>
      <c r="C153" s="233">
        <f>-XCp0</f>
        <v>-1542.904434046003</v>
      </c>
      <c r="D153" s="243">
        <f>Cn0*D_ref/CritCnmin</f>
        <v>127.56676226462501</v>
      </c>
      <c r="E153" s="121"/>
      <c r="K153" s="67"/>
    </row>
    <row r="154" spans="2:11" x14ac:dyDescent="0.25">
      <c r="B154" s="219" t="s">
        <v>424</v>
      </c>
      <c r="C154" s="233">
        <f>-XCp0</f>
        <v>-1542.904434046003</v>
      </c>
      <c r="D154" s="243">
        <v>0</v>
      </c>
      <c r="E154" s="121"/>
      <c r="K154" s="67"/>
    </row>
    <row r="155" spans="2:11" x14ac:dyDescent="0.25">
      <c r="B155" s="226" t="str">
        <f>IF(n_ail&gt;0,IF(Lang="Français","Marge Statique","Static Margin"),"")</f>
        <v>Marge Statique</v>
      </c>
      <c r="C155" s="231">
        <f ca="1">(-XcgPlein-XcgVide)/2</f>
        <v>-1208.529472544185</v>
      </c>
      <c r="D155" s="242">
        <f>-D_ail/2-E_ail-Long_tot/20</f>
        <v>-290</v>
      </c>
      <c r="E155" s="121"/>
      <c r="K155" s="67"/>
    </row>
    <row r="156" spans="2:11" x14ac:dyDescent="0.25">
      <c r="B156" s="229" t="s">
        <v>171</v>
      </c>
      <c r="C156" s="233">
        <f ca="1">(C155+C157)/2</f>
        <v>-1375.7169532950938</v>
      </c>
      <c r="D156" s="243">
        <f>-D_ail/2-E_ail-Long_tot/20</f>
        <v>-290</v>
      </c>
      <c r="E156" s="121"/>
      <c r="K156" s="67"/>
    </row>
    <row r="157" spans="2:11" x14ac:dyDescent="0.25">
      <c r="B157" s="248" t="s">
        <v>172</v>
      </c>
      <c r="C157" s="235">
        <f>-XCp</f>
        <v>-1542.904434046003</v>
      </c>
      <c r="D157" s="244">
        <f>-D_ail/2-E_ail-Long_tot/20</f>
        <v>-290</v>
      </c>
      <c r="E157" s="121"/>
      <c r="K157" s="67"/>
    </row>
    <row r="158" spans="2:11" x14ac:dyDescent="0.25">
      <c r="B158" s="217" t="s">
        <v>86</v>
      </c>
      <c r="C158" s="231">
        <f>IF(LEFT(Type_masquage,1)="M",0,-X_can+m_can)</f>
        <v>0</v>
      </c>
      <c r="D158" s="231">
        <f>IF(LEFT(Type_masquage,1)="M",0,D_ail/2)</f>
        <v>0</v>
      </c>
      <c r="E158" s="232">
        <f t="shared" ref="E158:E167" si="1">-D158</f>
        <v>0</v>
      </c>
      <c r="K158" s="67"/>
    </row>
    <row r="159" spans="2:11" x14ac:dyDescent="0.25">
      <c r="B159" s="219" t="s">
        <v>87</v>
      </c>
      <c r="C159" s="233">
        <f>IF(LEFT(Type_masquage,1)="M",0,-X_can+m_can-p_can)</f>
        <v>0</v>
      </c>
      <c r="D159" s="233">
        <f>IF(LEFT(Type_masquage,1)="M",0,D_ail/2+E_can)</f>
        <v>0</v>
      </c>
      <c r="E159" s="234">
        <f t="shared" si="1"/>
        <v>0</v>
      </c>
      <c r="K159" s="67"/>
    </row>
    <row r="160" spans="2:11" x14ac:dyDescent="0.25">
      <c r="B160" s="219" t="s">
        <v>88</v>
      </c>
      <c r="C160" s="233">
        <f>IF(LEFT(Type_masquage,1)="M",0,-X_can+m_can-p_can-n_can)</f>
        <v>0</v>
      </c>
      <c r="D160" s="233">
        <f>IF(LEFT(Type_masquage,1)="M",0,D_ail/2+E_can)</f>
        <v>0</v>
      </c>
      <c r="E160" s="234">
        <f t="shared" si="1"/>
        <v>0</v>
      </c>
      <c r="K160" s="67"/>
    </row>
    <row r="161" spans="2:11" x14ac:dyDescent="0.25">
      <c r="B161" s="219" t="s">
        <v>89</v>
      </c>
      <c r="C161" s="233">
        <f>IF(LEFT(Type_masquage,1)="M",0,-X_can)</f>
        <v>0</v>
      </c>
      <c r="D161" s="233">
        <f>IF(LEFT(Type_masquage,1)="M",0,D_ail/2)</f>
        <v>0</v>
      </c>
      <c r="E161" s="234">
        <f t="shared" si="1"/>
        <v>0</v>
      </c>
      <c r="K161" s="67"/>
    </row>
    <row r="162" spans="2:11" x14ac:dyDescent="0.25">
      <c r="B162" s="221" t="s">
        <v>86</v>
      </c>
      <c r="C162" s="235">
        <f>IF(LEFT(Type_masquage,1)="M",0,-X_can+m_can)</f>
        <v>0</v>
      </c>
      <c r="D162" s="235">
        <f>IF(LEFT(Type_masquage,1)="M",0,D_ail/2)</f>
        <v>0</v>
      </c>
      <c r="E162" s="236">
        <f t="shared" si="1"/>
        <v>0</v>
      </c>
      <c r="K162" s="67"/>
    </row>
    <row r="163" spans="2:11" x14ac:dyDescent="0.25">
      <c r="B163" s="217" t="s">
        <v>90</v>
      </c>
      <c r="C163" s="231">
        <f>IF(LEFT(Type_masquage,1)="B",-X_int+m_int,0)</f>
        <v>0</v>
      </c>
      <c r="D163" s="231">
        <f>IF(LEFT(Type_masquage,1)="B",D_int/2,0)</f>
        <v>0</v>
      </c>
      <c r="E163" s="232">
        <f t="shared" si="1"/>
        <v>0</v>
      </c>
      <c r="K163" s="67"/>
    </row>
    <row r="164" spans="2:11" x14ac:dyDescent="0.25">
      <c r="B164" s="219" t="s">
        <v>91</v>
      </c>
      <c r="C164" s="233">
        <f>IF(LEFT(Type_masquage,1)="B",-X_int+m_int-p_int,0)</f>
        <v>0</v>
      </c>
      <c r="D164" s="233">
        <f>IF(LEFT(Type_masquage,1)="B",D_int/2+E_int,0)</f>
        <v>0</v>
      </c>
      <c r="E164" s="234">
        <f t="shared" si="1"/>
        <v>0</v>
      </c>
      <c r="K164" s="67"/>
    </row>
    <row r="165" spans="2:11" x14ac:dyDescent="0.25">
      <c r="B165" s="219" t="s">
        <v>92</v>
      </c>
      <c r="C165" s="233">
        <f>IF(LEFT(Type_masquage,1)="B",-X_int+m_int-p_int-n_int,0)</f>
        <v>0</v>
      </c>
      <c r="D165" s="233">
        <f>IF(LEFT(Type_masquage,1)="B",D_int/2+E_int,0)</f>
        <v>0</v>
      </c>
      <c r="E165" s="234">
        <f t="shared" si="1"/>
        <v>0</v>
      </c>
      <c r="K165" s="67"/>
    </row>
    <row r="166" spans="2:11" x14ac:dyDescent="0.25">
      <c r="B166" s="219" t="s">
        <v>93</v>
      </c>
      <c r="C166" s="233">
        <f>IF(LEFT(Type_masquage,1)="B",-X_int,0)</f>
        <v>0</v>
      </c>
      <c r="D166" s="233">
        <f>IF(LEFT(Type_masquage,1)="B",D_int/2,0)</f>
        <v>0</v>
      </c>
      <c r="E166" s="234">
        <f t="shared" si="1"/>
        <v>0</v>
      </c>
      <c r="K166" s="67"/>
    </row>
    <row r="167" spans="2:11" x14ac:dyDescent="0.25">
      <c r="B167" s="221" t="s">
        <v>90</v>
      </c>
      <c r="C167" s="235">
        <f>IF(LEFT(Type_masquage,1)="B",-X_int+m_int,0)</f>
        <v>0</v>
      </c>
      <c r="D167" s="235">
        <f>IF(LEFT(Type_masquage,1)="B",D_int/2,0)</f>
        <v>0</v>
      </c>
      <c r="E167" s="236">
        <f t="shared" si="1"/>
        <v>0</v>
      </c>
      <c r="K167" s="67"/>
    </row>
    <row r="168" spans="2:11" x14ac:dyDescent="0.25">
      <c r="B168" s="66" t="s">
        <v>94</v>
      </c>
      <c r="C168" s="67">
        <f>-MAX(Long_tot, X_ail-m_ail+p_ail+n_ail, (E_ail+D_ail/2)*3.2)*1.01</f>
        <v>-1898.8</v>
      </c>
      <c r="D168" s="67">
        <f>MAX(E_ail+D_ail/2, Long_tot/3)</f>
        <v>600</v>
      </c>
      <c r="E168" s="121"/>
      <c r="K168" s="67"/>
    </row>
    <row r="169" spans="2:11" x14ac:dyDescent="0.25">
      <c r="B169" s="66" t="s">
        <v>94</v>
      </c>
      <c r="C169" s="67">
        <f>C168</f>
        <v>-1898.8</v>
      </c>
      <c r="D169" s="67">
        <f>-D168</f>
        <v>-600</v>
      </c>
      <c r="E169" s="121"/>
      <c r="K169" s="67"/>
    </row>
    <row r="170" spans="2:11" x14ac:dyDescent="0.25">
      <c r="B170" s="217" t="s">
        <v>95</v>
      </c>
      <c r="C170" s="231">
        <f ca="1">-XpropuRef+Long_propu</f>
        <v>-1314</v>
      </c>
      <c r="D170" s="242">
        <f ca="1">-Diam_propu/2</f>
        <v>-37.5</v>
      </c>
      <c r="E170" s="121"/>
      <c r="K170" s="67"/>
    </row>
    <row r="171" spans="2:11" x14ac:dyDescent="0.25">
      <c r="B171" s="219" t="s">
        <v>96</v>
      </c>
      <c r="C171" s="233">
        <f ca="1">-XpropuRef+Long_propu</f>
        <v>-1314</v>
      </c>
      <c r="D171" s="243">
        <f ca="1">Diam_propu/2</f>
        <v>37.5</v>
      </c>
      <c r="E171" s="121"/>
      <c r="K171" s="67"/>
    </row>
    <row r="172" spans="2:11" x14ac:dyDescent="0.25">
      <c r="B172" s="219" t="s">
        <v>97</v>
      </c>
      <c r="C172" s="233">
        <f>-XpropuRef</f>
        <v>-1800</v>
      </c>
      <c r="D172" s="243">
        <f ca="1">Diam_propu/2</f>
        <v>37.5</v>
      </c>
      <c r="E172" s="121"/>
      <c r="K172" s="67"/>
    </row>
    <row r="173" spans="2:11" x14ac:dyDescent="0.25">
      <c r="B173" s="219" t="s">
        <v>98</v>
      </c>
      <c r="C173" s="233">
        <f>-XpropuRef</f>
        <v>-1800</v>
      </c>
      <c r="D173" s="243">
        <f ca="1">-Diam_propu/2</f>
        <v>-37.5</v>
      </c>
      <c r="E173" s="121"/>
      <c r="K173" s="67"/>
    </row>
    <row r="174" spans="2:11" x14ac:dyDescent="0.25">
      <c r="B174" s="221" t="s">
        <v>99</v>
      </c>
      <c r="C174" s="235">
        <f ca="1">-XpropuRef+Long_propu</f>
        <v>-1314</v>
      </c>
      <c r="D174" s="244">
        <f ca="1">-Diam_propu/2</f>
        <v>-37.5</v>
      </c>
      <c r="E174" s="121"/>
      <c r="F174" s="226" t="s">
        <v>160</v>
      </c>
      <c r="G174" s="227" t="s">
        <v>161</v>
      </c>
      <c r="H174" s="228" t="s">
        <v>162</v>
      </c>
      <c r="K174" s="67"/>
    </row>
    <row r="175" spans="2:11" x14ac:dyDescent="0.25">
      <c r="B175" s="217" t="s">
        <v>72</v>
      </c>
      <c r="C175" s="231">
        <v>0</v>
      </c>
      <c r="D175" s="231">
        <v>0</v>
      </c>
      <c r="E175" s="232">
        <f t="shared" ref="E175:E180" si="2">-D175</f>
        <v>0</v>
      </c>
      <c r="F175" s="229">
        <v>0</v>
      </c>
      <c r="G175" s="214">
        <v>0</v>
      </c>
      <c r="H175" s="223">
        <v>0</v>
      </c>
      <c r="K175" s="67"/>
    </row>
    <row r="176" spans="2:11" x14ac:dyDescent="0.25">
      <c r="B176" s="219" t="s">
        <v>73</v>
      </c>
      <c r="C176" s="233">
        <f>-Long_ogive*0.1</f>
        <v>-25</v>
      </c>
      <c r="D176" s="233">
        <f>IF(LEFT(Forme_ogive,5)="Parab",H176,IF(LEFT(Forme_ogive,4)="Ogiv",G176,IF(LEFT(Forme_ogive,3)="Con",F176)))</f>
        <v>10</v>
      </c>
      <c r="E176" s="234">
        <f t="shared" si="2"/>
        <v>-10</v>
      </c>
      <c r="F176" s="219">
        <f>D_og/2*0.1</f>
        <v>5</v>
      </c>
      <c r="G176" s="214">
        <f>D_og/2*0.2</f>
        <v>10</v>
      </c>
      <c r="H176" s="223">
        <f>D_og/2*0.5</f>
        <v>25</v>
      </c>
      <c r="K176" s="67"/>
    </row>
    <row r="177" spans="2:11" x14ac:dyDescent="0.25">
      <c r="B177" s="219" t="s">
        <v>73</v>
      </c>
      <c r="C177" s="233">
        <f>-Long_ogive/4</f>
        <v>-62.5</v>
      </c>
      <c r="D177" s="233">
        <f>IF(LEFT(Forme_ogive,5)="Parab",H177,IF(LEFT(Forme_ogive,4)="Ogiv",G177,IF(LEFT(Forme_ogive,3)="Con",F177)))</f>
        <v>25</v>
      </c>
      <c r="E177" s="234">
        <f t="shared" si="2"/>
        <v>-25</v>
      </c>
      <c r="F177" s="219">
        <f>D_og/2*1/4</f>
        <v>12.5</v>
      </c>
      <c r="G177" s="214">
        <f>D_og/2/2</f>
        <v>25</v>
      </c>
      <c r="H177" s="223">
        <f>D_og/2*0.7</f>
        <v>35</v>
      </c>
      <c r="K177" s="67"/>
    </row>
    <row r="178" spans="2:11" x14ac:dyDescent="0.25">
      <c r="B178" s="219" t="s">
        <v>73</v>
      </c>
      <c r="C178" s="233">
        <f>-Long_ogive/2</f>
        <v>-125</v>
      </c>
      <c r="D178" s="233">
        <f>IF(LEFT(Forme_ogive,5)="Parab",H178,IF(LEFT(Forme_ogive,4)="Ogiv",G178,IF(LEFT(Forme_ogive,3)="Con",F178)))</f>
        <v>37.5</v>
      </c>
      <c r="E178" s="234">
        <f t="shared" si="2"/>
        <v>-37.5</v>
      </c>
      <c r="F178" s="219">
        <f>D_og/2/2</f>
        <v>25</v>
      </c>
      <c r="G178" s="214">
        <f>D_og/2*3/4</f>
        <v>37.5</v>
      </c>
      <c r="H178" s="223">
        <f>D_og/2*0.88</f>
        <v>44</v>
      </c>
      <c r="K178" s="67"/>
    </row>
    <row r="179" spans="2:11" x14ac:dyDescent="0.25">
      <c r="B179" s="219" t="s">
        <v>73</v>
      </c>
      <c r="C179" s="233">
        <f>-Long_ogive*3/4</f>
        <v>-187.5</v>
      </c>
      <c r="D179" s="233">
        <f>IF(LEFT(Forme_ogive,5)="Parab",H179,IF(LEFT(Forme_ogive,4)="Ogiv",G179,IF(LEFT(Forme_ogive,3)="Con",F179)))</f>
        <v>45</v>
      </c>
      <c r="E179" s="234">
        <f t="shared" si="2"/>
        <v>-45</v>
      </c>
      <c r="F179" s="219">
        <f>D_og/2*3/4</f>
        <v>37.5</v>
      </c>
      <c r="G179" s="214">
        <f>D_og/2*0.9</f>
        <v>45</v>
      </c>
      <c r="H179" s="223">
        <f>D_og/2*0.95</f>
        <v>47.5</v>
      </c>
      <c r="K179" s="67"/>
    </row>
    <row r="180" spans="2:11" x14ac:dyDescent="0.25">
      <c r="B180" s="221" t="s">
        <v>73</v>
      </c>
      <c r="C180" s="235">
        <f>-Long_ogive</f>
        <v>-250</v>
      </c>
      <c r="D180" s="235">
        <f>D_og/2</f>
        <v>50</v>
      </c>
      <c r="E180" s="236">
        <f t="shared" si="2"/>
        <v>-50</v>
      </c>
      <c r="F180" s="221">
        <f>D_og/2</f>
        <v>50</v>
      </c>
      <c r="G180" s="230">
        <f>D_og/2</f>
        <v>50</v>
      </c>
      <c r="H180" s="224">
        <f>D_og/2</f>
        <v>50</v>
      </c>
      <c r="K180" s="56"/>
    </row>
    <row r="181" spans="2:11" x14ac:dyDescent="0.25">
      <c r="B181" s="66" t="s">
        <v>100</v>
      </c>
      <c r="C181" s="66" t="s">
        <v>101</v>
      </c>
      <c r="D181" s="217" t="s">
        <v>100</v>
      </c>
      <c r="E181" s="239" t="s">
        <v>101</v>
      </c>
      <c r="K181" s="66"/>
    </row>
    <row r="182" spans="2:11" x14ac:dyDescent="0.25">
      <c r="B182" s="217">
        <v>0</v>
      </c>
      <c r="C182" s="237">
        <f>CritCnmin</f>
        <v>15</v>
      </c>
      <c r="D182" s="219">
        <v>0.5</v>
      </c>
      <c r="E182" s="240">
        <f t="shared" ref="E182:E187" si="3">CritMsCnmin/D182</f>
        <v>80</v>
      </c>
      <c r="K182" s="66"/>
    </row>
    <row r="183" spans="2:11" x14ac:dyDescent="0.25">
      <c r="B183" s="221">
        <v>7</v>
      </c>
      <c r="C183" s="230">
        <f>CritCnmin</f>
        <v>15</v>
      </c>
      <c r="D183" s="219">
        <v>1</v>
      </c>
      <c r="E183" s="240">
        <f t="shared" si="3"/>
        <v>40</v>
      </c>
      <c r="K183" s="66"/>
    </row>
    <row r="184" spans="2:11" x14ac:dyDescent="0.25">
      <c r="B184" s="217">
        <v>0</v>
      </c>
      <c r="C184" s="237">
        <f>CritCnmax</f>
        <v>40</v>
      </c>
      <c r="D184" s="219">
        <v>2</v>
      </c>
      <c r="E184" s="240">
        <f t="shared" si="3"/>
        <v>20</v>
      </c>
      <c r="K184" s="66"/>
    </row>
    <row r="185" spans="2:11" x14ac:dyDescent="0.25">
      <c r="B185" s="221">
        <v>7</v>
      </c>
      <c r="C185" s="230">
        <f>CritCnmax</f>
        <v>40</v>
      </c>
      <c r="D185" s="219">
        <v>3</v>
      </c>
      <c r="E185" s="240">
        <f t="shared" si="3"/>
        <v>13.333333333333334</v>
      </c>
      <c r="K185" s="66"/>
    </row>
    <row r="186" spans="2:11" x14ac:dyDescent="0.25">
      <c r="B186" s="217">
        <f>CritMsmin</f>
        <v>2</v>
      </c>
      <c r="C186" s="237">
        <v>0</v>
      </c>
      <c r="D186" s="219">
        <v>5</v>
      </c>
      <c r="E186" s="240">
        <f t="shared" si="3"/>
        <v>8</v>
      </c>
      <c r="K186" s="66"/>
    </row>
    <row r="187" spans="2:11" x14ac:dyDescent="0.25">
      <c r="B187" s="221">
        <f>CritMsmin</f>
        <v>2</v>
      </c>
      <c r="C187" s="230">
        <v>55</v>
      </c>
      <c r="D187" s="219">
        <v>7</v>
      </c>
      <c r="E187" s="240">
        <f t="shared" si="3"/>
        <v>5.7142857142857144</v>
      </c>
      <c r="K187" s="66"/>
    </row>
    <row r="188" spans="2:11" x14ac:dyDescent="0.25">
      <c r="B188" s="217">
        <f>CritMsmax</f>
        <v>6</v>
      </c>
      <c r="C188" s="237">
        <v>0</v>
      </c>
      <c r="D188" s="219">
        <v>1</v>
      </c>
      <c r="E188" s="240">
        <f t="shared" ref="E188:E193" si="4">CritMsCnmax/D188</f>
        <v>100</v>
      </c>
      <c r="K188" s="66"/>
    </row>
    <row r="189" spans="2:11" x14ac:dyDescent="0.25">
      <c r="B189" s="221">
        <f>CritMsmax</f>
        <v>6</v>
      </c>
      <c r="C189" s="230">
        <v>55</v>
      </c>
      <c r="D189" s="219">
        <v>2</v>
      </c>
      <c r="E189" s="240">
        <f t="shared" si="4"/>
        <v>50</v>
      </c>
      <c r="K189" s="66"/>
    </row>
    <row r="190" spans="2:11" x14ac:dyDescent="0.25">
      <c r="B190" s="225">
        <f ca="1">MS_min</f>
        <v>3.0351367737846751</v>
      </c>
      <c r="C190" s="238">
        <f>Cn</f>
        <v>19.135014339693754</v>
      </c>
      <c r="D190" s="219">
        <v>3</v>
      </c>
      <c r="E190" s="240">
        <f t="shared" si="4"/>
        <v>33.333333333333336</v>
      </c>
      <c r="K190" s="66"/>
    </row>
    <row r="191" spans="2:11" x14ac:dyDescent="0.25">
      <c r="B191" s="601">
        <f ca="1">(XCp0-XcgPlein)/D_ref</f>
        <v>3.0351367737846751</v>
      </c>
      <c r="C191" s="602">
        <f>Cn0</f>
        <v>19.135014339693754</v>
      </c>
      <c r="D191" s="219">
        <v>4</v>
      </c>
      <c r="E191" s="240">
        <f t="shared" si="4"/>
        <v>25</v>
      </c>
      <c r="K191" s="66"/>
    </row>
    <row r="192" spans="2:11" x14ac:dyDescent="0.25">
      <c r="B192" s="601">
        <f ca="1">(XCp0-XcgVide)/D_ref</f>
        <v>3.6523624562516877</v>
      </c>
      <c r="C192" s="602">
        <f>Cn0</f>
        <v>19.135014339693754</v>
      </c>
      <c r="D192" s="219">
        <v>6</v>
      </c>
      <c r="E192" s="240">
        <f t="shared" si="4"/>
        <v>16.666666666666668</v>
      </c>
      <c r="K192" s="66"/>
    </row>
    <row r="193" spans="2:11" x14ac:dyDescent="0.25">
      <c r="B193" s="601">
        <f ca="1">(XCp-XcgVide)/D_ref</f>
        <v>3.6523624562516877</v>
      </c>
      <c r="C193" s="602">
        <f>Cn</f>
        <v>19.135014339693754</v>
      </c>
      <c r="D193" s="221">
        <v>7</v>
      </c>
      <c r="E193" s="241">
        <f t="shared" si="4"/>
        <v>14.285714285714286</v>
      </c>
      <c r="K193" s="66"/>
    </row>
    <row r="194" spans="2:11" x14ac:dyDescent="0.25">
      <c r="B194" s="601">
        <f ca="1">MS_min</f>
        <v>3.0351367737846751</v>
      </c>
      <c r="C194" s="603">
        <f>Cn</f>
        <v>19.135014339693754</v>
      </c>
      <c r="D194" s="214"/>
      <c r="E194" s="604"/>
      <c r="K194" s="66"/>
    </row>
    <row r="195" spans="2:11" x14ac:dyDescent="0.25">
      <c r="B195" s="217">
        <v>0</v>
      </c>
      <c r="C195" s="237">
        <f>(CritCnmin+CritCnmax)/2</f>
        <v>27.5</v>
      </c>
      <c r="D195" s="56"/>
      <c r="E195" s="122"/>
      <c r="K195" s="56"/>
    </row>
    <row r="196" spans="2:11" x14ac:dyDescent="0.25">
      <c r="B196" s="219">
        <f>MAX(CritMsmin,CritMsCnmin/C196)</f>
        <v>2</v>
      </c>
      <c r="C196" s="214">
        <f>(CritCnmin+CritCnmax)/2</f>
        <v>27.5</v>
      </c>
      <c r="D196" s="56"/>
      <c r="E196" s="122"/>
      <c r="K196" s="56"/>
    </row>
    <row r="197" spans="2:11" x14ac:dyDescent="0.25">
      <c r="B197" s="219">
        <f>MIN(CritMsmax,CritMsCnmax/C197)</f>
        <v>3.6363636363636362</v>
      </c>
      <c r="C197" s="223">
        <f>(CritCnmin+CritCnmax)/2</f>
        <v>27.5</v>
      </c>
    </row>
    <row r="198" spans="2:11" x14ac:dyDescent="0.25">
      <c r="B198" s="221">
        <v>7</v>
      </c>
      <c r="C198" s="224">
        <f>(CritCnmin+CritCnmax)/2</f>
        <v>27.5</v>
      </c>
    </row>
    <row r="199" spans="2:11" x14ac:dyDescent="0.25">
      <c r="B199" s="217">
        <f>(CritMsmin+CritMsmax)/2</f>
        <v>4</v>
      </c>
      <c r="C199" s="218">
        <v>0</v>
      </c>
    </row>
    <row r="200" spans="2:11" x14ac:dyDescent="0.25">
      <c r="B200" s="219">
        <f>(CritMsmin+CritMsmax)/2</f>
        <v>4</v>
      </c>
      <c r="C200" s="220">
        <f>MAX(CritCnmin,CritMsCnmin/B200)</f>
        <v>15</v>
      </c>
    </row>
    <row r="201" spans="2:11" x14ac:dyDescent="0.25">
      <c r="B201" s="219">
        <f>(CritMsmin+CritMsmax)/2</f>
        <v>4</v>
      </c>
      <c r="C201" s="220">
        <f>MIN(CritCnmax,CritMsCnmax/B201)</f>
        <v>25</v>
      </c>
    </row>
    <row r="202" spans="2:11" x14ac:dyDescent="0.25">
      <c r="B202" s="221">
        <f>(CritMsmin+CritMsmax)/2</f>
        <v>4</v>
      </c>
      <c r="C202" s="222">
        <v>55</v>
      </c>
    </row>
    <row r="203" spans="2:11" x14ac:dyDescent="0.25">
      <c r="D203" s="560"/>
    </row>
    <row r="204" spans="2:11" x14ac:dyDescent="0.25">
      <c r="B204" s="562" t="s">
        <v>407</v>
      </c>
      <c r="C204" s="52" t="b">
        <f ca="1">(OR(C205:C210))</f>
        <v>1</v>
      </c>
      <c r="D204" s="560"/>
    </row>
    <row r="205" spans="2:11" x14ac:dyDescent="0.25">
      <c r="B205" s="561" t="s">
        <v>404</v>
      </c>
      <c r="C205" s="560" t="b">
        <f ca="1">AND(Type_propu="H2O",RIGHT(Type_fusee,1)=" ")</f>
        <v>0</v>
      </c>
      <c r="D205" s="560"/>
    </row>
    <row r="206" spans="2:11" x14ac:dyDescent="0.25">
      <c r="B206" s="561" t="s">
        <v>119</v>
      </c>
      <c r="C206" s="560" t="b">
        <f ca="1">AND(Type_propu="Fusex",RIGHT(Type_fusee,1)=".")</f>
        <v>1</v>
      </c>
      <c r="D206" s="560"/>
    </row>
    <row r="207" spans="2:11" x14ac:dyDescent="0.25">
      <c r="B207" s="561" t="s">
        <v>405</v>
      </c>
      <c r="C207" s="560" t="b">
        <f ca="1">LEFT(Type_propu,5)=LEFT(Type_fusee,5)</f>
        <v>0</v>
      </c>
      <c r="D207" s="560"/>
    </row>
    <row r="208" spans="2:11" x14ac:dyDescent="0.25">
      <c r="B208" s="561" t="s">
        <v>406</v>
      </c>
      <c r="C208" s="560" t="b">
        <f ca="1">AND(RIGHT(Type_propu,1)="N",LEFT(Type_fusee,4)="Mini")</f>
        <v>0</v>
      </c>
      <c r="D208" s="560"/>
    </row>
    <row r="209" spans="1:3" x14ac:dyDescent="0.25">
      <c r="B209" s="561" t="s">
        <v>408</v>
      </c>
      <c r="C209" s="560" t="b">
        <f ca="1">AND(LEFT(Type_propu,5)="MiniR",LEFT(Type_fusee,1)="R")</f>
        <v>0</v>
      </c>
    </row>
    <row r="210" spans="1:3" x14ac:dyDescent="0.25">
      <c r="B210" s="561" t="s">
        <v>398</v>
      </c>
      <c r="C210" s="560" t="b">
        <f ca="1">AND(LEFT(Type_propu,4)="Mini",LEFT(Type_fusee,1)=",")</f>
        <v>0</v>
      </c>
    </row>
    <row r="223" spans="1:3" x14ac:dyDescent="0.25">
      <c r="A223" s="35" t="s">
        <v>465</v>
      </c>
    </row>
    <row r="226" spans="1:1" x14ac:dyDescent="0.25">
      <c r="A226" s="35" t="s">
        <v>478</v>
      </c>
    </row>
    <row r="228" spans="1:1" x14ac:dyDescent="0.25">
      <c r="A228" s="35" t="s">
        <v>479</v>
      </c>
    </row>
    <row r="230" spans="1:1" x14ac:dyDescent="0.25">
      <c r="A230" s="35" t="s">
        <v>480</v>
      </c>
    </row>
    <row r="232" spans="1:1" x14ac:dyDescent="0.25">
      <c r="A232" s="35" t="s">
        <v>481</v>
      </c>
    </row>
    <row r="233" spans="1:1" x14ac:dyDescent="0.25">
      <c r="A233" s="35" t="s">
        <v>482</v>
      </c>
    </row>
    <row r="234" spans="1:1" x14ac:dyDescent="0.25">
      <c r="A234" s="35" t="s">
        <v>483</v>
      </c>
    </row>
    <row r="235" spans="1:1" x14ac:dyDescent="0.25">
      <c r="A235" s="35" t="s">
        <v>484</v>
      </c>
    </row>
    <row r="236" spans="1:1" x14ac:dyDescent="0.25">
      <c r="A236" s="35" t="s">
        <v>485</v>
      </c>
    </row>
    <row r="237" spans="1:1" x14ac:dyDescent="0.25">
      <c r="A237" s="35" t="s">
        <v>486</v>
      </c>
    </row>
    <row r="238" spans="1:1" x14ac:dyDescent="0.25">
      <c r="A238" s="35" t="s">
        <v>184</v>
      </c>
    </row>
    <row r="239" spans="1:1" x14ac:dyDescent="0.25">
      <c r="A239" s="35" t="s">
        <v>487</v>
      </c>
    </row>
    <row r="240" spans="1:1" x14ac:dyDescent="0.25">
      <c r="A240" s="35" t="s">
        <v>488</v>
      </c>
    </row>
    <row r="241" spans="1:1" x14ac:dyDescent="0.25">
      <c r="A241" s="35" t="s">
        <v>184</v>
      </c>
    </row>
    <row r="242" spans="1:1" x14ac:dyDescent="0.25">
      <c r="A242" s="35" t="s">
        <v>489</v>
      </c>
    </row>
    <row r="244" spans="1:1" x14ac:dyDescent="0.25">
      <c r="A244" s="35" t="s">
        <v>490</v>
      </c>
    </row>
    <row r="246" spans="1:1" x14ac:dyDescent="0.25">
      <c r="A246" s="35" t="s">
        <v>491</v>
      </c>
    </row>
    <row r="248" spans="1:1" x14ac:dyDescent="0.25">
      <c r="A248" s="35" t="s">
        <v>492</v>
      </c>
    </row>
    <row r="249" spans="1:1" x14ac:dyDescent="0.25">
      <c r="A249" s="35" t="s">
        <v>493</v>
      </c>
    </row>
    <row r="250" spans="1:1" x14ac:dyDescent="0.25">
      <c r="A250" s="35" t="s">
        <v>494</v>
      </c>
    </row>
    <row r="251" spans="1:1" x14ac:dyDescent="0.25">
      <c r="A251" s="35" t="s">
        <v>495</v>
      </c>
    </row>
    <row r="252" spans="1:1" x14ac:dyDescent="0.25">
      <c r="A252" s="35" t="s">
        <v>496</v>
      </c>
    </row>
    <row r="254" spans="1:1" x14ac:dyDescent="0.25">
      <c r="A254" s="35" t="s">
        <v>497</v>
      </c>
    </row>
    <row r="255" spans="1:1" x14ac:dyDescent="0.25">
      <c r="A255" s="35" t="s">
        <v>498</v>
      </c>
    </row>
    <row r="256" spans="1:1" x14ac:dyDescent="0.25">
      <c r="A256" s="35" t="s">
        <v>499</v>
      </c>
    </row>
    <row r="257" spans="1:1" x14ac:dyDescent="0.25">
      <c r="A257" s="35" t="s">
        <v>500</v>
      </c>
    </row>
    <row r="258" spans="1:1" x14ac:dyDescent="0.25">
      <c r="A258" s="35" t="s">
        <v>501</v>
      </c>
    </row>
    <row r="261" spans="1:1" x14ac:dyDescent="0.25">
      <c r="A261" s="35" t="s">
        <v>502</v>
      </c>
    </row>
    <row r="262" spans="1:1" x14ac:dyDescent="0.25">
      <c r="A262" s="35" t="s">
        <v>503</v>
      </c>
    </row>
    <row r="263" spans="1:1" x14ac:dyDescent="0.25">
      <c r="A263" s="35" t="s">
        <v>504</v>
      </c>
    </row>
    <row r="264" spans="1:1" x14ac:dyDescent="0.25">
      <c r="A264" s="35" t="s">
        <v>505</v>
      </c>
    </row>
    <row r="265" spans="1:1" x14ac:dyDescent="0.25">
      <c r="A265" s="35" t="s">
        <v>506</v>
      </c>
    </row>
    <row r="267" spans="1:1" x14ac:dyDescent="0.25">
      <c r="A267" s="35" t="s">
        <v>499</v>
      </c>
    </row>
    <row r="268" spans="1:1" x14ac:dyDescent="0.25">
      <c r="A268" s="35" t="s">
        <v>500</v>
      </c>
    </row>
    <row r="269" spans="1:1" x14ac:dyDescent="0.25">
      <c r="A269" s="35" t="s">
        <v>507</v>
      </c>
    </row>
    <row r="272" spans="1:1" x14ac:dyDescent="0.25">
      <c r="A272" s="35" t="s">
        <v>467</v>
      </c>
    </row>
    <row r="273" spans="1:1" x14ac:dyDescent="0.25">
      <c r="A273" s="35" t="s">
        <v>468</v>
      </c>
    </row>
    <row r="275" spans="1:1" x14ac:dyDescent="0.25">
      <c r="A275" s="35" t="s">
        <v>508</v>
      </c>
    </row>
    <row r="277" spans="1:1" x14ac:dyDescent="0.25">
      <c r="A277" s="35" t="s">
        <v>507</v>
      </c>
    </row>
    <row r="280" spans="1:1" x14ac:dyDescent="0.25">
      <c r="A280" s="35" t="s">
        <v>469</v>
      </c>
    </row>
    <row r="281" spans="1:1" x14ac:dyDescent="0.25">
      <c r="A281" s="35" t="s">
        <v>470</v>
      </c>
    </row>
    <row r="282" spans="1:1" x14ac:dyDescent="0.25">
      <c r="A282" s="35" t="s">
        <v>509</v>
      </c>
    </row>
    <row r="283" spans="1:1" x14ac:dyDescent="0.25">
      <c r="A283" s="35" t="s">
        <v>510</v>
      </c>
    </row>
    <row r="284" spans="1:1" x14ac:dyDescent="0.25">
      <c r="A284" s="35" t="s">
        <v>507</v>
      </c>
    </row>
    <row r="285" spans="1:1" x14ac:dyDescent="0.25">
      <c r="A285" s="35" t="s">
        <v>471</v>
      </c>
    </row>
    <row r="287" spans="1:1" x14ac:dyDescent="0.25">
      <c r="A287" s="35" t="s">
        <v>511</v>
      </c>
    </row>
    <row r="288" spans="1:1" x14ac:dyDescent="0.25">
      <c r="A288" s="35" t="s">
        <v>509</v>
      </c>
    </row>
    <row r="289" spans="1:1" x14ac:dyDescent="0.25">
      <c r="A289" s="35" t="s">
        <v>512</v>
      </c>
    </row>
    <row r="291" spans="1:1" x14ac:dyDescent="0.25">
      <c r="A291" s="35" t="s">
        <v>507</v>
      </c>
    </row>
    <row r="294" spans="1:1" x14ac:dyDescent="0.25">
      <c r="A294" s="35" t="s">
        <v>513</v>
      </c>
    </row>
    <row r="295" spans="1:1" x14ac:dyDescent="0.25">
      <c r="A295" s="35" t="s">
        <v>514</v>
      </c>
    </row>
    <row r="296" spans="1:1" x14ac:dyDescent="0.25">
      <c r="A296" s="35" t="s">
        <v>515</v>
      </c>
    </row>
    <row r="298" spans="1:1" x14ac:dyDescent="0.25">
      <c r="A298" s="35" t="s">
        <v>507</v>
      </c>
    </row>
    <row r="301" spans="1:1" x14ac:dyDescent="0.25">
      <c r="A301" s="35" t="s">
        <v>516</v>
      </c>
    </row>
    <row r="302" spans="1:1" x14ac:dyDescent="0.25">
      <c r="A302" s="35" t="s">
        <v>517</v>
      </c>
    </row>
    <row r="304" spans="1:1" x14ac:dyDescent="0.25">
      <c r="A304" s="35" t="s">
        <v>518</v>
      </c>
    </row>
    <row r="305" spans="1:1" x14ac:dyDescent="0.25">
      <c r="A305" s="35" t="s">
        <v>519</v>
      </c>
    </row>
    <row r="306" spans="1:1" x14ac:dyDescent="0.25">
      <c r="A306" s="35" t="s">
        <v>507</v>
      </c>
    </row>
    <row r="309" spans="1:1" x14ac:dyDescent="0.25">
      <c r="A309" s="35" t="s">
        <v>516</v>
      </c>
    </row>
    <row r="310" spans="1:1" x14ac:dyDescent="0.25">
      <c r="A310" s="35" t="s">
        <v>520</v>
      </c>
    </row>
    <row r="311" spans="1:1" x14ac:dyDescent="0.25">
      <c r="A311" s="35" t="s">
        <v>516</v>
      </c>
    </row>
    <row r="312" spans="1:1" x14ac:dyDescent="0.25">
      <c r="A312" s="35" t="s">
        <v>521</v>
      </c>
    </row>
    <row r="314" spans="1:1" x14ac:dyDescent="0.25">
      <c r="A314" s="35" t="s">
        <v>522</v>
      </c>
    </row>
    <row r="316" spans="1:1" x14ac:dyDescent="0.25">
      <c r="A316" s="35" t="s">
        <v>507</v>
      </c>
    </row>
    <row r="319" spans="1:1" x14ac:dyDescent="0.25">
      <c r="A319" s="35" t="s">
        <v>516</v>
      </c>
    </row>
    <row r="320" spans="1:1" x14ac:dyDescent="0.25">
      <c r="A320" s="35" t="s">
        <v>523</v>
      </c>
    </row>
    <row r="321" spans="1:1" x14ac:dyDescent="0.25">
      <c r="A321" s="35" t="s">
        <v>524</v>
      </c>
    </row>
    <row r="322" spans="1:1" x14ac:dyDescent="0.25">
      <c r="A322" s="35" t="s">
        <v>525</v>
      </c>
    </row>
    <row r="324" spans="1:1" x14ac:dyDescent="0.25">
      <c r="A324" s="35" t="s">
        <v>507</v>
      </c>
    </row>
    <row r="326" spans="1:1" x14ac:dyDescent="0.25">
      <c r="A326" s="35" t="s">
        <v>466</v>
      </c>
    </row>
    <row r="329" spans="1:1" x14ac:dyDescent="0.25">
      <c r="A329" s="35" t="s">
        <v>472</v>
      </c>
    </row>
    <row r="330" spans="1:1" x14ac:dyDescent="0.25">
      <c r="A330" s="35" t="s">
        <v>473</v>
      </c>
    </row>
    <row r="331" spans="1:1" x14ac:dyDescent="0.25">
      <c r="A331" s="35" t="s">
        <v>526</v>
      </c>
    </row>
    <row r="332" spans="1:1" x14ac:dyDescent="0.25">
      <c r="A332" s="35" t="s">
        <v>527</v>
      </c>
    </row>
    <row r="333" spans="1:1" x14ac:dyDescent="0.25">
      <c r="A333" s="35" t="s">
        <v>528</v>
      </c>
    </row>
    <row r="334" spans="1:1" x14ac:dyDescent="0.25">
      <c r="A334" s="35" t="s">
        <v>529</v>
      </c>
    </row>
    <row r="335" spans="1:1" x14ac:dyDescent="0.25">
      <c r="A335" s="35" t="s">
        <v>530</v>
      </c>
    </row>
    <row r="336" spans="1:1" x14ac:dyDescent="0.25">
      <c r="A336" s="35" t="s">
        <v>483</v>
      </c>
    </row>
    <row r="337" spans="1:1" x14ac:dyDescent="0.25">
      <c r="A337" s="35" t="s">
        <v>474</v>
      </c>
    </row>
    <row r="340" spans="1:1" x14ac:dyDescent="0.25">
      <c r="A340" s="35" t="s">
        <v>475</v>
      </c>
    </row>
    <row r="342" spans="1:1" x14ac:dyDescent="0.25">
      <c r="A342" s="35" t="s">
        <v>531</v>
      </c>
    </row>
    <row r="343" spans="1:1" x14ac:dyDescent="0.25">
      <c r="A343" s="35" t="s">
        <v>532</v>
      </c>
    </row>
    <row r="344" spans="1:1" x14ac:dyDescent="0.25">
      <c r="A344" s="35" t="s">
        <v>533</v>
      </c>
    </row>
    <row r="345" spans="1:1" x14ac:dyDescent="0.25">
      <c r="A345" s="35" t="s">
        <v>534</v>
      </c>
    </row>
    <row r="346" spans="1:1" x14ac:dyDescent="0.25">
      <c r="A346" s="35" t="s">
        <v>535</v>
      </c>
    </row>
    <row r="347" spans="1:1" x14ac:dyDescent="0.25">
      <c r="A347" s="35" t="s">
        <v>483</v>
      </c>
    </row>
    <row r="348" spans="1:1" x14ac:dyDescent="0.25">
      <c r="A348" s="35" t="s">
        <v>476</v>
      </c>
    </row>
    <row r="349" spans="1:1" x14ac:dyDescent="0.25">
      <c r="A349" s="35" t="s">
        <v>536</v>
      </c>
    </row>
    <row r="350" spans="1:1" x14ac:dyDescent="0.25">
      <c r="A350" s="35" t="s">
        <v>537</v>
      </c>
    </row>
    <row r="352" spans="1:1" x14ac:dyDescent="0.25">
      <c r="A352" s="35" t="s">
        <v>507</v>
      </c>
    </row>
    <row r="355" spans="1:1" x14ac:dyDescent="0.25">
      <c r="A355" s="35" t="s">
        <v>466</v>
      </c>
    </row>
    <row r="361" spans="1:1" x14ac:dyDescent="0.25">
      <c r="A361" s="35" t="s">
        <v>477</v>
      </c>
    </row>
  </sheetData>
  <sheetProtection password="C6AC" sheet="1"/>
  <dataConsolidate/>
  <mergeCells count="56">
    <mergeCell ref="H33:I34"/>
    <mergeCell ref="M4:P4"/>
    <mergeCell ref="M2:P2"/>
    <mergeCell ref="N13:O13"/>
    <mergeCell ref="N12:O12"/>
    <mergeCell ref="O9:P9"/>
    <mergeCell ref="O8:P8"/>
    <mergeCell ref="O7:P7"/>
    <mergeCell ref="H27:I27"/>
    <mergeCell ref="M18:N18"/>
    <mergeCell ref="L3:M3"/>
    <mergeCell ref="N11:O11"/>
    <mergeCell ref="O6:P6"/>
    <mergeCell ref="O5:P5"/>
    <mergeCell ref="O17:P17"/>
    <mergeCell ref="O18:P18"/>
    <mergeCell ref="C26:D26"/>
    <mergeCell ref="C18:D18"/>
    <mergeCell ref="C19:D19"/>
    <mergeCell ref="O23:P23"/>
    <mergeCell ref="O24:P24"/>
    <mergeCell ref="C22:D22"/>
    <mergeCell ref="C21:D21"/>
    <mergeCell ref="C23:D23"/>
    <mergeCell ref="C2:D3"/>
    <mergeCell ref="C4:D4"/>
    <mergeCell ref="M22:N22"/>
    <mergeCell ref="M19:N19"/>
    <mergeCell ref="M9:N9"/>
    <mergeCell ref="M7:N7"/>
    <mergeCell ref="M8:N8"/>
    <mergeCell ref="C7:D7"/>
    <mergeCell ref="C10:D10"/>
    <mergeCell ref="M5:N5"/>
    <mergeCell ref="M6:N6"/>
    <mergeCell ref="M20:N20"/>
    <mergeCell ref="N14:O14"/>
    <mergeCell ref="N15:O15"/>
    <mergeCell ref="M17:N17"/>
    <mergeCell ref="C14:D14"/>
    <mergeCell ref="C5:D5"/>
    <mergeCell ref="H26:I26"/>
    <mergeCell ref="C16:D16"/>
    <mergeCell ref="C17:D17"/>
    <mergeCell ref="O21:P21"/>
    <mergeCell ref="M21:N21"/>
    <mergeCell ref="O19:P19"/>
    <mergeCell ref="O22:P22"/>
    <mergeCell ref="C20:D20"/>
    <mergeCell ref="C6:D6"/>
    <mergeCell ref="C13:D13"/>
    <mergeCell ref="C8:D8"/>
    <mergeCell ref="C9:D9"/>
    <mergeCell ref="O20:P20"/>
    <mergeCell ref="M23:N23"/>
    <mergeCell ref="M24:N24"/>
  </mergeCells>
  <phoneticPr fontId="8" type="noConversion"/>
  <conditionalFormatting sqref="B14:D14 B34:C34">
    <cfRule type="expression" dxfId="53" priority="36" stopIfTrue="1">
      <formula>AND(IF(RIGHT(Nb_diam,1)=",",1),IF(LEFT(Type_masquage,1)="M",1))</formula>
    </cfRule>
  </conditionalFormatting>
  <conditionalFormatting sqref="D25:E25 D27:E34 B35:E35 L20:P22">
    <cfRule type="expression" dxfId="52" priority="83" stopIfTrue="1">
      <formula>IF(LEFT(Type_masquage,1)="M",1)</formula>
    </cfRule>
  </conditionalFormatting>
  <conditionalFormatting sqref="H33:I34">
    <cfRule type="expression" dxfId="51" priority="50" stopIfTrue="1">
      <formula>$H$33="STABLE"</formula>
    </cfRule>
  </conditionalFormatting>
  <conditionalFormatting sqref="H27:I27">
    <cfRule type="expression" dxfId="50" priority="47" stopIfTrue="1">
      <formula>OR(Finesse&lt;CritFinessemin,Finesse&gt;CritFinessemax)</formula>
    </cfRule>
  </conditionalFormatting>
  <conditionalFormatting sqref="H28">
    <cfRule type="expression" dxfId="49" priority="46" stopIfTrue="1">
      <formula>OR(Cn&lt;CritCnmin,Cn&gt;CritCnmax)</formula>
    </cfRule>
  </conditionalFormatting>
  <conditionalFormatting sqref="H29">
    <cfRule type="expression" dxfId="48" priority="45" stopIfTrue="1">
      <formula>OR(MS_min&lt;CritMsmin,MS_min&gt;CritMsmax)</formula>
    </cfRule>
  </conditionalFormatting>
  <conditionalFormatting sqref="I29">
    <cfRule type="expression" dxfId="47" priority="44" stopIfTrue="1">
      <formula>OR(MS_max&lt;CritMsmin,MS_max&gt;CritMsmax)</formula>
    </cfRule>
  </conditionalFormatting>
  <conditionalFormatting sqref="H30">
    <cfRule type="expression" dxfId="46" priority="43" stopIfTrue="1">
      <formula>OR(MS_Cn_min&lt;CritMsCnmin,MS_Cn_min&gt;CritMsCnmax)</formula>
    </cfRule>
  </conditionalFormatting>
  <conditionalFormatting sqref="I30">
    <cfRule type="expression" dxfId="45" priority="42" stopIfTrue="1">
      <formula>OR(MS_Cn_max&lt;CritMsCnmin,MS_Cn_max&gt;CritMsCnmax)</formula>
    </cfRule>
  </conditionalFormatting>
  <conditionalFormatting sqref="L23:P24">
    <cfRule type="expression" dxfId="44" priority="64" stopIfTrue="1">
      <formula>IF(RIGHT(Nb_diam,1)=",",1)</formula>
    </cfRule>
  </conditionalFormatting>
  <conditionalFormatting sqref="L6:P9">
    <cfRule type="expression" dxfId="43" priority="48" stopIfTrue="1">
      <formula>IF(RIGHT(Nb_diam,1)=",",1)</formula>
    </cfRule>
  </conditionalFormatting>
  <conditionalFormatting sqref="M5:P5">
    <cfRule type="expression" dxfId="42" priority="38" stopIfTrue="1">
      <formula>IF(RIGHT(Nb_diam,1)=",",1)</formula>
    </cfRule>
  </conditionalFormatting>
  <conditionalFormatting sqref="C11">
    <cfRule type="cellIs" dxfId="41" priority="24" stopIfTrue="1" operator="equal">
      <formula>359</formula>
    </cfRule>
    <cfRule type="expression" dxfId="40" priority="27" stopIfTrue="1">
      <formula>OR(MasseSans&lt;MpropuVide, MasseSans&gt;20*MpropuPlein)</formula>
    </cfRule>
  </conditionalFormatting>
  <conditionalFormatting sqref="N36">
    <cfRule type="expression" dxfId="39" priority="26" stopIfTrue="1">
      <formula>ROUND(SUM(C2:P25)+SUM(C27:P35),0)=8637</formula>
    </cfRule>
  </conditionalFormatting>
  <conditionalFormatting sqref="O36 M36">
    <cfRule type="expression" dxfId="38" priority="141" stopIfTrue="1">
      <formula>$M$36="propu NOK"</formula>
    </cfRule>
  </conditionalFormatting>
  <conditionalFormatting sqref="C12">
    <cfRule type="cellIs" dxfId="37" priority="23" stopIfTrue="1" operator="equal">
      <formula>639</formula>
    </cfRule>
  </conditionalFormatting>
  <conditionalFormatting sqref="C13:D13 C18 C33">
    <cfRule type="cellIs" dxfId="36" priority="22" stopIfTrue="1" operator="equal">
      <formula>1001</formula>
    </cfRule>
  </conditionalFormatting>
  <conditionalFormatting sqref="C22:D22">
    <cfRule type="cellIs" dxfId="35" priority="21" stopIfTrue="1" operator="equal">
      <formula>199</formula>
    </cfRule>
  </conditionalFormatting>
  <conditionalFormatting sqref="C23:D23 C14 C34">
    <cfRule type="cellIs" dxfId="34" priority="20" stopIfTrue="1" operator="equal">
      <formula>59</formula>
    </cfRule>
  </conditionalFormatting>
  <conditionalFormatting sqref="C30">
    <cfRule type="cellIs" dxfId="33" priority="19" stopIfTrue="1" operator="equal">
      <formula>99</formula>
    </cfRule>
  </conditionalFormatting>
  <conditionalFormatting sqref="C28">
    <cfRule type="cellIs" dxfId="32" priority="18" stopIfTrue="1" operator="equal">
      <formula>59</formula>
    </cfRule>
  </conditionalFormatting>
  <conditionalFormatting sqref="C29 C27">
    <cfRule type="cellIs" dxfId="31" priority="17" stopIfTrue="1" operator="equal">
      <formula>109</formula>
    </cfRule>
  </conditionalFormatting>
  <conditionalFormatting sqref="D17">
    <cfRule type="expression" dxfId="30" priority="10" stopIfTrue="1">
      <formula>D202</formula>
    </cfRule>
  </conditionalFormatting>
  <conditionalFormatting sqref="C17">
    <cfRule type="expression" dxfId="29" priority="150" stopIfTrue="1">
      <formula>C204</formula>
    </cfRule>
  </conditionalFormatting>
  <conditionalFormatting sqref="L38:M38">
    <cfRule type="expression" dxfId="28" priority="232" stopIfTrue="1">
      <formula>OR(SUM($C$27:$C$32)=273, $H$33&lt;&gt;"STABLE")</formula>
    </cfRule>
  </conditionalFormatting>
  <conditionalFormatting sqref="I28">
    <cfRule type="expression" dxfId="27" priority="5" stopIfTrue="1">
      <formula>OR(Cn0&lt;CritCnmin,Cn0&gt;CritCnmax)</formula>
    </cfRule>
  </conditionalFormatting>
  <dataValidations count="13">
    <dataValidation type="whole" allowBlank="1" showInputMessage="1" showErrorMessage="1" error="Tapez un entier entre 3 et 6." sqref="C32:D32" xr:uid="{00000000-0002-0000-0000-000000000000}">
      <formula1>3</formula1>
      <formula2>6</formula2>
    </dataValidation>
    <dataValidation type="decimal" operator="notEqual" allowBlank="1" showInputMessage="1" showErrorMessage="1" error="Tapez uniquement la longueur, sans l'unité." sqref="C29:D29" xr:uid="{00000000-0002-0000-0000-000001000000}">
      <formula1>1E+100</formula1>
    </dataValidation>
    <dataValidation type="decimal" operator="greaterThanOrEqual" allowBlank="1" showInputMessage="1" showErrorMessage="1" error="Tapez uniquement la longueur, sans l'unité." sqref="C27:D28 C33:D34 C30:D31 M6:O9" xr:uid="{00000000-0002-0000-0000-000002000000}">
      <formula1>0</formula1>
    </dataValidation>
    <dataValidation type="list" showInputMessage="1" showErrorMessage="1" sqref="C26:D26" xr:uid="{00000000-0002-0000-0000-000003000000}">
      <formula1>Menu_Empennage</formula1>
    </dataValidation>
    <dataValidation type="list" showInputMessage="1" showErrorMessage="1" sqref="C17:D17" xr:uid="{00000000-0002-0000-0000-000004000000}">
      <formula1>Liste_propu</formula1>
    </dataValidation>
    <dataValidation type="list" showInputMessage="1" showErrorMessage="1" sqref="M2" xr:uid="{00000000-0002-0000-0000-000005000000}">
      <formula1>Menu_Lang</formula1>
    </dataValidation>
    <dataValidation type="decimal" showInputMessage="1" showErrorMessage="1" errorTitle="Masse de la Fusée" error="Tapez uniquement la masse, sans l'unité." sqref="C11" xr:uid="{00000000-0002-0000-0000-000006000000}">
      <formula1>0</formula1>
      <formula2>50000</formula2>
    </dataValidation>
    <dataValidation type="decimal" operator="greaterThan" showInputMessage="1" showErrorMessage="1" error="Tapez uniquement la longueur, sans l'unité." sqref="C12 C13:D13 C22:D23" xr:uid="{00000000-0002-0000-0000-000007000000}">
      <formula1>0</formula1>
    </dataValidation>
    <dataValidation type="list" showInputMessage="1" showErrorMessage="1" sqref="D11:D12" xr:uid="{00000000-0002-0000-0000-000008000000}">
      <formula1>Menu_with_motor</formula1>
    </dataValidation>
    <dataValidation type="list" showInputMessage="1" showErrorMessage="1" sqref="C10:D10" xr:uid="{00000000-0002-0000-0000-000009000000}">
      <formula1>Menu_Type</formula1>
    </dataValidation>
    <dataValidation type="decimal" operator="greaterThan" allowBlank="1" showInputMessage="1" showErrorMessage="1" error="Tapez uniquement la longueur, sans l'unité." sqref="C18" xr:uid="{00000000-0002-0000-0000-00000A000000}">
      <formula1>0</formula1>
    </dataValidation>
    <dataValidation type="list" showInputMessage="1" showErrorMessage="1" sqref="C21:D21" xr:uid="{00000000-0002-0000-0000-00000B000000}">
      <formula1>Menu_Ogive</formula1>
    </dataValidation>
    <dataValidation type="list" showInputMessage="1" showErrorMessage="1" sqref="M4" xr:uid="{00000000-0002-0000-0000-00000C000000}">
      <formula1>Menu_Transitions</formula1>
    </dataValidation>
  </dataValidations>
  <hyperlinks>
    <hyperlink ref="M38" location="Trajecto!C25" display="Trajecto" xr:uid="{00000000-0004-0000-0000-000000000000}"/>
  </hyperlinks>
  <printOptions horizontalCentered="1" verticalCentered="1"/>
  <pageMargins left="7.874015748031496E-2" right="7.874015748031496E-2" top="7.874015748031496E-2" bottom="7.874015748031496E-2" header="0" footer="0"/>
  <pageSetup paperSize="9" orientation="landscape" horizontalDpi="200" verticalDpi="200" r:id="rId1"/>
  <headerFooter alignWithMargins="0"/>
  <ignoredErrors>
    <ignoredError sqref="C34:D34" unlockedFormula="1"/>
    <ignoredError sqref="E180"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36775" r:id="rId4" name="Spinner 935">
              <controlPr defaultSize="0" print="0" autoPict="0">
                <anchor moveWithCells="1" sizeWithCells="1">
                  <from>
                    <xdr:col>3</xdr:col>
                    <xdr:colOff>891540</xdr:colOff>
                    <xdr:row>21</xdr:row>
                    <xdr:rowOff>15240</xdr:rowOff>
                  </from>
                  <to>
                    <xdr:col>4</xdr:col>
                    <xdr:colOff>0</xdr:colOff>
                    <xdr:row>22</xdr:row>
                    <xdr:rowOff>0</xdr:rowOff>
                  </to>
                </anchor>
              </controlPr>
            </control>
          </mc:Choice>
        </mc:AlternateContent>
        <mc:AlternateContent xmlns:mc="http://schemas.openxmlformats.org/markup-compatibility/2006">
          <mc:Choice Requires="x14">
            <control shapeId="36781" r:id="rId5" name="Spinner 941">
              <controlPr defaultSize="0" print="0" autoPict="0">
                <anchor moveWithCells="1" sizeWithCells="1">
                  <from>
                    <xdr:col>2</xdr:col>
                    <xdr:colOff>891540</xdr:colOff>
                    <xdr:row>10</xdr:row>
                    <xdr:rowOff>15240</xdr:rowOff>
                  </from>
                  <to>
                    <xdr:col>3</xdr:col>
                    <xdr:colOff>0</xdr:colOff>
                    <xdr:row>11</xdr:row>
                    <xdr:rowOff>0</xdr:rowOff>
                  </to>
                </anchor>
              </controlPr>
            </control>
          </mc:Choice>
        </mc:AlternateContent>
        <mc:AlternateContent xmlns:mc="http://schemas.openxmlformats.org/markup-compatibility/2006">
          <mc:Choice Requires="x14">
            <control shapeId="36782" r:id="rId6" name="Spinner 942">
              <controlPr defaultSize="0" print="0" autoPict="0">
                <anchor moveWithCells="1" sizeWithCells="1">
                  <from>
                    <xdr:col>2</xdr:col>
                    <xdr:colOff>891540</xdr:colOff>
                    <xdr:row>11</xdr:row>
                    <xdr:rowOff>15240</xdr:rowOff>
                  </from>
                  <to>
                    <xdr:col>3</xdr:col>
                    <xdr:colOff>0</xdr:colOff>
                    <xdr:row>12</xdr:row>
                    <xdr:rowOff>0</xdr:rowOff>
                  </to>
                </anchor>
              </controlPr>
            </control>
          </mc:Choice>
        </mc:AlternateContent>
        <mc:AlternateContent xmlns:mc="http://schemas.openxmlformats.org/markup-compatibility/2006">
          <mc:Choice Requires="x14">
            <control shapeId="36783" r:id="rId7" name="Spinner 943">
              <controlPr defaultSize="0" print="0" autoPict="0">
                <anchor moveWithCells="1" sizeWithCells="1">
                  <from>
                    <xdr:col>3</xdr:col>
                    <xdr:colOff>891540</xdr:colOff>
                    <xdr:row>22</xdr:row>
                    <xdr:rowOff>15240</xdr:rowOff>
                  </from>
                  <to>
                    <xdr:col>4</xdr:col>
                    <xdr:colOff>0</xdr:colOff>
                    <xdr:row>23</xdr:row>
                    <xdr:rowOff>0</xdr:rowOff>
                  </to>
                </anchor>
              </controlPr>
            </control>
          </mc:Choice>
        </mc:AlternateContent>
        <mc:AlternateContent xmlns:mc="http://schemas.openxmlformats.org/markup-compatibility/2006">
          <mc:Choice Requires="x14">
            <control shapeId="36789" r:id="rId8" name="Spinner 949">
              <controlPr defaultSize="0" print="0" autoPict="0">
                <anchor moveWithCells="1" sizeWithCells="1">
                  <from>
                    <xdr:col>2</xdr:col>
                    <xdr:colOff>891540</xdr:colOff>
                    <xdr:row>26</xdr:row>
                    <xdr:rowOff>15240</xdr:rowOff>
                  </from>
                  <to>
                    <xdr:col>3</xdr:col>
                    <xdr:colOff>0</xdr:colOff>
                    <xdr:row>27</xdr:row>
                    <xdr:rowOff>0</xdr:rowOff>
                  </to>
                </anchor>
              </controlPr>
            </control>
          </mc:Choice>
        </mc:AlternateContent>
        <mc:AlternateContent xmlns:mc="http://schemas.openxmlformats.org/markup-compatibility/2006">
          <mc:Choice Requires="x14">
            <control shapeId="36795" r:id="rId9" name="Spinner 955">
              <controlPr defaultSize="0" print="0" autoPict="0">
                <anchor moveWithCells="1" sizeWithCells="1">
                  <from>
                    <xdr:col>2</xdr:col>
                    <xdr:colOff>891540</xdr:colOff>
                    <xdr:row>27</xdr:row>
                    <xdr:rowOff>15240</xdr:rowOff>
                  </from>
                  <to>
                    <xdr:col>3</xdr:col>
                    <xdr:colOff>0</xdr:colOff>
                    <xdr:row>28</xdr:row>
                    <xdr:rowOff>0</xdr:rowOff>
                  </to>
                </anchor>
              </controlPr>
            </control>
          </mc:Choice>
        </mc:AlternateContent>
        <mc:AlternateContent xmlns:mc="http://schemas.openxmlformats.org/markup-compatibility/2006">
          <mc:Choice Requires="x14">
            <control shapeId="36796" r:id="rId10" name="Spinner 956">
              <controlPr defaultSize="0" print="0" autoPict="0">
                <anchor moveWithCells="1" sizeWithCells="1">
                  <from>
                    <xdr:col>2</xdr:col>
                    <xdr:colOff>891540</xdr:colOff>
                    <xdr:row>28</xdr:row>
                    <xdr:rowOff>15240</xdr:rowOff>
                  </from>
                  <to>
                    <xdr:col>3</xdr:col>
                    <xdr:colOff>0</xdr:colOff>
                    <xdr:row>29</xdr:row>
                    <xdr:rowOff>0</xdr:rowOff>
                  </to>
                </anchor>
              </controlPr>
            </control>
          </mc:Choice>
        </mc:AlternateContent>
        <mc:AlternateContent xmlns:mc="http://schemas.openxmlformats.org/markup-compatibility/2006">
          <mc:Choice Requires="x14">
            <control shapeId="36797" r:id="rId11" name="Spinner 957">
              <controlPr defaultSize="0" print="0" autoPict="0">
                <anchor moveWithCells="1" sizeWithCells="1">
                  <from>
                    <xdr:col>2</xdr:col>
                    <xdr:colOff>891540</xdr:colOff>
                    <xdr:row>29</xdr:row>
                    <xdr:rowOff>15240</xdr:rowOff>
                  </from>
                  <to>
                    <xdr:col>3</xdr:col>
                    <xdr:colOff>0</xdr:colOff>
                    <xdr:row>30</xdr:row>
                    <xdr:rowOff>0</xdr:rowOff>
                  </to>
                </anchor>
              </controlPr>
            </control>
          </mc:Choice>
        </mc:AlternateContent>
        <mc:AlternateContent xmlns:mc="http://schemas.openxmlformats.org/markup-compatibility/2006">
          <mc:Choice Requires="x14">
            <control shapeId="36798" r:id="rId12" name="Spinner 958">
              <controlPr defaultSize="0" print="0" autoPict="0">
                <anchor moveWithCells="1" sizeWithCells="1">
                  <from>
                    <xdr:col>2</xdr:col>
                    <xdr:colOff>891540</xdr:colOff>
                    <xdr:row>30</xdr:row>
                    <xdr:rowOff>15240</xdr:rowOff>
                  </from>
                  <to>
                    <xdr:col>3</xdr:col>
                    <xdr:colOff>0</xdr:colOff>
                    <xdr:row>31</xdr:row>
                    <xdr:rowOff>0</xdr:rowOff>
                  </to>
                </anchor>
              </controlPr>
            </control>
          </mc:Choice>
        </mc:AlternateContent>
        <mc:AlternateContent xmlns:mc="http://schemas.openxmlformats.org/markup-compatibility/2006">
          <mc:Choice Requires="x14">
            <control shapeId="36799" r:id="rId13" name="Spinner 959">
              <controlPr defaultSize="0" print="0" autoPict="0">
                <anchor moveWithCells="1" sizeWithCells="1">
                  <from>
                    <xdr:col>2</xdr:col>
                    <xdr:colOff>891540</xdr:colOff>
                    <xdr:row>31</xdr:row>
                    <xdr:rowOff>15240</xdr:rowOff>
                  </from>
                  <to>
                    <xdr:col>3</xdr:col>
                    <xdr:colOff>0</xdr:colOff>
                    <xdr:row>32</xdr:row>
                    <xdr:rowOff>0</xdr:rowOff>
                  </to>
                </anchor>
              </controlPr>
            </control>
          </mc:Choice>
        </mc:AlternateContent>
        <mc:AlternateContent xmlns:mc="http://schemas.openxmlformats.org/markup-compatibility/2006">
          <mc:Choice Requires="x14">
            <control shapeId="36801" r:id="rId14" name="Spinner 961">
              <controlPr defaultSize="0" print="0" autoPict="0">
                <anchor moveWithCells="1" sizeWithCells="1">
                  <from>
                    <xdr:col>3</xdr:col>
                    <xdr:colOff>891540</xdr:colOff>
                    <xdr:row>12</xdr:row>
                    <xdr:rowOff>15240</xdr:rowOff>
                  </from>
                  <to>
                    <xdr:col>4</xdr:col>
                    <xdr:colOff>0</xdr:colOff>
                    <xdr:row>13</xdr:row>
                    <xdr:rowOff>0</xdr:rowOff>
                  </to>
                </anchor>
              </controlPr>
            </control>
          </mc:Choice>
        </mc:AlternateContent>
        <mc:AlternateContent xmlns:mc="http://schemas.openxmlformats.org/markup-compatibility/2006">
          <mc:Choice Requires="x14">
            <control shapeId="5096691" r:id="rId15" name="Spinner 3315">
              <controlPr defaultSize="0" print="0" autoPict="0">
                <anchor moveWithCells="1" sizeWithCells="1">
                  <from>
                    <xdr:col>19</xdr:col>
                    <xdr:colOff>0</xdr:colOff>
                    <xdr:row>35</xdr:row>
                    <xdr:rowOff>15240</xdr:rowOff>
                  </from>
                  <to>
                    <xdr:col>19</xdr:col>
                    <xdr:colOff>0</xdr:colOff>
                    <xdr:row>36</xdr:row>
                    <xdr:rowOff>0</xdr:rowOff>
                  </to>
                </anchor>
              </controlPr>
            </control>
          </mc:Choice>
        </mc:AlternateContent>
        <mc:AlternateContent xmlns:mc="http://schemas.openxmlformats.org/markup-compatibility/2006">
          <mc:Choice Requires="x14">
            <control shapeId="5096692" r:id="rId16" name="Spinner 3316">
              <controlPr defaultSize="0" print="0" autoPict="0">
                <anchor moveWithCells="1" sizeWithCells="1">
                  <from>
                    <xdr:col>19</xdr:col>
                    <xdr:colOff>0</xdr:colOff>
                    <xdr:row>35</xdr:row>
                    <xdr:rowOff>15240</xdr:rowOff>
                  </from>
                  <to>
                    <xdr:col>19</xdr:col>
                    <xdr:colOff>0</xdr:colOff>
                    <xdr:row>36</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pageSetUpPr fitToPage="1"/>
  </sheetPr>
  <dimension ref="A1:R199"/>
  <sheetViews>
    <sheetView showGridLines="0" topLeftCell="B1" zoomScaleNormal="100" workbookViewId="0">
      <selection activeCell="K24" sqref="K24"/>
    </sheetView>
  </sheetViews>
  <sheetFormatPr baseColWidth="10" defaultColWidth="11.33203125" defaultRowHeight="13.2" x14ac:dyDescent="0.25"/>
  <cols>
    <col min="1" max="1" width="2.21875" style="1" customWidth="1"/>
    <col min="2" max="2" width="16.21875" style="1" customWidth="1"/>
    <col min="3" max="4" width="11.33203125" style="1"/>
    <col min="5" max="5" width="2.77734375" style="1" customWidth="1"/>
    <col min="6" max="7" width="12.77734375" style="1" customWidth="1"/>
    <col min="8" max="13" width="10.77734375" style="1" customWidth="1"/>
    <col min="14" max="15" width="2.21875" style="1" customWidth="1"/>
    <col min="16" max="17" width="14.21875" style="1" customWidth="1"/>
    <col min="18" max="16384" width="11.33203125" style="1"/>
  </cols>
  <sheetData>
    <row r="1" spans="1:14" x14ac:dyDescent="0.25">
      <c r="A1" s="72"/>
      <c r="B1" s="73"/>
      <c r="C1" s="74"/>
      <c r="D1" s="73"/>
      <c r="E1" s="75"/>
      <c r="F1" s="75"/>
      <c r="G1" s="75"/>
      <c r="H1" s="75"/>
      <c r="I1" s="75"/>
      <c r="J1" s="75"/>
      <c r="K1" s="75"/>
      <c r="L1" s="75"/>
      <c r="M1" s="75"/>
      <c r="N1" s="76"/>
    </row>
    <row r="2" spans="1:14" ht="12.75" customHeight="1" x14ac:dyDescent="0.25">
      <c r="A2" s="77"/>
      <c r="B2" s="2"/>
      <c r="C2" s="735" t="s">
        <v>0</v>
      </c>
      <c r="D2" s="735"/>
      <c r="E2" s="3"/>
      <c r="F2" s="4"/>
      <c r="G2" s="3"/>
      <c r="H2" s="3"/>
      <c r="I2" s="3"/>
      <c r="J2" s="5"/>
      <c r="K2" s="3"/>
      <c r="L2" s="3"/>
      <c r="M2" s="3"/>
      <c r="N2" s="78"/>
    </row>
    <row r="3" spans="1:14" ht="12.75" customHeight="1" x14ac:dyDescent="0.25">
      <c r="A3" s="77"/>
      <c r="B3" s="2"/>
      <c r="C3" s="735"/>
      <c r="D3" s="735"/>
      <c r="E3" s="6"/>
      <c r="F3" s="6"/>
      <c r="G3" s="6"/>
      <c r="H3" s="7"/>
      <c r="I3" s="6"/>
      <c r="J3" s="5"/>
      <c r="K3" s="3"/>
      <c r="L3" s="3"/>
      <c r="M3" s="3"/>
      <c r="N3" s="78"/>
    </row>
    <row r="4" spans="1:14" ht="12.75" customHeight="1" x14ac:dyDescent="0.25">
      <c r="A4" s="77"/>
      <c r="B4" s="2"/>
      <c r="C4" s="738" t="str">
        <f>IF(Lang="Français","Trajectographie de fusée",IF(Lang="English","Rocket Trajectography",""))</f>
        <v>Trajectographie de fusée</v>
      </c>
      <c r="D4" s="738"/>
      <c r="E4" s="6"/>
      <c r="F4" s="6"/>
      <c r="G4" s="6"/>
      <c r="H4" s="7"/>
      <c r="I4" s="6"/>
      <c r="J4" s="5"/>
      <c r="K4" s="3"/>
      <c r="L4" s="3"/>
      <c r="M4" s="3"/>
      <c r="N4" s="78"/>
    </row>
    <row r="5" spans="1:14" ht="12.75" customHeight="1" x14ac:dyDescent="0.25">
      <c r="A5" s="77"/>
      <c r="B5" s="2"/>
      <c r="C5" s="3"/>
      <c r="D5" s="3"/>
      <c r="E5" s="6"/>
      <c r="F5" s="6"/>
      <c r="G5" s="3"/>
      <c r="H5" s="3"/>
      <c r="I5" s="6"/>
      <c r="J5" s="5"/>
      <c r="K5" s="3"/>
      <c r="L5" s="3"/>
      <c r="M5" s="3"/>
      <c r="N5" s="78"/>
    </row>
    <row r="6" spans="1:14" ht="13.05" customHeight="1" x14ac:dyDescent="0.25">
      <c r="A6" s="77"/>
      <c r="B6" s="111"/>
      <c r="C6" s="737" t="str">
        <f>IF(Lang="Français","Remplir les cases jaunes",IF(Lang="English","Fill-in yellow cells only",""))</f>
        <v>Remplir les cases jaunes</v>
      </c>
      <c r="D6" s="737"/>
      <c r="E6" s="6"/>
      <c r="F6" s="6"/>
      <c r="G6" s="3"/>
      <c r="H6" s="3"/>
      <c r="I6" s="6"/>
      <c r="J6" s="5"/>
      <c r="K6" s="3"/>
      <c r="L6" s="3"/>
      <c r="M6" s="3"/>
      <c r="N6" s="78"/>
    </row>
    <row r="7" spans="1:14" x14ac:dyDescent="0.25">
      <c r="A7" s="77"/>
      <c r="B7" s="8"/>
      <c r="C7" s="717" t="str">
        <f>IF(Lang="Français","Fusée",IF(Lang="English","Rocket",""))</f>
        <v>Fusée</v>
      </c>
      <c r="D7" s="717"/>
      <c r="E7" s="6"/>
      <c r="F7" s="6"/>
      <c r="G7" s="3"/>
      <c r="H7" s="3"/>
      <c r="I7" s="6"/>
      <c r="J7" s="3"/>
      <c r="K7" s="3"/>
      <c r="L7" s="3"/>
      <c r="M7" s="3"/>
      <c r="N7" s="79"/>
    </row>
    <row r="8" spans="1:14" ht="12.75" customHeight="1" x14ac:dyDescent="0.3">
      <c r="A8" s="77"/>
      <c r="B8" s="173" t="str">
        <f>IF(Lang="Français","Nom",IF(Lang="English","Name",""))</f>
        <v>Nom</v>
      </c>
      <c r="C8" s="736" t="str">
        <f>Nom</f>
        <v>Indra</v>
      </c>
      <c r="D8" s="736"/>
      <c r="E8" s="7"/>
      <c r="F8" s="7"/>
      <c r="G8" s="3"/>
      <c r="H8" s="3"/>
      <c r="I8" s="6"/>
      <c r="J8" s="5"/>
      <c r="K8" s="3"/>
      <c r="L8" s="3"/>
      <c r="M8" s="3"/>
      <c r="N8" s="78"/>
    </row>
    <row r="9" spans="1:14" ht="12.75" customHeight="1" x14ac:dyDescent="0.3">
      <c r="A9" s="80"/>
      <c r="B9" s="173" t="s">
        <v>4</v>
      </c>
      <c r="C9" s="736" t="str">
        <f>Club</f>
        <v>Space'Tech Orléans</v>
      </c>
      <c r="D9" s="736"/>
      <c r="E9" s="6"/>
      <c r="F9" s="27"/>
      <c r="G9" s="3"/>
      <c r="H9" s="3"/>
      <c r="I9" s="6"/>
      <c r="J9" s="3"/>
      <c r="K9" s="3"/>
      <c r="L9" s="3"/>
      <c r="M9" s="3"/>
      <c r="N9" s="79"/>
    </row>
    <row r="10" spans="1:14" ht="12.75" customHeight="1" x14ac:dyDescent="0.25">
      <c r="A10" s="80"/>
      <c r="B10" s="173" t="str">
        <f>IF(Lang="Français","Masse totale",IF(Lang="English","Total Mass",""))</f>
        <v>Masse totale</v>
      </c>
      <c r="C10" s="712">
        <f ca="1">MassePlein</f>
        <v>11.510999999999999</v>
      </c>
      <c r="D10" s="712"/>
      <c r="E10" s="6"/>
      <c r="F10" s="27"/>
      <c r="G10" s="3"/>
      <c r="H10" s="3"/>
      <c r="I10" s="6"/>
      <c r="J10" s="3"/>
      <c r="K10" s="3"/>
      <c r="L10" s="3"/>
      <c r="M10" s="3"/>
      <c r="N10" s="79"/>
    </row>
    <row r="11" spans="1:14" ht="12.75" customHeight="1" x14ac:dyDescent="0.25">
      <c r="A11" s="80"/>
      <c r="B11" s="266" t="str">
        <f>IF(Lang="Français","Propulseur",IF(Lang="English","Motor",""))</f>
        <v>Propulseur</v>
      </c>
      <c r="C11" s="715" t="str">
        <f>Propu</f>
        <v>Orignal (Pro75-3G C)</v>
      </c>
      <c r="D11" s="716"/>
      <c r="E11" s="6"/>
      <c r="F11" s="27"/>
      <c r="G11" s="3"/>
      <c r="H11" s="3"/>
      <c r="I11" s="6"/>
      <c r="J11" s="3"/>
      <c r="K11" s="3"/>
      <c r="L11" s="3"/>
      <c r="M11" s="3"/>
      <c r="N11" s="79"/>
    </row>
    <row r="12" spans="1:14" ht="12.75" customHeight="1" x14ac:dyDescent="0.25">
      <c r="A12" s="80"/>
      <c r="B12" s="3"/>
      <c r="C12" s="3"/>
      <c r="D12" s="3"/>
      <c r="E12" s="6"/>
      <c r="F12" s="27"/>
      <c r="G12" s="3"/>
      <c r="H12" s="3"/>
      <c r="I12" s="6"/>
      <c r="J12" s="3"/>
      <c r="K12" s="3"/>
      <c r="L12" s="3"/>
      <c r="M12" s="3"/>
      <c r="N12" s="79"/>
    </row>
    <row r="13" spans="1:14" ht="12.75" customHeight="1" x14ac:dyDescent="0.25">
      <c r="A13" s="80"/>
      <c r="B13" s="81"/>
      <c r="C13" s="717" t="str">
        <f>IF(Lang="Français","Traînée Aérdynamique",IF(Lang="English","Drag",""))</f>
        <v>Traînée Aérdynamique</v>
      </c>
      <c r="D13" s="717"/>
      <c r="E13" s="6"/>
      <c r="F13" s="3"/>
      <c r="G13" s="3"/>
      <c r="H13" s="3"/>
      <c r="I13" s="6"/>
      <c r="J13" s="3"/>
      <c r="K13" s="3"/>
      <c r="L13" s="3"/>
      <c r="M13" s="3"/>
      <c r="N13" s="79"/>
    </row>
    <row r="14" spans="1:14" ht="12.75" customHeight="1" x14ac:dyDescent="0.25">
      <c r="A14" s="80"/>
      <c r="B14" s="173" t="s">
        <v>41</v>
      </c>
      <c r="C14" s="718">
        <f>(PI()*D_ref^2/4+E_ail*ep_ail*Q_ail)/10^6</f>
        <v>9.0539816339744832E-3</v>
      </c>
      <c r="D14" s="718"/>
      <c r="E14" s="6"/>
      <c r="F14" s="3"/>
      <c r="G14" s="3"/>
      <c r="H14" s="3"/>
      <c r="I14" s="6"/>
      <c r="J14" s="3"/>
      <c r="K14" s="3"/>
      <c r="L14" s="3"/>
      <c r="M14" s="3"/>
      <c r="N14" s="79"/>
    </row>
    <row r="15" spans="1:14" ht="12.75" customHeight="1" x14ac:dyDescent="0.25">
      <c r="A15" s="80"/>
      <c r="B15" s="174" t="s">
        <v>5</v>
      </c>
      <c r="C15" s="710">
        <v>0.5</v>
      </c>
      <c r="D15" s="711"/>
      <c r="E15" s="6"/>
      <c r="F15" s="3"/>
      <c r="G15" s="3"/>
      <c r="H15" s="3"/>
      <c r="I15" s="6"/>
      <c r="J15" s="3"/>
      <c r="K15" s="3"/>
      <c r="L15" s="3"/>
      <c r="M15" s="3"/>
      <c r="N15" s="79"/>
    </row>
    <row r="16" spans="1:14" ht="12.75" customHeight="1" x14ac:dyDescent="0.25">
      <c r="A16" s="80"/>
      <c r="B16" s="3"/>
      <c r="C16" s="3"/>
      <c r="D16" s="3"/>
      <c r="E16" s="6"/>
      <c r="F16" s="6"/>
      <c r="G16" s="3"/>
      <c r="H16" s="3"/>
      <c r="I16" s="6"/>
      <c r="J16" s="3"/>
      <c r="K16" s="3"/>
      <c r="L16" s="3"/>
      <c r="M16" s="3"/>
      <c r="N16" s="79"/>
    </row>
    <row r="17" spans="1:18" ht="12.75" customHeight="1" x14ac:dyDescent="0.25">
      <c r="A17" s="80"/>
      <c r="B17" s="81"/>
      <c r="C17" s="717" t="str">
        <f>IF(Lang="Français","Rampe de Lancement",IF(Lang="English","Launch Pad",""))</f>
        <v>Rampe de Lancement</v>
      </c>
      <c r="D17" s="717"/>
      <c r="E17" s="6"/>
      <c r="F17" s="3"/>
      <c r="G17" s="3"/>
      <c r="H17" s="3"/>
      <c r="I17" s="6"/>
      <c r="J17" s="3"/>
      <c r="K17" s="3"/>
      <c r="L17" s="3"/>
      <c r="M17" s="3"/>
      <c r="N17" s="79"/>
    </row>
    <row r="18" spans="1:18" ht="12.75" customHeight="1" x14ac:dyDescent="0.25">
      <c r="A18" s="80"/>
      <c r="B18" s="173" t="str">
        <f>IF(Lang="Français","Longueur",IF(Lang="English","Length",""))</f>
        <v>Longueur</v>
      </c>
      <c r="C18" s="714">
        <f>IF(RIGHT(Type_fusee,1)=".",4, IF(LEFT(Type_fusee,4)="Mini",2.5, IF(LEFT(Type_fusee,5)="Micro",1, IF(RIGHT(Type_fusee,1)=" ",0.1,IF(LEFT(Type_fusee,1)="R",3, 2.5)))))</f>
        <v>4</v>
      </c>
      <c r="D18" s="714"/>
      <c r="E18" s="6"/>
      <c r="F18" s="3"/>
      <c r="G18" s="3"/>
      <c r="H18" s="3"/>
      <c r="I18" s="6"/>
      <c r="J18" s="3"/>
      <c r="K18" s="3"/>
      <c r="L18" s="3"/>
      <c r="M18" s="3"/>
      <c r="N18" s="79"/>
    </row>
    <row r="19" spans="1:18" ht="12.75" customHeight="1" x14ac:dyDescent="0.25">
      <c r="A19" s="80"/>
      <c r="B19" s="173" t="str">
        <f>IF(Lang="Français","Élévation",IF(Lang="English","Angle /horizon",""))</f>
        <v>Élévation</v>
      </c>
      <c r="C19" s="713">
        <v>80</v>
      </c>
      <c r="D19" s="713"/>
      <c r="E19" s="6"/>
      <c r="F19" s="3"/>
      <c r="G19" s="3"/>
      <c r="H19" s="3"/>
      <c r="I19" s="6"/>
      <c r="J19" s="3"/>
      <c r="K19" s="3"/>
      <c r="L19" s="3"/>
      <c r="M19" s="3"/>
      <c r="N19" s="79"/>
    </row>
    <row r="20" spans="1:18" ht="12.75" customHeight="1" x14ac:dyDescent="0.25">
      <c r="A20" s="80"/>
      <c r="B20" s="173" t="s">
        <v>6</v>
      </c>
      <c r="C20" s="714">
        <v>0</v>
      </c>
      <c r="D20" s="714"/>
      <c r="E20" s="6"/>
      <c r="F20" s="6"/>
      <c r="G20" s="3"/>
      <c r="H20" s="3"/>
      <c r="I20" s="6"/>
      <c r="J20" s="3"/>
      <c r="K20" s="3"/>
      <c r="L20" s="3"/>
      <c r="M20" s="3"/>
      <c r="N20" s="79"/>
    </row>
    <row r="21" spans="1:18" ht="12.75" customHeight="1" x14ac:dyDescent="0.25">
      <c r="A21" s="80"/>
      <c r="B21" s="3"/>
      <c r="C21" s="3"/>
      <c r="D21" s="3"/>
      <c r="E21" s="3"/>
      <c r="F21" s="445" t="str">
        <f ca="1">IF( OR( AND(Vsortie_de_rampe&lt;18, RIGHT(Type_fusee,1)=";"), AND(Vsortie_de_rampe&lt;20, RIGHT(Type_fusee,1)=".")), IF(Lang="Français","Vitesse en Sortie de Rampe trop faible, alléger la fusée ou choisir un propu plus puissant.","Speed at Launch Pad Exit too low, lighten the rocket or choose a bigger motor."), "")</f>
        <v/>
      </c>
      <c r="G21" s="3"/>
      <c r="H21" s="3"/>
      <c r="I21" s="3"/>
      <c r="J21" s="3"/>
      <c r="K21" s="3"/>
      <c r="L21" s="3"/>
      <c r="M21" s="3"/>
      <c r="N21" s="79"/>
    </row>
    <row r="22" spans="1:18" x14ac:dyDescent="0.25">
      <c r="A22" s="80"/>
      <c r="B22" s="3"/>
      <c r="C22" s="719" t="str">
        <f>IF(Lang="Français","DescenteSousParachute",IF(Lang="English","Over Parachute",""))</f>
        <v>DescenteSousParachute</v>
      </c>
      <c r="D22" s="720"/>
      <c r="E22" s="3"/>
      <c r="F22" s="10"/>
      <c r="G22" s="71">
        <f ca="1">TODAY()</f>
        <v>44882</v>
      </c>
      <c r="H22" s="578" t="str">
        <f>IF(Lang="Français","Temps",IF(Lang="English","Time",""))</f>
        <v>Temps</v>
      </c>
      <c r="I22" s="578" t="s">
        <v>12</v>
      </c>
      <c r="J22" s="578" t="str">
        <f>IF(Lang="Français","Portée x",IF(Lang="English","Range x",""))</f>
        <v>Portée x</v>
      </c>
      <c r="K22" s="578" t="str">
        <f>IF(Lang="Français","Vitesse",IF(Lang="English","Velocity",""))</f>
        <v>Vitesse</v>
      </c>
      <c r="L22" s="579" t="s">
        <v>13</v>
      </c>
      <c r="M22" s="588" t="s">
        <v>423</v>
      </c>
      <c r="N22" s="79"/>
    </row>
    <row r="23" spans="1:18" x14ac:dyDescent="0.25">
      <c r="A23" s="80"/>
      <c r="B23" s="81"/>
      <c r="C23" s="175" t="str">
        <f>C7</f>
        <v>Fusée</v>
      </c>
      <c r="D23" s="258" t="s">
        <v>121</v>
      </c>
      <c r="E23" s="3"/>
      <c r="F23" s="721" t="str">
        <f>IF(Lang="Français","Sortie de Rampe",IF(Lang="English","Launch-Pad Exit",""))</f>
        <v>Sortie de Rampe</v>
      </c>
      <c r="G23" s="722"/>
      <c r="H23" s="580"/>
      <c r="I23" s="580"/>
      <c r="J23" s="580"/>
      <c r="K23" s="581">
        <f ca="1">INDEX(vit_xz,MATCH("Sortie de rampe",Event,0))</f>
        <v>25.50709666593713</v>
      </c>
      <c r="L23" s="582"/>
      <c r="M23" s="589"/>
      <c r="N23" s="79"/>
    </row>
    <row r="24" spans="1:18" x14ac:dyDescent="0.25">
      <c r="A24" s="80"/>
      <c r="B24" s="550" t="str">
        <f>IF(Lang="Français","Masse",IF(Lang="English","Mass",""))</f>
        <v>Masse</v>
      </c>
      <c r="C24" s="551">
        <f ca="1">IF(Nb_sat="0 satellite",MasseVide,MasseVide-m_satellite)</f>
        <v>9.6379999999999999</v>
      </c>
      <c r="D24" s="568">
        <f>IF(RIGHT(Type_fusee,1)=".",1,0.15)</f>
        <v>1</v>
      </c>
      <c r="E24" s="28" t="str">
        <f>IF(ABS(T_satellite-0.11-T_para)&lt;0.1,"Pb!","")</f>
        <v/>
      </c>
      <c r="F24" s="724" t="str">
        <f>IF(Lang="Français","Vit max &amp; Acc max",IF(Lang="English","Max Velocity &amp; Acc",""))</f>
        <v>Vit max &amp; Acc max</v>
      </c>
      <c r="G24" s="704"/>
      <c r="H24" s="144"/>
      <c r="I24" s="144"/>
      <c r="J24" s="144"/>
      <c r="K24" s="191">
        <f ca="1">MAX(vit_xz)</f>
        <v>271.24415902988551</v>
      </c>
      <c r="L24" s="583">
        <f ca="1">MAX(acc_xz)</f>
        <v>101.86144781346204</v>
      </c>
      <c r="M24" s="589"/>
      <c r="N24" s="79"/>
    </row>
    <row r="25" spans="1:18" x14ac:dyDescent="0.25">
      <c r="A25" s="80"/>
      <c r="B25" s="554" t="str">
        <f>IF(Lang="Français","Dépotage",IF(Lang="English","Delay",""))</f>
        <v>Dépotage</v>
      </c>
      <c r="C25" s="594" t="s">
        <v>409</v>
      </c>
      <c r="D25" s="567"/>
      <c r="E25" s="3"/>
      <c r="F25" s="725" t="str">
        <f>IF(Lang="Français","Largage du satellite",IF(Lang="English","Satellite separation",""))</f>
        <v>Largage du satellite</v>
      </c>
      <c r="G25" s="706"/>
      <c r="H25" s="185">
        <f>IF(T_satellite&lt;&gt;0,T_satellite,"")</f>
        <v>3.5</v>
      </c>
      <c r="I25" s="189">
        <f ca="1">IF(T_satellite&lt;&gt;0,INDEX(pos_z,MATCH("Satellite",Event_sat,0)),"")</f>
        <v>454.44467751438094</v>
      </c>
      <c r="J25" s="187">
        <f ca="1">IF(T_satellite&lt;&gt;0,INDEX(pos_x,MATCH("Satellite",Event_sat,0)),"")</f>
        <v>100.94981508062662</v>
      </c>
      <c r="K25" s="192">
        <f ca="1">IF(T_satellite&lt;&gt;0,INDEX(vit_xz,MATCH("Satellite",Event_sat,0)),"")</f>
        <v>242.25746638554173</v>
      </c>
      <c r="L25" s="584"/>
      <c r="M25" s="573">
        <f ca="1">1/2*Rho_moyen*1*V_ouv_sat^2*S_satellite</f>
        <v>3594.6816511969409</v>
      </c>
      <c r="N25" s="79"/>
    </row>
    <row r="26" spans="1:18" x14ac:dyDescent="0.25">
      <c r="A26" s="80"/>
      <c r="B26" s="552" t="str">
        <f>IF(Lang="Français","Ouverture para",IF(Lang="English","Opening time",""))</f>
        <v>Ouverture para</v>
      </c>
      <c r="C26" s="596">
        <v>20</v>
      </c>
      <c r="D26" s="553">
        <v>3.5</v>
      </c>
      <c r="E26" s="3"/>
      <c r="F26" s="724" t="s">
        <v>15</v>
      </c>
      <c r="G26" s="704"/>
      <c r="H26" s="186">
        <f ca="1">INDEX(t,MATCH("Apogée",Event,0))</f>
        <v>22.899999999999995</v>
      </c>
      <c r="I26" s="190">
        <f ca="1">INDEX(pos_z,MATCH("Apogée",Event,0))</f>
        <v>2710.5237034610714</v>
      </c>
      <c r="J26" s="188">
        <f ca="1">INDEX(pos_x,MATCH("Apogée",Event,0))</f>
        <v>1006.1284818570956</v>
      </c>
      <c r="K26" s="193">
        <f ca="1">INDEX(vit_xz,MATCH("Apogée",Event,0))</f>
        <v>37.910868327245538</v>
      </c>
      <c r="L26" s="585"/>
      <c r="M26" s="589"/>
      <c r="N26" s="79"/>
    </row>
    <row r="27" spans="1:18" x14ac:dyDescent="0.25">
      <c r="A27" s="80"/>
      <c r="B27" s="174" t="s">
        <v>9</v>
      </c>
      <c r="C27" s="263">
        <f>S_para_croix</f>
        <v>0.64</v>
      </c>
      <c r="D27" s="26">
        <f>IF(RIGHT(Type_fusee,1)=".",0.1,0.02)</f>
        <v>0.1</v>
      </c>
      <c r="E27" s="3"/>
      <c r="F27" s="723" t="str">
        <f>IF(Lang="Français","Ouverture parachute fusée",IF(Lang="English","Rocket parachute opening",""))</f>
        <v>Ouverture parachute fusée</v>
      </c>
      <c r="G27" s="709"/>
      <c r="H27" s="185">
        <f>T_para</f>
        <v>20</v>
      </c>
      <c r="I27" s="189">
        <f ca="1">INDEX(pos_z,MATCH("Para",Event_para,0))</f>
        <v>2666.5670008206562</v>
      </c>
      <c r="J27" s="574">
        <f ca="1">INDEX(pos_x,MATCH("Para",Event_para,0))</f>
        <v>894.79141459547611</v>
      </c>
      <c r="K27" s="192">
        <f ca="1">INDEX(vit_xz,MATCH("Para",Event_para,0))</f>
        <v>48.954313760349017</v>
      </c>
      <c r="L27" s="584"/>
      <c r="M27" s="573">
        <f ca="1">1/2*Rho_moyen*1*V_ouverture^2*S_para</f>
        <v>939.4377356127053</v>
      </c>
      <c r="N27" s="79"/>
      <c r="P27" s="566" t="str">
        <f ca="1">IF(V_para&lt;5, IF(Lang="Français","Parachute fusée trop grand !","Parachute too big!"), IF( V_para&gt;15, IF(Lang="Français","Parachute fusée trop petit !","Parachute too small!"), ""))</f>
        <v>Parachute fusée trop petit !</v>
      </c>
      <c r="R27" s="566" t="str">
        <f>IF(AND(Nb_sat="1 satellite", OR(V_satellite&lt;5)), IF(Lang="Français","Parachute satéllite trop grand !","Parachute too big"), IF(AND(Nb_sat="1 satellite",OR(V_satellite&gt;15)), IF(Lang="Français","Parachute satéllite trop petit !","Parachute too small!"), ""))</f>
        <v/>
      </c>
    </row>
    <row r="28" spans="1:18" x14ac:dyDescent="0.25">
      <c r="A28" s="80"/>
      <c r="B28" s="174" t="s">
        <v>10</v>
      </c>
      <c r="C28" s="176">
        <v>1</v>
      </c>
      <c r="D28" s="176">
        <v>1</v>
      </c>
      <c r="E28" s="3"/>
      <c r="F28" s="728" t="str">
        <f>IF(Lang="Français","Impact balistique",IF(Lang="English","Balistic Impact",""))</f>
        <v>Impact balistique</v>
      </c>
      <c r="G28" s="729"/>
      <c r="H28" s="586">
        <f ca="1">INDEX(t,MATCH("Impact balistique",Event,0))</f>
        <v>49.300000000000367</v>
      </c>
      <c r="I28" s="607" t="s">
        <v>430</v>
      </c>
      <c r="J28" s="575">
        <f ca="1">INDEX(pos_x,MATCH("Impact balistique",Event,0))</f>
        <v>1789.3751464685777</v>
      </c>
      <c r="K28" s="590">
        <f ca="1">K45</f>
        <v>168.25636229525122</v>
      </c>
      <c r="L28" s="587"/>
      <c r="M28" s="591">
        <f ca="1">0.5*m_vide*K28^2</f>
        <v>136426.87043919179</v>
      </c>
      <c r="N28" s="79"/>
      <c r="P28" s="566" t="str">
        <f ca="1">IF( OR( V_para&lt;5, V_para&gt;15, AND(Nb_sat="1 satellite", OR(V_satellite&lt;5, V_satellite&gt;15))), IF(Lang="Français","La Vitesse de descente sous parachute doit être comprise entre 5 &amp; 15 m/s.","Fall Velocity with parachute must be between 5 &amp; 15 m/s."), "")</f>
        <v>La Vitesse de descente sous parachute doit être comprise entre 5 &amp; 15 m/s.</v>
      </c>
    </row>
    <row r="29" spans="1:18" x14ac:dyDescent="0.25">
      <c r="A29" s="80"/>
      <c r="B29" s="174" t="str">
        <f>IF(Lang="Français","Vitesse du vent",IF(Lang="English","Wind speed",""))</f>
        <v>Vitesse du vent</v>
      </c>
      <c r="C29" s="177">
        <v>5</v>
      </c>
      <c r="D29" s="177">
        <f>V_vent</f>
        <v>5</v>
      </c>
      <c r="E29" s="28" t="str">
        <f>IF(AND(T_satellite=0,m_satellite&lt;&gt;0),"Erreur !","")</f>
        <v/>
      </c>
      <c r="F29" s="576"/>
      <c r="G29" s="571"/>
      <c r="H29" s="572"/>
      <c r="I29" s="577"/>
      <c r="K29" s="3"/>
      <c r="L29" s="3"/>
      <c r="M29" s="3"/>
      <c r="N29" s="79"/>
      <c r="P29" s="566" t="str">
        <f ca="1">IF(AND(Portee_balistique&gt;200,LEFT(Type_propu,4)="Mini"),IF(Lang="Français","Fusée trop lègère !","Rocket too light"),"")</f>
        <v/>
      </c>
    </row>
    <row r="30" spans="1:18" x14ac:dyDescent="0.25">
      <c r="A30" s="80"/>
      <c r="B30" s="166" t="str">
        <f>IF(Lang="Français","Vitesse descente",IF(Lang="English","Fall velocity",""))</f>
        <v>Vitesse descente</v>
      </c>
      <c r="C30" s="488">
        <f ca="1">SQRT(2*m_vide*g/Rho_moyen/S_para/Cx_para)</f>
        <v>15.53048187748657</v>
      </c>
      <c r="D30" s="488">
        <f>SQRT(2*m_satellite*g/Rho_moyen/S_satellite/Cx_satellite)</f>
        <v>12.655562623057198</v>
      </c>
      <c r="E30" s="3"/>
      <c r="F30" s="445"/>
      <c r="G30" s="3"/>
      <c r="H30" s="3"/>
      <c r="I30" s="3"/>
      <c r="J30" s="3"/>
      <c r="K30" s="449"/>
      <c r="L30" s="3"/>
      <c r="M30" s="3"/>
      <c r="N30" s="79"/>
      <c r="P30" s="566" t="str">
        <f ca="1">IF(OR(AND(Vsortie_de_rampe&lt;20,LEFT(Type_fusee,1)="F"),AND(Vsortie_de_rampe&lt;18, OR(LEFT(Type_fusee,1)=",",LEFT(Type_fusee,4)="Mini",LEFT(Type_fusee,1)="R"))),IF(Lang="Français","Fusée trop lourde ou rampe trop courte !","Rocket too heavy or launch pad too small!"),"")</f>
        <v/>
      </c>
    </row>
    <row r="31" spans="1:18" x14ac:dyDescent="0.25">
      <c r="A31" s="80"/>
      <c r="B31" s="166" t="str">
        <f>IF(Lang="Français","Durée descente",IF(Lang="English","Fall duration",""))</f>
        <v>Durée descente</v>
      </c>
      <c r="C31" s="165">
        <f ca="1">Alt_para/V_para</f>
        <v>171.69892227788424</v>
      </c>
      <c r="D31" s="165">
        <f ca="1">IF(V_satellite&lt;&gt;0,Alt_sat/V_satellite,0)</f>
        <v>35.908690198128937</v>
      </c>
      <c r="E31" s="3"/>
      <c r="F31" s="3"/>
      <c r="G31" s="3"/>
      <c r="H31" s="730" t="str">
        <f>IF(Lang="Français","Pour localiser la fusée","To locate the rocket")</f>
        <v>Pour localiser la fusée</v>
      </c>
      <c r="I31" s="730"/>
      <c r="J31" s="570"/>
      <c r="L31" s="3"/>
      <c r="M31" s="3"/>
      <c r="N31" s="456"/>
      <c r="P31" s="566" t="str">
        <f ca="1">IF(Temps_culmi-T_para&gt;2,IF(Lang="Français","Ouverture parachute fusée précoce.","Early rocket parachute opening."),IF(Temps_culmi-T_para&lt;-2,IF(Lang="Français","Ouverture parachute fusée tardive.","Late rocket parachute opening."),""))</f>
        <v>Ouverture parachute fusée précoce.</v>
      </c>
    </row>
    <row r="32" spans="1:18" x14ac:dyDescent="0.25">
      <c r="A32" s="80"/>
      <c r="B32" s="166" t="str">
        <f>IF(Lang="Français","Durée du vol",IF(Lang="English","Fligth duration",""))</f>
        <v>Durée du vol</v>
      </c>
      <c r="C32" s="165">
        <f ca="1">T_para+Dt_para</f>
        <v>191.69892227788424</v>
      </c>
      <c r="D32" s="165">
        <f ca="1">T_satellite+Dt_satellite</f>
        <v>39.408690198128937</v>
      </c>
      <c r="E32" s="3"/>
      <c r="F32" s="730" t="str">
        <f>IF(Lang="Français","Couleur fuselage/coiffe","Body/Nose color")</f>
        <v>Couleur fuselage/coiffe</v>
      </c>
      <c r="G32" s="730"/>
      <c r="H32" s="726" t="s">
        <v>267</v>
      </c>
      <c r="I32" s="727"/>
      <c r="J32" s="3"/>
      <c r="L32" s="3"/>
      <c r="M32" s="3"/>
      <c r="N32" s="455"/>
      <c r="P32" s="566" t="str">
        <f ca="1">IF(ABS(Temps_culmi-T_para)&gt;2,IF(Lang="Français","Attention, aux efforts sur le parachute lors de l'ouverture !","Becarefull to the opening chute efforts!"),"")</f>
        <v>Attention, aux efforts sur le parachute lors de l'ouverture !</v>
      </c>
    </row>
    <row r="33" spans="1:16" customFormat="1" x14ac:dyDescent="0.25">
      <c r="A33" s="96"/>
      <c r="B33" s="166" t="str">
        <f>IF(Lang="Français","Déport latéral",IF(Lang="English","Lateral shift",""))</f>
        <v>Déport latéral</v>
      </c>
      <c r="C33" s="184">
        <f ca="1">Alt_para*V_vent/V_para</f>
        <v>858.49461138942115</v>
      </c>
      <c r="D33" s="184">
        <f ca="1">IF(V_satellite&lt;&gt;0,Alt_sat*V_vent_sat/V_satellite,0)</f>
        <v>179.54345099064469</v>
      </c>
      <c r="E33" s="81"/>
      <c r="F33" s="730" t="str">
        <f>IF(Lang="Français","Couleur parachute fusée","Rocket parachute color")</f>
        <v>Couleur parachute fusée</v>
      </c>
      <c r="G33" s="730"/>
      <c r="H33" s="726" t="s">
        <v>268</v>
      </c>
      <c r="I33" s="727"/>
      <c r="J33" s="81"/>
      <c r="K33" s="81"/>
      <c r="L33" s="81"/>
      <c r="M33" s="81"/>
      <c r="N33" s="455" t="str">
        <f>IF(Lang="Français","fichier initial","Initial file")</f>
        <v>fichier initial</v>
      </c>
    </row>
    <row r="34" spans="1:16" x14ac:dyDescent="0.25">
      <c r="A34" s="80"/>
      <c r="B34" s="3"/>
      <c r="C34" s="3"/>
      <c r="D34" s="3"/>
      <c r="E34" s="3"/>
      <c r="F34" s="730" t="str">
        <f>IF(Lang="Français","Couleur parachute satellite","Satellite parachute color")</f>
        <v>Couleur parachute satellite</v>
      </c>
      <c r="G34" s="730"/>
      <c r="H34" s="734" t="s">
        <v>159</v>
      </c>
      <c r="I34" s="734"/>
      <c r="J34" s="3"/>
      <c r="K34" s="3"/>
      <c r="L34" s="3"/>
      <c r="M34" s="3"/>
      <c r="N34" s="454" t="str">
        <f>IF(ROUND(SUM(Propu!5:1228),0)=395253,"propu OK","propu NOK")</f>
        <v>propu OK</v>
      </c>
      <c r="P34"/>
    </row>
    <row r="35" spans="1:16" ht="13.8" thickBot="1" x14ac:dyDescent="0.3">
      <c r="A35" s="82"/>
      <c r="B35" s="215" t="str">
        <f>IF(Lang="Français","Commentaire libre :",IF(Lang="English","Free comment:",""))</f>
        <v>Commentaire libre :</v>
      </c>
      <c r="C35" s="83"/>
      <c r="D35" s="83"/>
      <c r="E35" s="83"/>
      <c r="F35" s="83"/>
      <c r="G35" s="83"/>
      <c r="H35" s="83"/>
      <c r="I35" s="83"/>
      <c r="J35" s="83"/>
      <c r="K35" s="83"/>
      <c r="L35" s="83"/>
      <c r="M35" s="83"/>
      <c r="N35" s="340" t="s">
        <v>546</v>
      </c>
      <c r="P35"/>
    </row>
    <row r="38" spans="1:16" x14ac:dyDescent="0.25">
      <c r="A38" s="731" t="str">
        <f>IF(Lang="Français","Calcul de la surface d'un parachute","Parachute surface calculation")</f>
        <v>Calcul de la surface d'un parachute</v>
      </c>
      <c r="B38" s="732"/>
      <c r="C38" s="732"/>
      <c r="D38" s="733"/>
      <c r="F38" s="731" t="str">
        <f>IF(Lang="Français","Résultats détaillés","Detailled results")</f>
        <v>Résultats détaillés</v>
      </c>
      <c r="G38" s="733"/>
      <c r="H38" s="203" t="str">
        <f>IF(Lang="Français","Temps",IF(Lang="English","Time",""))</f>
        <v>Temps</v>
      </c>
      <c r="I38" s="167" t="s">
        <v>12</v>
      </c>
      <c r="J38" s="167" t="str">
        <f>IF(Lang="Français","Portée x",IF(Lang="English","Range x",""))</f>
        <v>Portée x</v>
      </c>
      <c r="K38" s="167" t="str">
        <f>IF(Lang="Français","Vitesse",IF(Lang="English","Velocity",""))</f>
        <v>Vitesse</v>
      </c>
      <c r="L38" s="168" t="s">
        <v>13</v>
      </c>
      <c r="M38" s="167" t="s">
        <v>42</v>
      </c>
    </row>
    <row r="39" spans="1:16" x14ac:dyDescent="0.25">
      <c r="A39" s="194"/>
      <c r="B39" s="3"/>
      <c r="C39" s="3"/>
      <c r="D39" s="195"/>
      <c r="F39" s="205"/>
      <c r="G39" s="206"/>
      <c r="H39" s="204" t="s">
        <v>154</v>
      </c>
      <c r="I39" s="169" t="s">
        <v>39</v>
      </c>
      <c r="J39" s="169" t="s">
        <v>39</v>
      </c>
      <c r="K39" s="169" t="s">
        <v>155</v>
      </c>
      <c r="L39" s="169" t="s">
        <v>7</v>
      </c>
      <c r="M39" s="169" t="s">
        <v>156</v>
      </c>
    </row>
    <row r="40" spans="1:16" x14ac:dyDescent="0.25">
      <c r="A40" s="194"/>
      <c r="B40" s="3"/>
      <c r="C40" s="3"/>
      <c r="D40" s="195"/>
      <c r="F40" s="703" t="str">
        <f>IF(Lang="Français","Décollage",IF(Lang="English","Lift-Off",""))</f>
        <v>Décollage</v>
      </c>
      <c r="G40" s="703"/>
      <c r="H40" s="183">
        <v>0</v>
      </c>
      <c r="I40" s="183">
        <v>0</v>
      </c>
      <c r="J40" s="183">
        <v>0</v>
      </c>
      <c r="K40" s="183">
        <v>0</v>
      </c>
      <c r="L40" s="181" t="s">
        <v>14</v>
      </c>
      <c r="M40" s="182">
        <f>Beta_rampe</f>
        <v>80</v>
      </c>
    </row>
    <row r="41" spans="1:16" x14ac:dyDescent="0.25">
      <c r="A41" s="194"/>
      <c r="B41" s="3"/>
      <c r="C41" s="3"/>
      <c r="D41" s="195"/>
      <c r="F41" s="704" t="str">
        <f>IF(Lang="Français","Sortie de Rampe",IF(Lang="English","Launch-Pad Exit",""))</f>
        <v>Sortie de Rampe</v>
      </c>
      <c r="G41" s="704"/>
      <c r="H41" s="144">
        <f ca="1">INDEX(t,MATCH("Sortie de rampe",Event,0))</f>
        <v>0.32000000000000012</v>
      </c>
      <c r="I41" s="144">
        <f ca="1">INDEX(pos_z,MATCH("Sortie de rampe",Event,0))</f>
        <v>3.7000303923421236</v>
      </c>
      <c r="J41" s="144">
        <f ca="1">INDEX(pos_x,MATCH("Sortie de rampe",Event,0))</f>
        <v>0.65237833712547566</v>
      </c>
      <c r="K41" s="145">
        <f ca="1">INDEX(vit_xz,MATCH("Sortie de rampe",Event,0))</f>
        <v>25.50709666593713</v>
      </c>
      <c r="L41" s="146">
        <f ca="1">INDEX(acc_xz,MATCH("Sortie de rampe",Event,0))</f>
        <v>81.857216421611312</v>
      </c>
      <c r="M41" s="146">
        <f ca="1">INDEX(BetaD,MATCH("Sortie de rampe",Event,0))</f>
        <v>80</v>
      </c>
    </row>
    <row r="42" spans="1:16" x14ac:dyDescent="0.25">
      <c r="A42" s="194"/>
      <c r="B42" s="199" t="str">
        <f>IF(Lang="Français","Longeur du bord","Side length")</f>
        <v>Longeur du bord</v>
      </c>
      <c r="C42" s="3"/>
      <c r="D42" s="195"/>
      <c r="F42" s="704" t="str">
        <f>IF(Lang="Français","Vit max &amp; Acc max",IF(Lang="English","Max Velocity &amp; Acc",""))</f>
        <v>Vit max &amp; Acc max</v>
      </c>
      <c r="G42" s="704"/>
      <c r="H42" s="144" t="s">
        <v>14</v>
      </c>
      <c r="I42" s="144" t="s">
        <v>14</v>
      </c>
      <c r="J42" s="144" t="s">
        <v>14</v>
      </c>
      <c r="K42" s="147">
        <f ca="1">MAX(vit_xz)</f>
        <v>271.24415902988551</v>
      </c>
      <c r="L42" s="148">
        <f ca="1">MAX(acc_xz)</f>
        <v>101.86144781346204</v>
      </c>
      <c r="M42" s="145" t="s">
        <v>14</v>
      </c>
    </row>
    <row r="43" spans="1:16" x14ac:dyDescent="0.25">
      <c r="A43" s="194"/>
      <c r="B43" s="200">
        <v>400</v>
      </c>
      <c r="C43" s="3"/>
      <c r="D43" s="195"/>
      <c r="F43" s="704" t="str">
        <f>IF(Lang="Français","Fin de Propulsion",IF(Lang="English","Motor Burn-Out",""))</f>
        <v>Fin de Propulsion</v>
      </c>
      <c r="G43" s="704"/>
      <c r="H43" s="146">
        <f ca="1">INDEX(t,MATCH("Fin de propulsion",Event,0))</f>
        <v>4.6899999999999444</v>
      </c>
      <c r="I43" s="149">
        <f ca="1">INDEX(pos_z,MATCH("Fin de propulsion",Event,0))</f>
        <v>757.16942874812855</v>
      </c>
      <c r="J43" s="149">
        <f ca="1">INDEX(pos_x,MATCH("Fin de propulsion",Event,0))</f>
        <v>174.53432503145848</v>
      </c>
      <c r="K43" s="150">
        <f ca="1">INDEX(vit_xz,MATCH("Fin de propulsion",Event,0))</f>
        <v>266.82427984458849</v>
      </c>
      <c r="L43" s="146">
        <f ca="1">INDEX(acc_xz,MATCH("Fin de propulsion",Event,0))</f>
        <v>28.65208914806724</v>
      </c>
      <c r="M43" s="146">
        <f ca="1">INDEX(BetaD,MATCH("Fin de propulsion",Event,0))</f>
        <v>76.045120039582613</v>
      </c>
    </row>
    <row r="44" spans="1:16" x14ac:dyDescent="0.25">
      <c r="A44" s="194"/>
      <c r="B44" s="199" t="str">
        <f>IF(Lang="Français","Largeur du coté","Side width")</f>
        <v>Largeur du coté</v>
      </c>
      <c r="C44" s="3"/>
      <c r="D44" s="195"/>
      <c r="F44" s="704" t="s">
        <v>15</v>
      </c>
      <c r="G44" s="704"/>
      <c r="H44" s="148">
        <f ca="1">INDEX(t,MATCH("Apogée",Event,0))</f>
        <v>22.899999999999995</v>
      </c>
      <c r="I44" s="147">
        <f ca="1">INDEX(pos_z,MATCH("Apogée",Event,0))</f>
        <v>2710.5237034610714</v>
      </c>
      <c r="J44" s="151">
        <f ca="1">INDEX(pos_x,MATCH("Apogée",Event,0))</f>
        <v>1006.1284818570956</v>
      </c>
      <c r="K44" s="151">
        <f ca="1">INDEX(vit_xz,MATCH("Apogée",Event,0))</f>
        <v>37.910868327245538</v>
      </c>
      <c r="L44" s="145">
        <f ca="1">INDEX(acc_xz,MATCH("Apogée",Event,0))</f>
        <v>9.8298004736573592</v>
      </c>
      <c r="M44" s="152">
        <f ca="1">INDEX(BetaD,MATCH("Apogée",Event,0))</f>
        <v>1.1927342952154403</v>
      </c>
    </row>
    <row r="45" spans="1:16" x14ac:dyDescent="0.25">
      <c r="A45" s="194"/>
      <c r="B45" s="201">
        <v>300</v>
      </c>
      <c r="C45" s="3"/>
      <c r="D45" s="195"/>
      <c r="F45" s="707" t="str">
        <f>IF(Lang="Français","Impact balistique",IF(Lang="English","Balistic Impact",""))</f>
        <v>Impact balistique</v>
      </c>
      <c r="G45" s="707"/>
      <c r="H45" s="145">
        <f ca="1">INDEX(t,MATCH("Impact balistique",Event,0))</f>
        <v>49.300000000000367</v>
      </c>
      <c r="I45" s="181" t="s">
        <v>16</v>
      </c>
      <c r="J45" s="147">
        <f ca="1">INDEX(pos_x,MATCH("Impact balistique",Event,0))</f>
        <v>1789.3751464685777</v>
      </c>
      <c r="K45" s="150">
        <f ca="1">INDEX(vit_xz,MATCH("Impact balistique",Event,0))</f>
        <v>168.25636229525122</v>
      </c>
      <c r="L45" s="145">
        <f ca="1">INDEX(acc_xz,MATCH("Impact balistique",Event,0))</f>
        <v>1.9555094864685842</v>
      </c>
      <c r="M45" s="145">
        <f ca="1">INDEX(BetaD,MATCH("Impact balistique",Event,0))</f>
        <v>-83.750860759528678</v>
      </c>
    </row>
    <row r="46" spans="1:16" x14ac:dyDescent="0.25">
      <c r="A46" s="194"/>
      <c r="B46" s="202" t="s">
        <v>9</v>
      </c>
      <c r="C46" s="3"/>
      <c r="D46" s="195"/>
      <c r="F46" s="709" t="str">
        <f>IF(Lang="Français","Ouverture parachute fusée",IF(Lang="English","Rocket parachute opening",""))</f>
        <v>Ouverture parachute fusée</v>
      </c>
      <c r="G46" s="709"/>
      <c r="H46" s="153">
        <f>T_para</f>
        <v>20</v>
      </c>
      <c r="I46" s="154">
        <f ca="1">INDEX(pos_z,MATCH("Para",Event_para,0))</f>
        <v>2666.5670008206562</v>
      </c>
      <c r="J46" s="154">
        <f ca="1">INDEX(pos_x,MATCH("Para",Event_para,0))</f>
        <v>894.79141459547611</v>
      </c>
      <c r="K46" s="154">
        <f ca="1">INDEX(vit_xz,MATCH("Para",Event_para,0))</f>
        <v>48.954313760349017</v>
      </c>
      <c r="L46" s="155">
        <f ca="1">INDEX(acc_xz,MATCH("Para",Event_para,0))</f>
        <v>10.153986464832091</v>
      </c>
      <c r="M46" s="156">
        <f ca="1">INDEX(BetaD,MATCH("Para",Event_para,0))</f>
        <v>37.315336244388767</v>
      </c>
    </row>
    <row r="47" spans="1:16" x14ac:dyDescent="0.25">
      <c r="A47" s="194"/>
      <c r="B47" s="207">
        <f>(4*B43*B45+B43^2)/10^6</f>
        <v>0.64</v>
      </c>
      <c r="C47" s="3"/>
      <c r="D47" s="195"/>
      <c r="F47" s="708" t="str">
        <f>IF(Lang="Français","Impact fusée sous para.",IF(Lang="English","Impact of rocket with para. ",""))</f>
        <v>Impact fusée sous para.</v>
      </c>
      <c r="G47" s="708"/>
      <c r="H47" s="157">
        <f ca="1">T_para+Dt_para</f>
        <v>191.69892227788424</v>
      </c>
      <c r="I47" s="159" t="s">
        <v>16</v>
      </c>
      <c r="J47" s="158" t="str">
        <f ca="1">CONCATENATE(TEXT(X_para-Dx_para,"0")," | ",TEXT(X_para+Dx_para,"0"))</f>
        <v>36 | 1753</v>
      </c>
      <c r="K47" s="160">
        <f ca="1">V_para</f>
        <v>15.53048187748657</v>
      </c>
      <c r="L47" s="161">
        <f>g</f>
        <v>9.81</v>
      </c>
      <c r="M47" s="161" t="s">
        <v>14</v>
      </c>
    </row>
    <row r="48" spans="1:16" x14ac:dyDescent="0.25">
      <c r="A48" s="194"/>
      <c r="B48" s="3"/>
      <c r="C48" s="3"/>
      <c r="D48" s="195"/>
      <c r="F48" s="705" t="str">
        <f>IF(Lang="Français","Largage du satellite",IF(Lang="English","Satellite separation",""))</f>
        <v>Largage du satellite</v>
      </c>
      <c r="G48" s="706"/>
      <c r="H48" s="153">
        <f>IF(T_satellite&lt;&gt;0,T_satellite,"")</f>
        <v>3.5</v>
      </c>
      <c r="I48" s="154">
        <f ca="1">IF(T_satellite&lt;&gt;0,INDEX(pos_z,MATCH("Satellite",Event_sat,0)),"")</f>
        <v>454.44467751438094</v>
      </c>
      <c r="J48" s="162">
        <f ca="1">IF(T_satellite&lt;&gt;0,INDEX(pos_x,MATCH("Satellite",Event_sat,0)),"")</f>
        <v>100.94981508062662</v>
      </c>
      <c r="K48" s="154">
        <f ca="1">IF(T_satellite&lt;&gt;0,INDEX(vit_xz,MATCH("Satellite",Event_sat,0)),"")</f>
        <v>242.25746638554173</v>
      </c>
      <c r="L48" s="155">
        <f ca="1">IF(T_satellite&lt;&gt;0,INDEX(acc_xz,MATCH("Satellite",Event_sat,0)),"")</f>
        <v>42.955474970008574</v>
      </c>
      <c r="M48" s="156">
        <f ca="1">IF(T_satellite&lt;&gt;0,INDEX(BetaD,MATCH("Satellite",Event_sat,0)),"")</f>
        <v>76.648460457127186</v>
      </c>
    </row>
    <row r="49" spans="1:13" x14ac:dyDescent="0.25">
      <c r="A49" s="194"/>
      <c r="B49" s="3"/>
      <c r="C49" s="3"/>
      <c r="D49" s="195"/>
      <c r="F49" s="701" t="str">
        <f>IF(Lang="Français","Impact du satellite",IF(Lang="English","Satellite impact",""))</f>
        <v>Impact du satellite</v>
      </c>
      <c r="G49" s="702"/>
      <c r="H49" s="157">
        <f ca="1">IF(T_satellite&lt;&gt;0,T_satellite+Dt_satellite,"")</f>
        <v>39.408690198128937</v>
      </c>
      <c r="I49" s="163" t="str">
        <f>IF(T_satellite&lt;&gt;0,"~0","")</f>
        <v>~0</v>
      </c>
      <c r="J49" s="163" t="str">
        <f ca="1">IF(T_satellite&lt;&gt;0,CONCATENATE(TEXT(X_satellite-Dx_sat,"0")," | ",TEXT(X_satellite+Dx_sat,"0")),"")</f>
        <v>-79 | 280</v>
      </c>
      <c r="K49" s="163">
        <f>IF(T_satellite&lt;&gt;0,V_satellite,"")</f>
        <v>12.655562623057198</v>
      </c>
      <c r="L49" s="161">
        <f>IF(T_satellite&lt;&gt;0,g,"")</f>
        <v>9.81</v>
      </c>
      <c r="M49" s="164" t="str">
        <f>IF(T_satellite&lt;&gt;0,"-","")</f>
        <v>-</v>
      </c>
    </row>
    <row r="50" spans="1:13" x14ac:dyDescent="0.25">
      <c r="A50" s="194"/>
      <c r="B50" s="199" t="str">
        <f>IF(Lang="Français","Rayon exterieur","Half-diameter ext")</f>
        <v>Rayon exterieur</v>
      </c>
      <c r="C50" s="3"/>
      <c r="D50" s="195"/>
    </row>
    <row r="51" spans="1:13" x14ac:dyDescent="0.25">
      <c r="A51" s="194"/>
      <c r="B51" s="201">
        <v>299</v>
      </c>
      <c r="C51" s="3"/>
      <c r="D51" s="195"/>
    </row>
    <row r="52" spans="1:13" x14ac:dyDescent="0.25">
      <c r="A52" s="194"/>
      <c r="B52" s="199" t="str">
        <f>IF(Lang="Français","Rayon intérieur","Half-diameter int")</f>
        <v>Rayon intérieur</v>
      </c>
      <c r="C52" s="3"/>
      <c r="D52" s="195"/>
    </row>
    <row r="53" spans="1:13" x14ac:dyDescent="0.25">
      <c r="A53" s="194"/>
      <c r="B53" s="201">
        <v>29</v>
      </c>
      <c r="C53" s="3"/>
      <c r="D53" s="195"/>
    </row>
    <row r="54" spans="1:13" x14ac:dyDescent="0.25">
      <c r="A54" s="194"/>
      <c r="B54" s="202" t="s">
        <v>9</v>
      </c>
      <c r="C54" s="3"/>
      <c r="D54" s="195"/>
    </row>
    <row r="55" spans="1:13" x14ac:dyDescent="0.25">
      <c r="A55" s="194"/>
      <c r="B55" s="207">
        <f>PI()*(B51^2-B53^2)/10^6</f>
        <v>0.27821944540191207</v>
      </c>
      <c r="C55" s="3"/>
      <c r="D55" s="195"/>
    </row>
    <row r="56" spans="1:13" x14ac:dyDescent="0.25">
      <c r="A56" s="196"/>
      <c r="B56" s="197"/>
      <c r="C56" s="197"/>
      <c r="D56" s="198"/>
    </row>
    <row r="57" spans="1:13" x14ac:dyDescent="0.25">
      <c r="B57" s="3"/>
      <c r="C57" s="3"/>
      <c r="D57" s="3"/>
    </row>
    <row r="58" spans="1:13" x14ac:dyDescent="0.25">
      <c r="B58" s="3"/>
      <c r="C58" s="3"/>
      <c r="D58" s="3"/>
    </row>
    <row r="59" spans="1:13" x14ac:dyDescent="0.25">
      <c r="A59" s="3"/>
      <c r="B59" s="3"/>
      <c r="C59" s="3"/>
      <c r="D59" s="3"/>
    </row>
    <row r="60" spans="1:13" x14ac:dyDescent="0.25">
      <c r="B60" s="3"/>
      <c r="C60" s="3"/>
      <c r="D60" s="3"/>
    </row>
    <row r="61" spans="1:13" x14ac:dyDescent="0.25">
      <c r="B61" s="3"/>
      <c r="C61" s="3"/>
      <c r="D61" s="3"/>
    </row>
    <row r="62" spans="1:13" x14ac:dyDescent="0.25">
      <c r="B62" s="3"/>
    </row>
    <row r="63" spans="1:13" x14ac:dyDescent="0.25">
      <c r="B63" s="3"/>
    </row>
    <row r="93" spans="2:2" x14ac:dyDescent="0.25">
      <c r="B93" s="35" t="str">
        <f>IF(Lang="Français","Vitesse de descente sous parachute :",IF(Lang="English","Fall velocity over parachute:",""))</f>
        <v>Vitesse de descente sous parachute :</v>
      </c>
    </row>
    <row r="102" spans="2:7" x14ac:dyDescent="0.25">
      <c r="B102" s="35" t="str">
        <f>IF(Lang="Français","Textes pour les listes déroulantes et graphiques :","Texts for drop-down lists &amp; graphics :")</f>
        <v>Textes pour les listes déroulantes et graphiques :</v>
      </c>
      <c r="F102" s="259" t="s">
        <v>409</v>
      </c>
      <c r="G102" s="1" t="s">
        <v>416</v>
      </c>
    </row>
    <row r="103" spans="2:7" x14ac:dyDescent="0.25">
      <c r="F103" s="563">
        <f ca="1">Combustion+Depotage-9</f>
        <v>-9</v>
      </c>
      <c r="G103" s="564" t="s">
        <v>411</v>
      </c>
    </row>
    <row r="104" spans="2:7" x14ac:dyDescent="0.25">
      <c r="B104" s="1" t="s">
        <v>121</v>
      </c>
      <c r="F104" s="563">
        <f ca="1">Combustion+Depotage-7</f>
        <v>-7</v>
      </c>
      <c r="G104" s="564" t="s">
        <v>412</v>
      </c>
    </row>
    <row r="105" spans="2:7" x14ac:dyDescent="0.25">
      <c r="B105" s="1" t="s">
        <v>122</v>
      </c>
      <c r="F105" s="563">
        <f ca="1">Combustion+Depotage-5</f>
        <v>-5</v>
      </c>
      <c r="G105" s="564" t="s">
        <v>413</v>
      </c>
    </row>
    <row r="106" spans="2:7" x14ac:dyDescent="0.25">
      <c r="B106" s="1" t="str">
        <f>IF(T_para&gt;0,IF(Lang="Français","Phase ascendante","Climbing phase"),"")</f>
        <v>Phase ascendante</v>
      </c>
      <c r="F106" s="563">
        <f ca="1">Combustion+Depotage-3</f>
        <v>-3</v>
      </c>
      <c r="G106" s="564" t="s">
        <v>414</v>
      </c>
    </row>
    <row r="107" spans="2:7" x14ac:dyDescent="0.25">
      <c r="B107" s="1" t="str">
        <f>IF(Lang="Français","Descente balistique","Balistic fall")</f>
        <v>Descente balistique</v>
      </c>
      <c r="F107" s="563">
        <f ca="1">Combustion+Depotage</f>
        <v>0</v>
      </c>
      <c r="G107" s="564" t="s">
        <v>415</v>
      </c>
    </row>
    <row r="108" spans="2:7" x14ac:dyDescent="0.25">
      <c r="B108" s="1" t="str">
        <f>IF(T_para&gt;0,IF(Lang="Français","Fusée sous parachute","Rocket under parachute"),"")</f>
        <v>Fusée sous parachute</v>
      </c>
      <c r="F108" s="565" t="str">
        <f>IF(Lang="Français","autre",IF(Lang="English","other",""))</f>
        <v>autre</v>
      </c>
    </row>
    <row r="109" spans="2:7" x14ac:dyDescent="0.25">
      <c r="B109" s="1" t="str">
        <f>IF(AND(Nb_sat="1 satellite",T_satellite&gt;0),IF(Lang="Français","Satellite sous parachute","Satellite over parachute"),"")</f>
        <v/>
      </c>
    </row>
    <row r="110" spans="2:7" x14ac:dyDescent="0.25">
      <c r="B110" s="1" t="str">
        <f>IF(Lang="Français","Trajectoire (x z)","Trajectory (x z)")</f>
        <v>Trajectoire (x z)</v>
      </c>
    </row>
    <row r="111" spans="2:7" x14ac:dyDescent="0.25">
      <c r="B111" s="1" t="str">
        <f>IF(Lang="Français","Portée x [m]","Range x [m]")</f>
        <v>Portée x [m]</v>
      </c>
    </row>
    <row r="112" spans="2:7" x14ac:dyDescent="0.25">
      <c r="B112" s="1" t="str">
        <f>IF(Lang="Français","Temps [s]","Time [s]")</f>
        <v>Temps [s]</v>
      </c>
    </row>
    <row r="113" spans="2:3" x14ac:dyDescent="0.25">
      <c r="B113" s="1" t="str">
        <f>IF(Lang="Français","Altitude z  /  Temps","Altitude z  /  Time")</f>
        <v>Altitude z  /  Temps</v>
      </c>
      <c r="C113" s="1">
        <f>IF(OR(C25=F102,C25=F108),C26,C25)</f>
        <v>20</v>
      </c>
    </row>
    <row r="115" spans="2:3" x14ac:dyDescent="0.25">
      <c r="B115" s="1" t="s">
        <v>410</v>
      </c>
    </row>
    <row r="117" spans="2:3" x14ac:dyDescent="0.25">
      <c r="B117" s="35" t="str">
        <f>IF(Lang="Français","Données pour les graphiques :","Data for plots:")</f>
        <v>Données pour les graphiques :</v>
      </c>
      <c r="C117" s="246" t="s">
        <v>48</v>
      </c>
    </row>
    <row r="118" spans="2:3" x14ac:dyDescent="0.25">
      <c r="C118" s="252">
        <f ca="1">MAX(Altitude_culmi,Portee_balistique)</f>
        <v>2710.5237034610714</v>
      </c>
    </row>
    <row r="119" spans="2:3" x14ac:dyDescent="0.25">
      <c r="B119" s="245" t="s">
        <v>48</v>
      </c>
      <c r="C119" s="9"/>
    </row>
    <row r="120" spans="2:3" x14ac:dyDescent="0.25">
      <c r="B120" s="256">
        <f ca="1">MAX(Altitude_culmi,Portee_balistique)</f>
        <v>2710.5237034610714</v>
      </c>
      <c r="C120" s="254" t="s">
        <v>46</v>
      </c>
    </row>
    <row r="121" spans="2:3" x14ac:dyDescent="0.25">
      <c r="B121" s="9"/>
      <c r="C121" s="250">
        <f ca="1">Alt_para</f>
        <v>2666.5670008206562</v>
      </c>
    </row>
    <row r="122" spans="2:3" x14ac:dyDescent="0.25">
      <c r="B122" s="253" t="s">
        <v>50</v>
      </c>
      <c r="C122" s="250">
        <f ca="1">Alt_para/2</f>
        <v>1333.2835004103281</v>
      </c>
    </row>
    <row r="123" spans="2:3" x14ac:dyDescent="0.25">
      <c r="B123" s="255">
        <f ca="1">X_para</f>
        <v>894.79141459547611</v>
      </c>
      <c r="C123" s="250">
        <v>0</v>
      </c>
    </row>
    <row r="124" spans="2:3" x14ac:dyDescent="0.25">
      <c r="B124" s="255">
        <f ca="1">X_para</f>
        <v>894.79141459547611</v>
      </c>
      <c r="C124" s="250">
        <f ca="1">Alt_para/20</f>
        <v>133.32835004103282</v>
      </c>
    </row>
    <row r="125" spans="2:3" x14ac:dyDescent="0.25">
      <c r="B125" s="255">
        <f ca="1">X_para</f>
        <v>894.79141459547611</v>
      </c>
      <c r="C125" s="250">
        <v>0</v>
      </c>
    </row>
    <row r="126" spans="2:3" x14ac:dyDescent="0.25">
      <c r="B126" s="255">
        <f ca="1">X_para+Alt_para/40</f>
        <v>961.45558961599249</v>
      </c>
      <c r="C126" s="250">
        <f ca="1">Alt_para/20</f>
        <v>133.32835004103282</v>
      </c>
    </row>
    <row r="127" spans="2:3" x14ac:dyDescent="0.25">
      <c r="B127" s="255">
        <f ca="1">X_para</f>
        <v>894.79141459547611</v>
      </c>
      <c r="C127" s="257">
        <v>0</v>
      </c>
    </row>
    <row r="128" spans="2:3" x14ac:dyDescent="0.25">
      <c r="B128" s="255">
        <f ca="1">X_para-Alt_para/40</f>
        <v>828.12723957495973</v>
      </c>
      <c r="C128" s="246" t="s">
        <v>46</v>
      </c>
    </row>
    <row r="129" spans="2:6" x14ac:dyDescent="0.25">
      <c r="B129" s="256">
        <f ca="1">X_para</f>
        <v>894.79141459547611</v>
      </c>
      <c r="C129" s="250">
        <f ca="1">Alt_para</f>
        <v>2666.5670008206562</v>
      </c>
      <c r="E129" s="274">
        <v>1</v>
      </c>
      <c r="F129" s="275" t="s">
        <v>176</v>
      </c>
    </row>
    <row r="130" spans="2:6" x14ac:dyDescent="0.25">
      <c r="B130" s="245" t="s">
        <v>49</v>
      </c>
      <c r="C130" s="250">
        <f ca="1">(C129+C131)/2</f>
        <v>1333.2835004103281</v>
      </c>
      <c r="E130" s="194">
        <v>1</v>
      </c>
      <c r="F130" s="276" t="s">
        <v>177</v>
      </c>
    </row>
    <row r="131" spans="2:6" x14ac:dyDescent="0.25">
      <c r="B131" s="249">
        <f>T_para</f>
        <v>20</v>
      </c>
      <c r="C131" s="250">
        <f>0</f>
        <v>0</v>
      </c>
      <c r="E131" s="194"/>
      <c r="F131" s="283" t="s">
        <v>178</v>
      </c>
    </row>
    <row r="132" spans="2:6" x14ac:dyDescent="0.25">
      <c r="B132" s="249">
        <f ca="1">(B131+B133)/2</f>
        <v>105.84946113894212</v>
      </c>
      <c r="C132" s="250">
        <f ca="1">Alt_para-V_para*(H47-T_para)+E129*sS*Altitude_culmi/H47*zZ_fus+E130*sS/2*Altitude_culmi/H47*tT_fus</f>
        <v>100.92516969963032</v>
      </c>
      <c r="E132" s="277" t="s">
        <v>173</v>
      </c>
      <c r="F132" s="278">
        <f ca="1">T_balistique/10</f>
        <v>4.930000000000037</v>
      </c>
    </row>
    <row r="133" spans="2:6" x14ac:dyDescent="0.25">
      <c r="B133" s="249">
        <f ca="1">H47</f>
        <v>191.69892227788424</v>
      </c>
      <c r="C133" s="250">
        <f ca="1">Alt_para-V_para*(H47-T_para)</f>
        <v>0</v>
      </c>
      <c r="E133" s="277" t="s">
        <v>174</v>
      </c>
      <c r="F133" s="278">
        <f ca="1">(H47-T_para)/H47</f>
        <v>0.89566973166907915</v>
      </c>
    </row>
    <row r="134" spans="2:6" x14ac:dyDescent="0.25">
      <c r="B134" s="249">
        <f ca="1">H47+E129*sS/2*zZ_fus-E130*sS*tT_fus</f>
        <v>189.74827050075567</v>
      </c>
      <c r="C134" s="250">
        <f ca="1">Alt_para-V_para*(H47-T_para)+E129*sS*Altitude_culmi/H47*zZ_fus-E130*sS/2*Altitude_culmi/H47*tT_fus</f>
        <v>38.490135292982245</v>
      </c>
      <c r="E134" s="279" t="s">
        <v>175</v>
      </c>
      <c r="F134" s="280">
        <f ca="1">V_para*(H47-T_para)/Alt_para</f>
        <v>1</v>
      </c>
    </row>
    <row r="135" spans="2:6" x14ac:dyDescent="0.25">
      <c r="B135" s="249">
        <f ca="1">H47</f>
        <v>191.69892227788424</v>
      </c>
      <c r="C135" s="252">
        <f ca="1">Alt_para-V_para*(H47-T_para)</f>
        <v>0</v>
      </c>
    </row>
    <row r="136" spans="2:6" x14ac:dyDescent="0.25">
      <c r="B136" s="249">
        <f ca="1">H47-E129*sS/2*zZ_fus-E130*sS*tT_fus</f>
        <v>184.8182705007556</v>
      </c>
      <c r="C136" s="3"/>
    </row>
    <row r="137" spans="2:6" x14ac:dyDescent="0.25">
      <c r="B137" s="251">
        <f ca="1">H47</f>
        <v>191.69892227788424</v>
      </c>
      <c r="C137" s="254" t="s">
        <v>47</v>
      </c>
    </row>
    <row r="138" spans="2:6" x14ac:dyDescent="0.25">
      <c r="B138" s="3"/>
      <c r="C138" s="250" t="b">
        <f>IF(Nb_sat="1 satellite",Alt_sat)</f>
        <v>0</v>
      </c>
    </row>
    <row r="139" spans="2:6" x14ac:dyDescent="0.25">
      <c r="B139" s="253" t="s">
        <v>52</v>
      </c>
      <c r="C139" s="250" t="b">
        <f>IF(Nb_sat="1 satellite",Alt_sat*1/4)</f>
        <v>0</v>
      </c>
    </row>
    <row r="140" spans="2:6" x14ac:dyDescent="0.25">
      <c r="B140" s="255" t="b">
        <f>IF(Nb_sat="1 satellite",X_satellite)</f>
        <v>0</v>
      </c>
      <c r="C140" s="250" t="b">
        <f>IF(Nb_sat="1 satellite",0)</f>
        <v>0</v>
      </c>
    </row>
    <row r="141" spans="2:6" x14ac:dyDescent="0.25">
      <c r="B141" s="255" t="b">
        <f>IF(Nb_sat="1 satellite",X_satellite)</f>
        <v>0</v>
      </c>
      <c r="C141" s="250" t="b">
        <f>IF(Nb_sat="1 satellite",Alt_sat/20)</f>
        <v>0</v>
      </c>
    </row>
    <row r="142" spans="2:6" x14ac:dyDescent="0.25">
      <c r="B142" s="255" t="b">
        <f>IF(Nb_sat="1 satellite",X_satellite)</f>
        <v>0</v>
      </c>
      <c r="C142" s="250" t="b">
        <f>IF(Nb_sat="1 satellite",0)</f>
        <v>0</v>
      </c>
    </row>
    <row r="143" spans="2:6" x14ac:dyDescent="0.25">
      <c r="B143" s="255" t="b">
        <f>IF(Nb_sat="1 satellite",X_satellite+Alt_sat/40)</f>
        <v>0</v>
      </c>
      <c r="C143" s="250" t="b">
        <f>IF(Nb_sat="1 satellite",Alt_sat/20)</f>
        <v>0</v>
      </c>
    </row>
    <row r="144" spans="2:6" x14ac:dyDescent="0.25">
      <c r="B144" s="255" t="b">
        <f>IF(Nb_sat="1 satellite",X_satellite)</f>
        <v>0</v>
      </c>
      <c r="C144" s="250" t="b">
        <f>IF(Nb_sat="1 satellite",0)</f>
        <v>0</v>
      </c>
    </row>
    <row r="145" spans="2:6" x14ac:dyDescent="0.25">
      <c r="B145" s="255" t="b">
        <f>IF(Nb_sat="1 satellite",X_satellite-Alt_sat/40)</f>
        <v>0</v>
      </c>
      <c r="C145" s="246" t="s">
        <v>47</v>
      </c>
    </row>
    <row r="146" spans="2:6" x14ac:dyDescent="0.25">
      <c r="B146" s="256" t="b">
        <f>IF(Nb_sat="1 satellite",X_satellite)</f>
        <v>0</v>
      </c>
      <c r="C146" s="250" t="b">
        <f>IF(Nb_sat="1 satellite",Alt_sat)</f>
        <v>0</v>
      </c>
      <c r="D146" s="259"/>
    </row>
    <row r="147" spans="2:6" x14ac:dyDescent="0.25">
      <c r="B147" s="245" t="s">
        <v>51</v>
      </c>
      <c r="C147" s="250">
        <f>(C146+C148)/2</f>
        <v>0</v>
      </c>
      <c r="D147" s="259"/>
    </row>
    <row r="148" spans="2:6" x14ac:dyDescent="0.25">
      <c r="B148" s="249" t="b">
        <f>IF(Nb_sat="1 satellite",T_satellite)</f>
        <v>0</v>
      </c>
      <c r="C148" s="250" t="b">
        <f>IF(Nb_sat="1 satellite",0)</f>
        <v>0</v>
      </c>
    </row>
    <row r="149" spans="2:6" x14ac:dyDescent="0.25">
      <c r="B149" s="249">
        <f>(B148+B150)/2</f>
        <v>0</v>
      </c>
      <c r="C149" s="250" t="b">
        <f>IF(Nb_sat="1 satellite",Alt_sat-V_satellite*(H49-T_satellite)+E129*sS*Altitude_culmi/H49*zZ_sat+E130*sS/2*Altitude_culmi/H49*tT_sat)</f>
        <v>0</v>
      </c>
      <c r="D149" s="259"/>
    </row>
    <row r="150" spans="2:6" x14ac:dyDescent="0.25">
      <c r="B150" s="249" t="b">
        <f>IF(Nb_sat="1 satellite",H49)</f>
        <v>0</v>
      </c>
      <c r="C150" s="250" t="b">
        <f>IF(Nb_sat="1 satellite",0)</f>
        <v>0</v>
      </c>
      <c r="E150" s="281" t="s">
        <v>174</v>
      </c>
      <c r="F150" s="282">
        <f ca="1">(T_balistique-T_satellite)/T_balistique</f>
        <v>0.92900608519269834</v>
      </c>
    </row>
    <row r="151" spans="2:6" x14ac:dyDescent="0.25">
      <c r="B151" s="249" t="b">
        <f>IF(Nb_sat="1 satellite",H49+E129*sS/2*zZ_sat-E130*sS*tT_sat)</f>
        <v>0</v>
      </c>
      <c r="C151" s="250" t="b">
        <f>IF(Nb_sat="1 satellite",Alt_sat-V_satellite*(H49-T_satellite)+E129*sS*Altitude_culmi/H49*zZ_sat-E130*sS/2*Altitude_culmi/H49*tT_sat)</f>
        <v>0</v>
      </c>
      <c r="E151" s="279" t="s">
        <v>175</v>
      </c>
      <c r="F151" s="280">
        <f ca="1">V_satellite*(T_balistique-T_satellite)/Alt_sat</f>
        <v>1.2754572708526928</v>
      </c>
    </row>
    <row r="152" spans="2:6" x14ac:dyDescent="0.25">
      <c r="B152" s="249" t="b">
        <f>IF(Nb_sat="1 satellite",H49)</f>
        <v>0</v>
      </c>
      <c r="C152" s="252" t="b">
        <f>IF(Nb_sat="1 satellite",0)</f>
        <v>0</v>
      </c>
    </row>
    <row r="153" spans="2:6" x14ac:dyDescent="0.25">
      <c r="B153" s="249" t="b">
        <f>IF(Nb_sat="1 satellite",H49-sS/2*zZ_sat-E130*sS*tT_sat)</f>
        <v>0</v>
      </c>
    </row>
    <row r="154" spans="2:6" x14ac:dyDescent="0.25">
      <c r="B154" s="251" t="b">
        <f>IF(Nb_sat="1 satellite",H49)</f>
        <v>0</v>
      </c>
      <c r="C154" s="267" t="s">
        <v>29</v>
      </c>
      <c r="D154" s="246" t="s">
        <v>3</v>
      </c>
    </row>
    <row r="155" spans="2:6" x14ac:dyDescent="0.25">
      <c r="C155" s="272">
        <f ca="1">Alt_para/2</f>
        <v>1333.2835004103281</v>
      </c>
      <c r="D155" s="273">
        <f ca="1">X_para/4</f>
        <v>223.69785364886903</v>
      </c>
    </row>
    <row r="156" spans="2:6" x14ac:dyDescent="0.25">
      <c r="B156" s="245" t="s">
        <v>2</v>
      </c>
      <c r="C156" s="269">
        <f ca="1">Altitude_culmi/2</f>
        <v>1355.2618517305357</v>
      </c>
      <c r="D156" s="270">
        <f ca="1">X_culmi+(Portee_balistique-X_culmi)*2/3</f>
        <v>1528.292924931417</v>
      </c>
    </row>
    <row r="157" spans="2:6" x14ac:dyDescent="0.25">
      <c r="B157" s="271">
        <f>T_para/4</f>
        <v>5</v>
      </c>
    </row>
    <row r="158" spans="2:6" x14ac:dyDescent="0.25">
      <c r="B158" s="268">
        <f ca="1">Temps_culmi + (T_balistique-Temps_culmi)/2</f>
        <v>36.100000000000179</v>
      </c>
      <c r="C158" s="267" t="s">
        <v>304</v>
      </c>
      <c r="D158" s="484" t="s">
        <v>306</v>
      </c>
      <c r="E158" s="484"/>
      <c r="F158" s="485" t="s">
        <v>306</v>
      </c>
    </row>
    <row r="159" spans="2:6" x14ac:dyDescent="0.25">
      <c r="C159" s="303">
        <v>0</v>
      </c>
      <c r="D159" s="272">
        <f t="shared" ref="D159:D174" ca="1" si="0">X_culmi+C159</f>
        <v>1006.1284818570956</v>
      </c>
      <c r="E159" s="272"/>
      <c r="F159" s="273">
        <f t="shared" ref="F159:F174" ca="1" si="1">X_culmi-C159</f>
        <v>1006.1284818570956</v>
      </c>
    </row>
    <row r="160" spans="2:6" x14ac:dyDescent="0.25">
      <c r="B160" s="245" t="s">
        <v>305</v>
      </c>
      <c r="C160" s="303">
        <v>23</v>
      </c>
      <c r="D160" s="272">
        <f t="shared" ca="1" si="0"/>
        <v>1029.1284818570957</v>
      </c>
      <c r="E160" s="272"/>
      <c r="F160" s="273">
        <f t="shared" ca="1" si="1"/>
        <v>983.12848185709561</v>
      </c>
    </row>
    <row r="161" spans="2:6" x14ac:dyDescent="0.25">
      <c r="B161" s="271" t="e">
        <f ca="1">IF(AND(Altitude_culmi&gt;80, Altitude_culmi&lt;=350), 49, NA())</f>
        <v>#N/A</v>
      </c>
      <c r="C161" s="303">
        <v>23</v>
      </c>
      <c r="D161" s="272">
        <f t="shared" ca="1" si="0"/>
        <v>1029.1284818570957</v>
      </c>
      <c r="E161" s="272"/>
      <c r="F161" s="273">
        <f t="shared" ca="1" si="1"/>
        <v>983.12848185709561</v>
      </c>
    </row>
    <row r="162" spans="2:6" x14ac:dyDescent="0.25">
      <c r="B162" s="271" t="e">
        <f ca="1">IF(AND(Altitude_culmi&gt;80, Altitude_culmi&lt;=350), 49, NA())</f>
        <v>#N/A</v>
      </c>
      <c r="C162" s="303">
        <v>0</v>
      </c>
      <c r="D162" s="272">
        <f t="shared" ca="1" si="0"/>
        <v>1006.1284818570956</v>
      </c>
      <c r="E162" s="272"/>
      <c r="F162" s="273">
        <f t="shared" ca="1" si="1"/>
        <v>1006.1284818570956</v>
      </c>
    </row>
    <row r="163" spans="2:6" x14ac:dyDescent="0.25">
      <c r="B163" s="271" t="e">
        <f ca="1">IF(AND(Altitude_culmi&gt;80, Altitude_culmi&lt;=350), 43, NA())</f>
        <v>#N/A</v>
      </c>
      <c r="C163" s="303">
        <v>23</v>
      </c>
      <c r="D163" s="272">
        <f t="shared" ca="1" si="0"/>
        <v>1029.1284818570957</v>
      </c>
      <c r="E163" s="272"/>
      <c r="F163" s="273">
        <f t="shared" ca="1" si="1"/>
        <v>983.12848185709561</v>
      </c>
    </row>
    <row r="164" spans="2:6" x14ac:dyDescent="0.25">
      <c r="B164" s="271" t="e">
        <f ca="1">IF(AND(Altitude_culmi&gt;80, Altitude_culmi&lt;=350), 43, NA())</f>
        <v>#N/A</v>
      </c>
      <c r="C164" s="303">
        <v>23</v>
      </c>
      <c r="D164" s="272">
        <f t="shared" ca="1" si="0"/>
        <v>1029.1284818570957</v>
      </c>
      <c r="E164" s="272"/>
      <c r="F164" s="273">
        <f t="shared" ca="1" si="1"/>
        <v>983.12848185709561</v>
      </c>
    </row>
    <row r="165" spans="2:6" x14ac:dyDescent="0.25">
      <c r="B165" s="271" t="e">
        <f ca="1">IF(AND(Altitude_culmi&gt;80, Altitude_culmi&lt;=350), 43, NA())</f>
        <v>#N/A</v>
      </c>
      <c r="C165" s="303">
        <v>8</v>
      </c>
      <c r="D165" s="272">
        <f t="shared" ca="1" si="0"/>
        <v>1014.1284818570956</v>
      </c>
      <c r="E165" s="272"/>
      <c r="F165" s="273">
        <f t="shared" ca="1" si="1"/>
        <v>998.12848185709561</v>
      </c>
    </row>
    <row r="166" spans="2:6" x14ac:dyDescent="0.25">
      <c r="B166" s="271" t="e">
        <f ca="1">IF(AND(Altitude_culmi&gt;80, Altitude_culmi&lt;=350), 0.5, NA())</f>
        <v>#N/A</v>
      </c>
      <c r="C166" s="303">
        <v>8</v>
      </c>
      <c r="D166" s="272">
        <f t="shared" ca="1" si="0"/>
        <v>1014.1284818570956</v>
      </c>
      <c r="E166" s="272"/>
      <c r="F166" s="273">
        <f t="shared" ca="1" si="1"/>
        <v>998.12848185709561</v>
      </c>
    </row>
    <row r="167" spans="2:6" x14ac:dyDescent="0.25">
      <c r="B167" s="271" t="e">
        <f ca="1">IF(AND(Altitude_culmi&gt;80, Altitude_culmi&lt;=350), 0.5, NA())</f>
        <v>#N/A</v>
      </c>
      <c r="C167" s="303">
        <v>23</v>
      </c>
      <c r="D167" s="272">
        <f t="shared" ca="1" si="0"/>
        <v>1029.1284818570957</v>
      </c>
      <c r="E167" s="272"/>
      <c r="F167" s="273">
        <f t="shared" ca="1" si="1"/>
        <v>983.12848185709561</v>
      </c>
    </row>
    <row r="168" spans="2:6" x14ac:dyDescent="0.25">
      <c r="B168" s="271" t="e">
        <f ca="1">IF(AND(Altitude_culmi&gt;80, Altitude_culmi&lt;=350), 27, NA())</f>
        <v>#N/A</v>
      </c>
      <c r="C168" s="303">
        <v>8</v>
      </c>
      <c r="D168" s="272">
        <f t="shared" ca="1" si="0"/>
        <v>1014.1284818570956</v>
      </c>
      <c r="E168" s="272"/>
      <c r="F168" s="273">
        <f t="shared" ca="1" si="1"/>
        <v>998.12848185709561</v>
      </c>
    </row>
    <row r="169" spans="2:6" x14ac:dyDescent="0.25">
      <c r="B169" s="271" t="e">
        <f ca="1">IF(AND(Altitude_culmi&gt;80, Altitude_culmi&lt;=350), 27, NA())</f>
        <v>#N/A</v>
      </c>
      <c r="C169" s="303">
        <v>7.6</v>
      </c>
      <c r="D169" s="272">
        <f t="shared" ca="1" si="0"/>
        <v>1013.7284818570956</v>
      </c>
      <c r="E169" s="272"/>
      <c r="F169" s="273">
        <f t="shared" ca="1" si="1"/>
        <v>998.52848185709558</v>
      </c>
    </row>
    <row r="170" spans="2:6" x14ac:dyDescent="0.25">
      <c r="B170" s="271" t="e">
        <f ca="1">IF(AND(Altitude_culmi&gt;80, Altitude_culmi&lt;=350), 27, NA())</f>
        <v>#N/A</v>
      </c>
      <c r="C170" s="303">
        <v>6.8</v>
      </c>
      <c r="D170" s="272">
        <f t="shared" ca="1" si="0"/>
        <v>1012.9284818570956</v>
      </c>
      <c r="E170" s="272"/>
      <c r="F170" s="273">
        <f t="shared" ca="1" si="1"/>
        <v>999.32848185709565</v>
      </c>
    </row>
    <row r="171" spans="2:6" x14ac:dyDescent="0.25">
      <c r="B171" s="271" t="e">
        <f ca="1">IF(AND(Altitude_culmi&gt;80, Altitude_culmi&lt;=350), 29, NA())</f>
        <v>#N/A</v>
      </c>
      <c r="C171" s="303">
        <v>6</v>
      </c>
      <c r="D171" s="272">
        <f t="shared" ca="1" si="0"/>
        <v>1012.1284818570956</v>
      </c>
      <c r="E171" s="272"/>
      <c r="F171" s="273">
        <f t="shared" ca="1" si="1"/>
        <v>1000.1284818570956</v>
      </c>
    </row>
    <row r="172" spans="2:6" x14ac:dyDescent="0.25">
      <c r="B172" s="271" t="e">
        <f ca="1">IF(AND(Altitude_culmi&gt;80, Altitude_culmi&lt;=350), 31, NA())</f>
        <v>#N/A</v>
      </c>
      <c r="C172" s="303">
        <v>5</v>
      </c>
      <c r="D172" s="272">
        <f t="shared" ca="1" si="0"/>
        <v>1011.1284818570956</v>
      </c>
      <c r="E172" s="272"/>
      <c r="F172" s="273">
        <f t="shared" ca="1" si="1"/>
        <v>1001.1284818570956</v>
      </c>
    </row>
    <row r="173" spans="2:6" x14ac:dyDescent="0.25">
      <c r="B173" s="271" t="e">
        <f ca="1">IF(AND(Altitude_culmi&gt;80, Altitude_culmi&lt;=350), 32, NA())</f>
        <v>#N/A</v>
      </c>
      <c r="C173" s="303">
        <v>3.8</v>
      </c>
      <c r="D173" s="272">
        <f t="shared" ca="1" si="0"/>
        <v>1009.9284818570956</v>
      </c>
      <c r="E173" s="272"/>
      <c r="F173" s="273">
        <f t="shared" ca="1" si="1"/>
        <v>1002.3284818570957</v>
      </c>
    </row>
    <row r="174" spans="2:6" x14ac:dyDescent="0.25">
      <c r="B174" s="271" t="e">
        <f ca="1">IF(AND(Altitude_culmi&gt;80, Altitude_culmi&lt;=350), 33, NA())</f>
        <v>#N/A</v>
      </c>
      <c r="C174" s="482">
        <v>0</v>
      </c>
      <c r="D174" s="483">
        <f t="shared" ca="1" si="0"/>
        <v>1006.1284818570956</v>
      </c>
      <c r="E174" s="483"/>
      <c r="F174" s="270">
        <f t="shared" ca="1" si="1"/>
        <v>1006.1284818570956</v>
      </c>
    </row>
    <row r="175" spans="2:6" x14ac:dyDescent="0.25">
      <c r="B175" s="271" t="e">
        <f ca="1">IF(AND(Altitude_culmi&gt;80, Altitude_culmi&lt;=350), 34, NA())</f>
        <v>#N/A</v>
      </c>
    </row>
    <row r="176" spans="2:6" x14ac:dyDescent="0.25">
      <c r="B176" s="268" t="e">
        <f ca="1">IF(AND(Altitude_culmi&gt;80, Altitude_culmi&lt;=350), 35, NA())</f>
        <v>#N/A</v>
      </c>
      <c r="C176" s="267" t="s">
        <v>308</v>
      </c>
      <c r="D176" s="486" t="s">
        <v>309</v>
      </c>
      <c r="E176" s="486"/>
      <c r="F176" s="487" t="s">
        <v>309</v>
      </c>
    </row>
    <row r="177" spans="2:6" x14ac:dyDescent="0.25">
      <c r="C177" s="303">
        <v>0</v>
      </c>
      <c r="D177" s="272">
        <f t="shared" ref="D177:D197" ca="1" si="2">X_culmi+C177</f>
        <v>1006.1284818570956</v>
      </c>
      <c r="E177" s="272"/>
      <c r="F177" s="273">
        <f t="shared" ref="F177:F197" ca="1" si="3">X_culmi-C177</f>
        <v>1006.1284818570956</v>
      </c>
    </row>
    <row r="178" spans="2:6" x14ac:dyDescent="0.25">
      <c r="B178" s="245" t="s">
        <v>307</v>
      </c>
      <c r="C178" s="303">
        <v>0</v>
      </c>
      <c r="D178" s="272">
        <f t="shared" ca="1" si="2"/>
        <v>1006.1284818570956</v>
      </c>
      <c r="E178" s="272"/>
      <c r="F178" s="273">
        <f t="shared" ca="1" si="3"/>
        <v>1006.1284818570956</v>
      </c>
    </row>
    <row r="179" spans="2:6" x14ac:dyDescent="0.25">
      <c r="B179" s="271">
        <f ca="1">IF(Altitude_culmi&gt;350, 324, NA())</f>
        <v>324</v>
      </c>
      <c r="C179" s="303">
        <v>10</v>
      </c>
      <c r="D179" s="272">
        <f t="shared" ca="1" si="2"/>
        <v>1016.1284818570956</v>
      </c>
      <c r="E179" s="272"/>
      <c r="F179" s="273">
        <f t="shared" ca="1" si="3"/>
        <v>996.12848185709561</v>
      </c>
    </row>
    <row r="180" spans="2:6" x14ac:dyDescent="0.25">
      <c r="B180" s="271">
        <f ca="1">IF(Altitude_culmi&gt;350, 300, NA())</f>
        <v>300</v>
      </c>
      <c r="C180" s="303">
        <v>0</v>
      </c>
      <c r="D180" s="272">
        <f t="shared" ca="1" si="2"/>
        <v>1006.1284818570956</v>
      </c>
      <c r="E180" s="272"/>
      <c r="F180" s="273">
        <f t="shared" ca="1" si="3"/>
        <v>1006.1284818570956</v>
      </c>
    </row>
    <row r="181" spans="2:6" x14ac:dyDescent="0.25">
      <c r="B181" s="271">
        <f ca="1">IF(Altitude_culmi&gt;350, 280, NA())</f>
        <v>280</v>
      </c>
      <c r="C181" s="303">
        <v>10</v>
      </c>
      <c r="D181" s="272">
        <f t="shared" ca="1" si="2"/>
        <v>1016.1284818570956</v>
      </c>
      <c r="E181" s="272"/>
      <c r="F181" s="273">
        <f t="shared" ca="1" si="3"/>
        <v>996.12848185709561</v>
      </c>
    </row>
    <row r="182" spans="2:6" x14ac:dyDescent="0.25">
      <c r="B182" s="271">
        <f ca="1">IF(Altitude_culmi&gt;350, 280, NA())</f>
        <v>280</v>
      </c>
      <c r="C182" s="303">
        <v>13</v>
      </c>
      <c r="D182" s="272">
        <f t="shared" ca="1" si="2"/>
        <v>1019.1284818570956</v>
      </c>
      <c r="E182" s="272"/>
      <c r="F182" s="273">
        <f t="shared" ca="1" si="3"/>
        <v>993.12848185709561</v>
      </c>
    </row>
    <row r="183" spans="2:6" x14ac:dyDescent="0.25">
      <c r="B183" s="271">
        <f ca="1">IF(Altitude_culmi&gt;350, 280, NA())</f>
        <v>280</v>
      </c>
      <c r="C183" s="303">
        <v>17</v>
      </c>
      <c r="D183" s="272">
        <f t="shared" ca="1" si="2"/>
        <v>1023.1284818570956</v>
      </c>
      <c r="E183" s="272"/>
      <c r="F183" s="273">
        <f t="shared" ca="1" si="3"/>
        <v>989.12848185709561</v>
      </c>
    </row>
    <row r="184" spans="2:6" x14ac:dyDescent="0.25">
      <c r="B184" s="271">
        <f ca="1">IF(Altitude_culmi&gt;350, 200, NA())</f>
        <v>200</v>
      </c>
      <c r="C184" s="303">
        <v>20</v>
      </c>
      <c r="D184" s="272">
        <f t="shared" ca="1" si="2"/>
        <v>1026.1284818570957</v>
      </c>
      <c r="E184" s="272"/>
      <c r="F184" s="273">
        <f t="shared" ca="1" si="3"/>
        <v>986.12848185709561</v>
      </c>
    </row>
    <row r="185" spans="2:6" x14ac:dyDescent="0.25">
      <c r="B185" s="271">
        <f ca="1">IF(Altitude_culmi&gt;350, 160, NA())</f>
        <v>160</v>
      </c>
      <c r="C185" s="303">
        <v>25</v>
      </c>
      <c r="D185" s="272">
        <f t="shared" ca="1" si="2"/>
        <v>1031.1284818570957</v>
      </c>
      <c r="E185" s="272"/>
      <c r="F185" s="273">
        <f t="shared" ca="1" si="3"/>
        <v>981.12848185709561</v>
      </c>
    </row>
    <row r="186" spans="2:6" x14ac:dyDescent="0.25">
      <c r="B186" s="271">
        <f ca="1">IF(Altitude_culmi&gt;350, 115, NA())</f>
        <v>115</v>
      </c>
      <c r="C186" s="303">
        <v>30</v>
      </c>
      <c r="D186" s="272">
        <f t="shared" ca="1" si="2"/>
        <v>1036.1284818570957</v>
      </c>
      <c r="E186" s="272"/>
      <c r="F186" s="273">
        <f t="shared" ca="1" si="3"/>
        <v>976.12848185709561</v>
      </c>
    </row>
    <row r="187" spans="2:6" x14ac:dyDescent="0.25">
      <c r="B187" s="271">
        <f ca="1">IF(Altitude_culmi&gt;350, 90, NA())</f>
        <v>90</v>
      </c>
      <c r="C187" s="303">
        <v>36</v>
      </c>
      <c r="D187" s="272">
        <f t="shared" ca="1" si="2"/>
        <v>1042.1284818570957</v>
      </c>
      <c r="E187" s="272"/>
      <c r="F187" s="273">
        <f t="shared" ca="1" si="3"/>
        <v>970.12848185709561</v>
      </c>
    </row>
    <row r="188" spans="2:6" x14ac:dyDescent="0.25">
      <c r="B188" s="271">
        <f ca="1">IF(Altitude_culmi&gt;350, 57, NA())</f>
        <v>57</v>
      </c>
      <c r="C188" s="303">
        <v>48</v>
      </c>
      <c r="D188" s="272">
        <f t="shared" ca="1" si="2"/>
        <v>1054.1284818570957</v>
      </c>
      <c r="E188" s="272"/>
      <c r="F188" s="273">
        <f t="shared" ca="1" si="3"/>
        <v>958.12848185709561</v>
      </c>
    </row>
    <row r="189" spans="2:6" x14ac:dyDescent="0.25">
      <c r="B189" s="271">
        <f ca="1">IF(Altitude_culmi&gt;350, 40, NA())</f>
        <v>40</v>
      </c>
      <c r="C189" s="303">
        <v>62</v>
      </c>
      <c r="D189" s="272">
        <f t="shared" ca="1" si="2"/>
        <v>1068.1284818570957</v>
      </c>
      <c r="E189" s="272"/>
      <c r="F189" s="273">
        <f t="shared" ca="1" si="3"/>
        <v>944.12848185709561</v>
      </c>
    </row>
    <row r="190" spans="2:6" x14ac:dyDescent="0.25">
      <c r="B190" s="271">
        <f ca="1">IF(Altitude_culmi&gt;350, 20, NA())</f>
        <v>20</v>
      </c>
      <c r="C190" s="303">
        <v>37</v>
      </c>
      <c r="D190" s="272">
        <f t="shared" ca="1" si="2"/>
        <v>1043.1284818570957</v>
      </c>
      <c r="E190" s="272"/>
      <c r="F190" s="273">
        <f t="shared" ca="1" si="3"/>
        <v>969.12848185709561</v>
      </c>
    </row>
    <row r="191" spans="2:6" x14ac:dyDescent="0.25">
      <c r="B191" s="271">
        <f ca="1">IF(Altitude_culmi&gt;350, 0.5, NA())</f>
        <v>0.5</v>
      </c>
      <c r="C191" s="303">
        <v>30</v>
      </c>
      <c r="D191" s="272">
        <f t="shared" ca="1" si="2"/>
        <v>1036.1284818570957</v>
      </c>
      <c r="E191" s="272"/>
      <c r="F191" s="273">
        <f t="shared" ca="1" si="3"/>
        <v>976.12848185709561</v>
      </c>
    </row>
    <row r="192" spans="2:6" x14ac:dyDescent="0.25">
      <c r="B192" s="271">
        <f ca="1">IF(Altitude_culmi&gt;350, 0.5, NA())</f>
        <v>0.5</v>
      </c>
      <c r="C192" s="303">
        <v>15</v>
      </c>
      <c r="D192" s="272">
        <f t="shared" ca="1" si="2"/>
        <v>1021.1284818570956</v>
      </c>
      <c r="E192" s="272"/>
      <c r="F192" s="273">
        <f t="shared" ca="1" si="3"/>
        <v>991.12848185709561</v>
      </c>
    </row>
    <row r="193" spans="2:6" x14ac:dyDescent="0.25">
      <c r="B193" s="271">
        <f ca="1">IF(Altitude_culmi&gt;350, 15, NA())</f>
        <v>15</v>
      </c>
      <c r="C193" s="303">
        <v>0</v>
      </c>
      <c r="D193" s="272">
        <f t="shared" ca="1" si="2"/>
        <v>1006.1284818570956</v>
      </c>
      <c r="E193" s="272"/>
      <c r="F193" s="273">
        <f t="shared" ca="1" si="3"/>
        <v>1006.1284818570956</v>
      </c>
    </row>
    <row r="194" spans="2:6" x14ac:dyDescent="0.25">
      <c r="B194" s="271">
        <f ca="1">IF(Altitude_culmi&gt;350, 30, NA())</f>
        <v>30</v>
      </c>
      <c r="C194" s="303">
        <v>0</v>
      </c>
      <c r="D194" s="272">
        <f t="shared" ca="1" si="2"/>
        <v>1006.1284818570956</v>
      </c>
      <c r="E194" s="272"/>
      <c r="F194" s="273">
        <f t="shared" ca="1" si="3"/>
        <v>1006.1284818570956</v>
      </c>
    </row>
    <row r="195" spans="2:6" x14ac:dyDescent="0.25">
      <c r="B195" s="271">
        <f ca="1">IF(Altitude_culmi&gt;350, 37, NA())</f>
        <v>37</v>
      </c>
      <c r="C195" s="303">
        <v>17</v>
      </c>
      <c r="D195" s="272">
        <f t="shared" ca="1" si="2"/>
        <v>1023.1284818570956</v>
      </c>
      <c r="E195" s="272"/>
      <c r="F195" s="273">
        <f t="shared" ca="1" si="3"/>
        <v>989.12848185709561</v>
      </c>
    </row>
    <row r="196" spans="2:6" x14ac:dyDescent="0.25">
      <c r="B196" s="271">
        <f ca="1">IF(Altitude_culmi&gt;350, 67, NA())</f>
        <v>67</v>
      </c>
      <c r="C196" s="303">
        <v>11</v>
      </c>
      <c r="D196" s="272">
        <f t="shared" ca="1" si="2"/>
        <v>1017.1284818570956</v>
      </c>
      <c r="E196" s="272"/>
      <c r="F196" s="273">
        <f t="shared" ca="1" si="3"/>
        <v>995.12848185709561</v>
      </c>
    </row>
    <row r="197" spans="2:6" x14ac:dyDescent="0.25">
      <c r="B197" s="271">
        <f ca="1">IF(Altitude_culmi&gt;350, 67, NA())</f>
        <v>67</v>
      </c>
      <c r="C197" s="482">
        <v>0</v>
      </c>
      <c r="D197" s="483">
        <f t="shared" ca="1" si="2"/>
        <v>1006.1284818570956</v>
      </c>
      <c r="E197" s="483"/>
      <c r="F197" s="270">
        <f t="shared" ca="1" si="3"/>
        <v>1006.1284818570956</v>
      </c>
    </row>
    <row r="198" spans="2:6" x14ac:dyDescent="0.25">
      <c r="B198" s="271">
        <f ca="1">IF(Altitude_culmi&gt;350, 100, NA())</f>
        <v>100</v>
      </c>
    </row>
    <row r="199" spans="2:6" x14ac:dyDescent="0.25">
      <c r="B199" s="268">
        <f ca="1">IF(Altitude_culmi&gt;350, 100, NA())</f>
        <v>100</v>
      </c>
    </row>
  </sheetData>
  <sheetProtection password="C6AC" sheet="1"/>
  <protectedRanges>
    <protectedRange sqref="C25" name="Plage1"/>
  </protectedRanges>
  <mergeCells count="41">
    <mergeCell ref="C2:D3"/>
    <mergeCell ref="C7:D7"/>
    <mergeCell ref="C8:D8"/>
    <mergeCell ref="C9:D9"/>
    <mergeCell ref="C6:D6"/>
    <mergeCell ref="C4:D4"/>
    <mergeCell ref="H33:I33"/>
    <mergeCell ref="H32:I32"/>
    <mergeCell ref="F28:G28"/>
    <mergeCell ref="H31:I31"/>
    <mergeCell ref="A38:D38"/>
    <mergeCell ref="H34:I34"/>
    <mergeCell ref="F34:G34"/>
    <mergeCell ref="F33:G33"/>
    <mergeCell ref="F32:G32"/>
    <mergeCell ref="F38:G38"/>
    <mergeCell ref="C22:D22"/>
    <mergeCell ref="C17:D17"/>
    <mergeCell ref="F23:G23"/>
    <mergeCell ref="F27:G27"/>
    <mergeCell ref="F26:G26"/>
    <mergeCell ref="F24:G24"/>
    <mergeCell ref="F25:G25"/>
    <mergeCell ref="C15:D15"/>
    <mergeCell ref="C10:D10"/>
    <mergeCell ref="C19:D19"/>
    <mergeCell ref="C20:D20"/>
    <mergeCell ref="C11:D11"/>
    <mergeCell ref="C13:D13"/>
    <mergeCell ref="C14:D14"/>
    <mergeCell ref="C18:D18"/>
    <mergeCell ref="F49:G49"/>
    <mergeCell ref="F40:G40"/>
    <mergeCell ref="F41:G41"/>
    <mergeCell ref="F42:G42"/>
    <mergeCell ref="F43:G43"/>
    <mergeCell ref="F48:G48"/>
    <mergeCell ref="F44:G44"/>
    <mergeCell ref="F45:G45"/>
    <mergeCell ref="F47:G47"/>
    <mergeCell ref="F46:G46"/>
  </mergeCells>
  <phoneticPr fontId="8" type="noConversion"/>
  <conditionalFormatting sqref="C30">
    <cfRule type="cellIs" dxfId="26" priority="42" stopIfTrue="1" operator="notBetween">
      <formula>5</formula>
      <formula>15</formula>
    </cfRule>
  </conditionalFormatting>
  <conditionalFormatting sqref="K23 K41">
    <cfRule type="expression" dxfId="25" priority="44" stopIfTrue="1">
      <formula>AND(Vsortie_de_rampe&lt;18, OR(LEFT(Type_fusee,1)=",",LEFT(Type_fusee,4)="Mini",LEFT(Type_fusee,1)="R"))</formula>
    </cfRule>
    <cfRule type="expression" dxfId="24" priority="45" stopIfTrue="1">
      <formula>AND(Vsortie_de_rampe&lt;20, RIGHT(Type_fusee,1)=".")</formula>
    </cfRule>
  </conditionalFormatting>
  <conditionalFormatting sqref="D30">
    <cfRule type="expression" dxfId="23" priority="40" stopIfTrue="1">
      <formula>Nb_sat="0 satellite"</formula>
    </cfRule>
    <cfRule type="cellIs" dxfId="22" priority="49" stopIfTrue="1" operator="notBetween">
      <formula>5</formula>
      <formula>15</formula>
    </cfRule>
  </conditionalFormatting>
  <conditionalFormatting sqref="H25:M25">
    <cfRule type="expression" dxfId="21" priority="41" stopIfTrue="1">
      <formula>Nb_sat="0 satellite"</formula>
    </cfRule>
  </conditionalFormatting>
  <conditionalFormatting sqref="D24">
    <cfRule type="expression" dxfId="20" priority="39" stopIfTrue="1">
      <formula>Nb_sat="0 satellite"</formula>
    </cfRule>
  </conditionalFormatting>
  <conditionalFormatting sqref="D26:D29 D31:D33">
    <cfRule type="expression" dxfId="19" priority="59" stopIfTrue="1">
      <formula>Nb_sat="0 satellite"</formula>
    </cfRule>
  </conditionalFormatting>
  <conditionalFormatting sqref="K40">
    <cfRule type="expression" dxfId="18" priority="34" stopIfTrue="1">
      <formula>AND( $K$21=0, OR( $I$21&gt;0, $J$21&gt;0 ) )</formula>
    </cfRule>
  </conditionalFormatting>
  <conditionalFormatting sqref="F25">
    <cfRule type="expression" dxfId="17" priority="26" stopIfTrue="1">
      <formula>Nb_sat="0 satellite"</formula>
    </cfRule>
  </conditionalFormatting>
  <conditionalFormatting sqref="F34:I34 F48:M48">
    <cfRule type="expression" dxfId="16" priority="22" stopIfTrue="1">
      <formula>Nb_sat="0 satellite"</formula>
    </cfRule>
  </conditionalFormatting>
  <conditionalFormatting sqref="F49:M49">
    <cfRule type="expression" dxfId="15" priority="21" stopIfTrue="1">
      <formula>Nb_sat="0 satellite"</formula>
    </cfRule>
  </conditionalFormatting>
  <conditionalFormatting sqref="N34">
    <cfRule type="expression" dxfId="14" priority="16" stopIfTrue="1">
      <formula>$N$34="propu NOK"</formula>
    </cfRule>
  </conditionalFormatting>
  <conditionalFormatting sqref="N33">
    <cfRule type="expression" dxfId="13" priority="15" stopIfTrue="1">
      <formula>ROUND(SUM(C23:L34),0)=1914</formula>
    </cfRule>
  </conditionalFormatting>
  <conditionalFormatting sqref="H32:I32">
    <cfRule type="cellIs" dxfId="12" priority="14" stopIfTrue="1" operator="equal">
      <formula>"Brun/Orange…"</formula>
    </cfRule>
  </conditionalFormatting>
  <conditionalFormatting sqref="H33:I33">
    <cfRule type="cellIs" dxfId="11" priority="13" stopIfTrue="1" operator="equal">
      <formula>"Rouge…"</formula>
    </cfRule>
  </conditionalFormatting>
  <conditionalFormatting sqref="J28 J45">
    <cfRule type="expression" dxfId="10" priority="6" stopIfTrue="1">
      <formula>AND(Portee_balistique&gt;200,LEFT(Type_propu,4)="Mini")</formula>
    </cfRule>
  </conditionalFormatting>
  <conditionalFormatting sqref="H27 H46">
    <cfRule type="expression" dxfId="9" priority="4" stopIfTrue="1">
      <formula>ABS(Temps_culmi-T_para)&gt;2</formula>
    </cfRule>
  </conditionalFormatting>
  <conditionalFormatting sqref="B26">
    <cfRule type="expression" dxfId="8" priority="89" stopIfTrue="1">
      <formula>NOT(OR(C25=F108,C25=F102,Nb_sat="1 satellite"))</formula>
    </cfRule>
  </conditionalFormatting>
  <conditionalFormatting sqref="C26">
    <cfRule type="expression" dxfId="7" priority="91" stopIfTrue="1">
      <formula>NOT(OR(C25=F108,C25=F102))</formula>
    </cfRule>
  </conditionalFormatting>
  <conditionalFormatting sqref="D25">
    <cfRule type="expression" dxfId="6" priority="2" stopIfTrue="1">
      <formula>Nb_sat="0 satellite"</formula>
    </cfRule>
  </conditionalFormatting>
  <dataValidations count="14">
    <dataValidation type="decimal" operator="greaterThanOrEqual" showErrorMessage="1" sqref="H40:K40 C29 C26 D26:D27" xr:uid="{00000000-0002-0000-0100-000000000000}">
      <formula1>0</formula1>
    </dataValidation>
    <dataValidation type="list" allowBlank="1" showInputMessage="1" showErrorMessage="1" sqref="H50" xr:uid="{00000000-0002-0000-0100-000001000000}">
      <formula1>gao</formula1>
    </dataValidation>
    <dataValidation operator="greaterThanOrEqual" showErrorMessage="1" sqref="D29 C27" xr:uid="{00000000-0002-0000-0100-000002000000}"/>
    <dataValidation type="decimal" errorStyle="warning" allowBlank="1" showErrorMessage="1" errorTitle="Cx para" error="Le Cx du parachute est souvent compris entre 0 et 2._x000a_Cx of parachute might be between 0 a 2." sqref="C28:D28" xr:uid="{00000000-0002-0000-0100-000003000000}">
      <formula1>0</formula1>
      <formula2>2</formula2>
    </dataValidation>
    <dataValidation sqref="C11:D11" xr:uid="{00000000-0002-0000-0100-000004000000}"/>
    <dataValidation operator="greaterThanOrEqual" sqref="C10:D10" xr:uid="{00000000-0002-0000-0100-000005000000}"/>
    <dataValidation type="decimal" errorStyle="warning" showErrorMessage="1" errorTitle="Cx" error="Le Cx est souvent compris entre 0,3 et 0,7._x000a_Cx may be between 0,3 &amp; 0,7." sqref="C15:D15" xr:uid="{00000000-0002-0000-0100-000006000000}">
      <formula1>0.3</formula1>
      <formula2>0.7</formula2>
    </dataValidation>
    <dataValidation type="decimal" operator="greaterThanOrEqual" allowBlank="1" showErrorMessage="1" sqref="C18:D18" xr:uid="{00000000-0002-0000-0100-000007000000}">
      <formula1>0</formula1>
    </dataValidation>
    <dataValidation type="decimal" errorStyle="information" allowBlank="1" showInputMessage="1" showErrorMessage="1" errorTitle="Angle de la rampe" error="Il est conseillé d'incliner à rampe entre 75° et 85° par rapport à l'horizontale._x000a_This Angle is recommended between 75° &amp; 85°." sqref="C19:D19" xr:uid="{00000000-0002-0000-0100-000008000000}">
      <formula1>75</formula1>
      <formula2>85</formula2>
    </dataValidation>
    <dataValidation type="whole" operator="greaterThanOrEqual" allowBlank="1" showErrorMessage="1" sqref="C20:D20" xr:uid="{00000000-0002-0000-0100-000009000000}">
      <formula1>0</formula1>
    </dataValidation>
    <dataValidation type="whole" allowBlank="1" showErrorMessage="1" sqref="M40" xr:uid="{00000000-0002-0000-0100-00000A000000}">
      <formula1>-360</formula1>
      <formula2>360</formula2>
    </dataValidation>
    <dataValidation type="list" showInputMessage="1" showErrorMessage="1" sqref="D23" xr:uid="{00000000-0002-0000-0100-00000B000000}">
      <formula1>Menu_sat</formula1>
    </dataValidation>
    <dataValidation type="whole" operator="greaterThanOrEqual" showErrorMessage="1" sqref="B43 B45 B51 B53" xr:uid="{00000000-0002-0000-0100-00000C000000}">
      <formula1>0</formula1>
    </dataValidation>
    <dataValidation type="list" showInputMessage="1" showErrorMessage="1" sqref="C25" xr:uid="{00000000-0002-0000-0100-00000D000000}">
      <formula1>IF(Depotage&lt;&gt;0,IF(LEFT(Type_propu,5)="Micro",$F$108,$F$103:$F$108),$F$102)</formula1>
    </dataValidation>
  </dataValidations>
  <hyperlinks>
    <hyperlink ref="B11" location="Stabilito!C17" display="Stabilito!C17" xr:uid="{00000000-0004-0000-0100-000000000000}"/>
  </hyperlinks>
  <printOptions horizontalCentered="1" verticalCentered="1"/>
  <pageMargins left="7.874015748031496E-2" right="7.874015748031496E-2" top="7.874015748031496E-2" bottom="7.874015748031496E-2" header="0" footer="0"/>
  <pageSetup paperSize="9" firstPageNumber="0" orientation="landscape" horizontalDpi="300" verticalDpi="300" r:id="rId1"/>
  <headerFooter alignWithMargins="0"/>
  <ignoredErrors>
    <ignoredError sqref="B126:B132 B138:B149 C149 C151 C136:C138 C140:C147 C124:C130" formula="1"/>
    <ignoredError sqref="H44:I44 H47 J44:M44" evalError="1"/>
    <ignoredError sqref="G103:G107" numberStoredAsText="1"/>
    <ignoredError sqref="D24" unlockedFormula="1"/>
  </ignoredErrors>
  <drawing r:id="rId2"/>
  <legacyDrawing r:id="rId3"/>
  <oleObjects>
    <mc:AlternateContent xmlns:mc="http://schemas.openxmlformats.org/markup-compatibility/2006">
      <mc:Choice Requires="x14">
        <oleObject progId="Equation.3" shapeId="1425294" r:id="rId4">
          <objectPr defaultSize="0" autoPict="0" r:id="rId5">
            <anchor moveWithCells="1">
              <from>
                <xdr:col>1</xdr:col>
                <xdr:colOff>22860</xdr:colOff>
                <xdr:row>93</xdr:row>
                <xdr:rowOff>76200</xdr:rowOff>
              </from>
              <to>
                <xdr:col>4</xdr:col>
                <xdr:colOff>68580</xdr:colOff>
                <xdr:row>99</xdr:row>
                <xdr:rowOff>91440</xdr:rowOff>
              </to>
            </anchor>
          </objectPr>
        </oleObject>
      </mc:Choice>
      <mc:Fallback>
        <oleObject progId="Equation.3" shapeId="1425294" r:id="rId4"/>
      </mc:Fallback>
    </mc:AlternateContent>
  </oleObjects>
  <mc:AlternateContent xmlns:mc="http://schemas.openxmlformats.org/markup-compatibility/2006">
    <mc:Choice Requires="x14">
      <controls>
        <mc:AlternateContent xmlns:mc="http://schemas.openxmlformats.org/markup-compatibility/2006">
          <mc:Choice Requires="x14">
            <control shapeId="1424424" r:id="rId6" name="Spinner 1064">
              <controlPr defaultSize="0" print="0" autoPict="0">
                <anchor moveWithCells="1" sizeWithCells="1">
                  <from>
                    <xdr:col>3</xdr:col>
                    <xdr:colOff>769620</xdr:colOff>
                    <xdr:row>9</xdr:row>
                    <xdr:rowOff>15240</xdr:rowOff>
                  </from>
                  <to>
                    <xdr:col>4</xdr:col>
                    <xdr:colOff>0</xdr:colOff>
                    <xdr:row>10</xdr:row>
                    <xdr:rowOff>0</xdr:rowOff>
                  </to>
                </anchor>
              </controlPr>
            </control>
          </mc:Choice>
        </mc:AlternateContent>
        <mc:AlternateContent xmlns:mc="http://schemas.openxmlformats.org/markup-compatibility/2006">
          <mc:Choice Requires="x14">
            <control shapeId="1424589" r:id="rId7" name="Spinner 1229">
              <controlPr defaultSize="0" print="0" autoPict="0">
                <anchor moveWithCells="1" sizeWithCells="1">
                  <from>
                    <xdr:col>1</xdr:col>
                    <xdr:colOff>1181100</xdr:colOff>
                    <xdr:row>42</xdr:row>
                    <xdr:rowOff>15240</xdr:rowOff>
                  </from>
                  <to>
                    <xdr:col>2</xdr:col>
                    <xdr:colOff>0</xdr:colOff>
                    <xdr:row>43</xdr:row>
                    <xdr:rowOff>0</xdr:rowOff>
                  </to>
                </anchor>
              </controlPr>
            </control>
          </mc:Choice>
        </mc:AlternateContent>
        <mc:AlternateContent xmlns:mc="http://schemas.openxmlformats.org/markup-compatibility/2006">
          <mc:Choice Requires="x14">
            <control shapeId="1424590" r:id="rId8" name="Spinner 1230">
              <controlPr defaultSize="0" print="0" autoPict="0">
                <anchor moveWithCells="1" sizeWithCells="1">
                  <from>
                    <xdr:col>1</xdr:col>
                    <xdr:colOff>1181100</xdr:colOff>
                    <xdr:row>44</xdr:row>
                    <xdr:rowOff>15240</xdr:rowOff>
                  </from>
                  <to>
                    <xdr:col>2</xdr:col>
                    <xdr:colOff>0</xdr:colOff>
                    <xdr:row>45</xdr:row>
                    <xdr:rowOff>0</xdr:rowOff>
                  </to>
                </anchor>
              </controlPr>
            </control>
          </mc:Choice>
        </mc:AlternateContent>
        <mc:AlternateContent xmlns:mc="http://schemas.openxmlformats.org/markup-compatibility/2006">
          <mc:Choice Requires="x14">
            <control shapeId="1424591" r:id="rId9" name="Spinner 1231">
              <controlPr defaultSize="0" print="0" autoPict="0">
                <anchor moveWithCells="1" sizeWithCells="1">
                  <from>
                    <xdr:col>1</xdr:col>
                    <xdr:colOff>1181100</xdr:colOff>
                    <xdr:row>50</xdr:row>
                    <xdr:rowOff>15240</xdr:rowOff>
                  </from>
                  <to>
                    <xdr:col>2</xdr:col>
                    <xdr:colOff>0</xdr:colOff>
                    <xdr:row>51</xdr:row>
                    <xdr:rowOff>0</xdr:rowOff>
                  </to>
                </anchor>
              </controlPr>
            </control>
          </mc:Choice>
        </mc:AlternateContent>
        <mc:AlternateContent xmlns:mc="http://schemas.openxmlformats.org/markup-compatibility/2006">
          <mc:Choice Requires="x14">
            <control shapeId="4779462" r:id="rId10" name="Spinner 4550">
              <controlPr defaultSize="0" print="0" autoPict="0">
                <anchor moveWithCells="1" sizeWithCells="1">
                  <from>
                    <xdr:col>1</xdr:col>
                    <xdr:colOff>1181100</xdr:colOff>
                    <xdr:row>52</xdr:row>
                    <xdr:rowOff>15240</xdr:rowOff>
                  </from>
                  <to>
                    <xdr:col>2</xdr:col>
                    <xdr:colOff>0</xdr:colOff>
                    <xdr:row>53</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pageSetUpPr fitToPage="1"/>
  </sheetPr>
  <dimension ref="B75:B146"/>
  <sheetViews>
    <sheetView showGridLines="0" zoomScaleNormal="100" workbookViewId="0"/>
  </sheetViews>
  <sheetFormatPr baseColWidth="10" defaultRowHeight="13.2" x14ac:dyDescent="0.25"/>
  <sheetData>
    <row r="75" spans="2:2" x14ac:dyDescent="0.25">
      <c r="B75" t="s">
        <v>44</v>
      </c>
    </row>
    <row r="76" spans="2:2" x14ac:dyDescent="0.25">
      <c r="B76" t="str">
        <f>IF(Lang="Français","Ces courbes représentent la trajectoire de la fusée dans l'hypothèse d'une descente balistique (sans ouverture du parachute). ","These curves show the rocket trajectory in case of ballistic fall (without parachute).")</f>
        <v xml:space="preserve">Ces courbes représentent la trajectoire de la fusée dans l'hypothèse d'une descente balistique (sans ouverture du parachute). </v>
      </c>
    </row>
    <row r="77" spans="2:2" x14ac:dyDescent="0.25">
      <c r="B77" t="str">
        <f>IF(Lang="Français","L'accélération longitudinale gravitationnelle définit le mouvement (dérivée de la vitesse) : Acc = (Poussee - Traînée ± Poids) / m",IF(Lang="English","Longitudinal Gravitaionnal Acceleration defines the motion (velocity derivative) : Acc = (Thrust - Drag ± Weight)/m",""))</f>
        <v>L'accélération longitudinale gravitationnelle définit le mouvement (dérivée de la vitesse) : Acc = (Poussee - Traînée ± Poids) / m</v>
      </c>
    </row>
    <row r="78" spans="2:2" x14ac:dyDescent="0.25">
      <c r="B78" t="str">
        <f>IF(Lang="Français","La charge ''non-gravitationnelle'' vue par un capteur d'accélération (masse-ressort) est : Charge = (Poussée - Traînée) / m",IF(Lang="English","''Non-Gravitaionnal'' Load seen by an acceleration sensor (mass-spring) is : Load = (Thrust - Drag) / m",""))</f>
        <v>La charge ''non-gravitationnelle'' vue par un capteur d'accélération (masse-ressort) est : Charge = (Poussée - Traînée) / m</v>
      </c>
    </row>
    <row r="79" spans="2:2" x14ac:dyDescent="0.25">
      <c r="B79" t="str">
        <f>IF(Lang="Français","Exemples : Si Poussée = Poids, Vitesse constante, Acc nulle, Charge = 1G ; En chute libre, Acc = -1G, Charge = 0",IF(Lang="English","",""))</f>
        <v>Exemples : Si Poussée = Poids, Vitesse constante, Acc nulle, Charge = 1G ; En chute libre, Acc = -1G, Charge = 0</v>
      </c>
    </row>
    <row r="131" spans="2:2" x14ac:dyDescent="0.25">
      <c r="B131" s="35" t="str">
        <f>IF(Lang="Français","Textes pour les graphiques :","Texts for graphics :")</f>
        <v>Textes pour les graphiques :</v>
      </c>
    </row>
    <row r="133" spans="2:2" x14ac:dyDescent="0.25">
      <c r="B133" t="str">
        <f>IF(Lang="Français","Traînée",IF(Lang="English","Drag",""))</f>
        <v>Traînée</v>
      </c>
    </row>
    <row r="134" spans="2:2" x14ac:dyDescent="0.25">
      <c r="B134" t="str">
        <f>IF(Lang="Français","Poussée",IF(Lang="English","Thrust",""))</f>
        <v>Poussée</v>
      </c>
    </row>
    <row r="135" spans="2:2" x14ac:dyDescent="0.25">
      <c r="B135" t="str">
        <f>IF(Lang="Français","Poids",IF(Lang="English","Weight",""))</f>
        <v>Poids</v>
      </c>
    </row>
    <row r="137" spans="2:2" x14ac:dyDescent="0.25">
      <c r="B137" t="str">
        <f>IF(Lang="Français","Accélération longitudinale",IF(Lang="English","Longitudinal Acceleration",""))</f>
        <v>Accélération longitudinale</v>
      </c>
    </row>
    <row r="138" spans="2:2" x14ac:dyDescent="0.25">
      <c r="B138" t="str">
        <f>IF(Lang="Français","Charge vue par un capteur",IF(Lang="English","Load seen by a sensor",""))</f>
        <v>Charge vue par un capteur</v>
      </c>
    </row>
    <row r="140" spans="2:2" x14ac:dyDescent="0.25">
      <c r="B140" t="str">
        <f>IF(Lang="Français","Vitesse",IF(Lang="English","Velocity",""))</f>
        <v>Vitesse</v>
      </c>
    </row>
    <row r="141" spans="2:2" x14ac:dyDescent="0.25">
      <c r="B141" t="str">
        <f>IF(Lang="Français","Vitesse [m/s]",IF(Lang="English","Velocity [m/s]",""))</f>
        <v>Vitesse [m/s]</v>
      </c>
    </row>
    <row r="143" spans="2:2" x14ac:dyDescent="0.25">
      <c r="B143" t="s">
        <v>6</v>
      </c>
    </row>
    <row r="144" spans="2:2" x14ac:dyDescent="0.25">
      <c r="B144" t="str">
        <f>IF(Lang="Français","Portée",IF(Lang="English","Range",""))</f>
        <v>Portée</v>
      </c>
    </row>
    <row r="146" spans="2:2" x14ac:dyDescent="0.25">
      <c r="B146" t="str">
        <f>IF(Lang="Français","Temps [s]",IF(Lang="English","Time [s]",""))</f>
        <v>Temps [s]</v>
      </c>
    </row>
  </sheetData>
  <sheetProtection password="C6AC" sheet="1"/>
  <phoneticPr fontId="8" type="noConversion"/>
  <printOptions horizontalCentered="1" verticalCentered="1"/>
  <pageMargins left="0.39370078740157483" right="0.39370078740157483" top="0.39370078740157483" bottom="0.39370078740157483" header="0" footer="0"/>
  <pageSetup scale="76" firstPageNumber="0" orientation="portrait" horizontalDpi="300" verticalDpi="3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5">
    <pageSetUpPr fitToPage="1"/>
  </sheetPr>
  <dimension ref="A1:Z346"/>
  <sheetViews>
    <sheetView showGridLines="0" zoomScale="80" zoomScaleNormal="80" workbookViewId="0">
      <selection activeCell="K6" sqref="K6"/>
    </sheetView>
  </sheetViews>
  <sheetFormatPr baseColWidth="10" defaultRowHeight="13.2" x14ac:dyDescent="0.25"/>
  <cols>
    <col min="1" max="1" width="22.6640625" bestFit="1" customWidth="1"/>
  </cols>
  <sheetData>
    <row r="1" spans="1:26" ht="13.8" thickBot="1" x14ac:dyDescent="0.3">
      <c r="A1" s="417" t="str">
        <f>IF(Lang="Français","Moteur sélectionné","Selected motor")</f>
        <v>Moteur sélectionné</v>
      </c>
      <c r="B1" s="417" t="s">
        <v>32</v>
      </c>
    </row>
    <row r="2" spans="1:26" ht="13.8" thickBot="1" x14ac:dyDescent="0.3">
      <c r="A2" s="407" t="str">
        <f>Propu</f>
        <v>Orignal (Pro75-3G C)</v>
      </c>
      <c r="B2" s="407">
        <f>VLOOKUP(A2,A26:B314,2,FALSE)</f>
        <v>289</v>
      </c>
      <c r="C2" s="418" t="s">
        <v>116</v>
      </c>
      <c r="D2" s="408">
        <f ca="1">INDIRECT(ADDRESS(B2,4))</f>
        <v>3739.0284999999994</v>
      </c>
      <c r="E2" s="418" t="s">
        <v>115</v>
      </c>
      <c r="F2" s="409">
        <f ca="1">INDIRECT(ADDRESS(B2,6))</f>
        <v>203.4941790441234</v>
      </c>
      <c r="G2" s="418" t="s">
        <v>57</v>
      </c>
      <c r="H2" s="410">
        <f ca="1">INDIRECT(ADDRESS(B2,8))</f>
        <v>3.5110000000000001</v>
      </c>
      <c r="I2" s="418" t="s">
        <v>274</v>
      </c>
      <c r="J2" s="411">
        <f ca="1">INDIRECT(ADDRESS(B2,10))</f>
        <v>1.8730000000000002</v>
      </c>
      <c r="K2" s="418" t="s">
        <v>59</v>
      </c>
      <c r="L2" s="410">
        <f ca="1">INDIRECT(ADDRESS(B2,12))</f>
        <v>1.6379999999999999</v>
      </c>
      <c r="M2" s="418" t="s">
        <v>58</v>
      </c>
      <c r="N2" s="412">
        <f ca="1">INDIRECT(ADDRESS(B2,14))</f>
        <v>243</v>
      </c>
      <c r="O2" s="418" t="s">
        <v>60</v>
      </c>
      <c r="P2" s="412">
        <f ca="1">INDIRECT(ADDRESS(B2,16))</f>
        <v>243</v>
      </c>
      <c r="Q2" s="418" t="s">
        <v>61</v>
      </c>
      <c r="R2" s="412">
        <f ca="1">INDIRECT(ADDRESS(B2,18))</f>
        <v>486</v>
      </c>
      <c r="S2" s="418" t="s">
        <v>62</v>
      </c>
      <c r="T2" s="412">
        <f ca="1">INDIRECT(ADDRESS(B2,20))</f>
        <v>75</v>
      </c>
      <c r="U2" s="418" t="s">
        <v>55</v>
      </c>
      <c r="V2" s="413" t="str">
        <f ca="1">INDIRECT(ADDRESS(B2,22))</f>
        <v>Fusex</v>
      </c>
      <c r="W2" s="547" t="s">
        <v>396</v>
      </c>
      <c r="X2" s="548">
        <f ca="1">INDIRECT(ADDRESS(B2,24))</f>
        <v>0</v>
      </c>
      <c r="Y2" s="547" t="s">
        <v>395</v>
      </c>
      <c r="Z2" s="413">
        <f ca="1">INDIRECT(ADDRESS(B2,26))</f>
        <v>0</v>
      </c>
    </row>
    <row r="3" spans="1:26" x14ac:dyDescent="0.25">
      <c r="A3" s="417" t="str">
        <f>IF(Lang="Français","Temps (en s)","Time (s)")</f>
        <v>Temps (en s)</v>
      </c>
      <c r="B3" s="419">
        <f t="shared" ref="B3:Y3" ca="1" si="0">INDIRECT(ADDRESS($B2+1,COLUMN(B3)))</f>
        <v>0</v>
      </c>
      <c r="C3" s="420">
        <f t="shared" ca="1" si="0"/>
        <v>0.01</v>
      </c>
      <c r="D3" s="420">
        <f t="shared" ca="1" si="0"/>
        <v>0.1</v>
      </c>
      <c r="E3" s="420">
        <f t="shared" ca="1" si="0"/>
        <v>0.12</v>
      </c>
      <c r="F3" s="420">
        <f t="shared" ca="1" si="0"/>
        <v>0.26</v>
      </c>
      <c r="G3" s="420">
        <f t="shared" ca="1" si="0"/>
        <v>0.71</v>
      </c>
      <c r="H3" s="420">
        <f t="shared" ca="1" si="0"/>
        <v>1.28</v>
      </c>
      <c r="I3" s="420">
        <f t="shared" ca="1" si="0"/>
        <v>2.0499999999999998</v>
      </c>
      <c r="J3" s="420">
        <f t="shared" ca="1" si="0"/>
        <v>2.41</v>
      </c>
      <c r="K3" s="420">
        <f t="shared" ca="1" si="0"/>
        <v>2.83</v>
      </c>
      <c r="L3" s="420">
        <f t="shared" ca="1" si="0"/>
        <v>3.25</v>
      </c>
      <c r="M3" s="420">
        <f t="shared" ca="1" si="0"/>
        <v>3.65</v>
      </c>
      <c r="N3" s="420">
        <f t="shared" ca="1" si="0"/>
        <v>3.8</v>
      </c>
      <c r="O3" s="420">
        <f t="shared" ca="1" si="0"/>
        <v>4</v>
      </c>
      <c r="P3" s="420">
        <f t="shared" ca="1" si="0"/>
        <v>4.0999999999999996</v>
      </c>
      <c r="Q3" s="420">
        <f t="shared" ca="1" si="0"/>
        <v>4.1900000000000004</v>
      </c>
      <c r="R3" s="420">
        <f t="shared" ca="1" si="0"/>
        <v>4.3099999999999996</v>
      </c>
      <c r="S3" s="420">
        <f t="shared" ca="1" si="0"/>
        <v>4.41</v>
      </c>
      <c r="T3" s="420">
        <f t="shared" ca="1" si="0"/>
        <v>4.5199999999999996</v>
      </c>
      <c r="U3" s="420">
        <f t="shared" ca="1" si="0"/>
        <v>4.5999999999999996</v>
      </c>
      <c r="V3" s="420">
        <f t="shared" ca="1" si="0"/>
        <v>4.6500000000000004</v>
      </c>
      <c r="W3" s="420">
        <f t="shared" ca="1" si="0"/>
        <v>4.67</v>
      </c>
      <c r="X3" s="420">
        <f ca="1">INDIRECT(ADDRESS($B2+1,COLUMN(X3)))</f>
        <v>4.68</v>
      </c>
      <c r="Y3" s="421">
        <f t="shared" ca="1" si="0"/>
        <v>1000</v>
      </c>
    </row>
    <row r="4" spans="1:26" ht="13.8" thickBot="1" x14ac:dyDescent="0.3">
      <c r="A4" s="435" t="str">
        <f>IF(Lang="Français","Poussée (en N)","Thrust (N)")</f>
        <v>Poussée (en N)</v>
      </c>
      <c r="B4" s="422">
        <f t="shared" ref="B4:Y4" ca="1" si="1">INDIRECT(ADDRESS($B2+2,COLUMN(B3)))</f>
        <v>27</v>
      </c>
      <c r="C4" s="423">
        <f t="shared" ca="1" si="1"/>
        <v>402.4</v>
      </c>
      <c r="D4" s="423">
        <f t="shared" ca="1" si="1"/>
        <v>1286</v>
      </c>
      <c r="E4" s="423">
        <f t="shared" ca="1" si="1"/>
        <v>1257</v>
      </c>
      <c r="F4" s="423">
        <f t="shared" ca="1" si="1"/>
        <v>1042</v>
      </c>
      <c r="G4" s="423">
        <f t="shared" ca="1" si="1"/>
        <v>1027</v>
      </c>
      <c r="H4" s="423">
        <f t="shared" ca="1" si="1"/>
        <v>998.4</v>
      </c>
      <c r="I4" s="423">
        <f t="shared" ca="1" si="1"/>
        <v>901.4</v>
      </c>
      <c r="J4" s="423">
        <f t="shared" ca="1" si="1"/>
        <v>849.6</v>
      </c>
      <c r="K4" s="423">
        <f t="shared" ca="1" si="1"/>
        <v>763.5</v>
      </c>
      <c r="L4" s="423">
        <f t="shared" ca="1" si="1"/>
        <v>707.1</v>
      </c>
      <c r="M4" s="423">
        <f t="shared" ca="1" si="1"/>
        <v>655.1</v>
      </c>
      <c r="N4" s="423">
        <f t="shared" ca="1" si="1"/>
        <v>651.70000000000005</v>
      </c>
      <c r="O4" s="423">
        <f t="shared" ca="1" si="1"/>
        <v>624.1</v>
      </c>
      <c r="P4" s="423">
        <f t="shared" ca="1" si="1"/>
        <v>601.29999999999995</v>
      </c>
      <c r="Q4" s="423">
        <f t="shared" ca="1" si="1"/>
        <v>536.20000000000005</v>
      </c>
      <c r="R4" s="423">
        <f t="shared" ca="1" si="1"/>
        <v>415.7</v>
      </c>
      <c r="S4" s="423">
        <f t="shared" ca="1" si="1"/>
        <v>270.2</v>
      </c>
      <c r="T4" s="423">
        <f t="shared" ca="1" si="1"/>
        <v>140.19999999999999</v>
      </c>
      <c r="U4" s="423">
        <f t="shared" ca="1" si="1"/>
        <v>76.900000000000006</v>
      </c>
      <c r="V4" s="423">
        <f t="shared" ca="1" si="1"/>
        <v>54.9</v>
      </c>
      <c r="W4" s="423">
        <f t="shared" ca="1" si="1"/>
        <v>40.200000000000003</v>
      </c>
      <c r="X4" s="423">
        <f ca="1">INDIRECT(ADDRESS($B2+2,COLUMN(X3)))</f>
        <v>0</v>
      </c>
      <c r="Y4" s="424">
        <f t="shared" ca="1" si="1"/>
        <v>0</v>
      </c>
    </row>
    <row r="5" spans="1:26" x14ac:dyDescent="0.25">
      <c r="B5" s="17"/>
      <c r="C5" s="17"/>
      <c r="D5" s="17"/>
      <c r="E5" s="17"/>
      <c r="F5" s="17"/>
      <c r="G5" s="17"/>
      <c r="H5" s="17"/>
      <c r="I5" s="17"/>
      <c r="J5" s="17"/>
      <c r="K5" s="17"/>
      <c r="L5" s="17"/>
      <c r="M5" s="17"/>
      <c r="N5" s="17"/>
      <c r="O5" s="17"/>
      <c r="P5" s="17"/>
      <c r="Q5" s="17"/>
      <c r="R5" s="17"/>
      <c r="S5" s="17"/>
      <c r="T5" s="17"/>
      <c r="U5" s="17"/>
      <c r="V5" s="17"/>
      <c r="W5" s="17"/>
      <c r="X5" s="17"/>
      <c r="Y5" s="17"/>
    </row>
    <row r="6" spans="1:26" x14ac:dyDescent="0.25">
      <c r="B6" s="17"/>
      <c r="C6" s="17"/>
      <c r="D6" s="17"/>
      <c r="E6" s="17"/>
      <c r="F6" s="17"/>
      <c r="G6" s="17"/>
      <c r="H6" s="17"/>
      <c r="I6" s="17"/>
      <c r="J6" s="17"/>
      <c r="K6" s="17"/>
      <c r="L6" s="17"/>
      <c r="M6" s="17"/>
      <c r="N6" s="17"/>
      <c r="O6" s="17"/>
      <c r="P6" s="17"/>
      <c r="Q6" s="17"/>
      <c r="R6" s="17"/>
      <c r="S6" s="17"/>
      <c r="T6" s="17"/>
      <c r="U6" s="17"/>
      <c r="V6" s="17"/>
      <c r="W6" s="17"/>
      <c r="X6" s="17"/>
      <c r="Y6" s="17"/>
    </row>
    <row r="7" spans="1:26" x14ac:dyDescent="0.25">
      <c r="B7" s="17"/>
      <c r="C7" s="17"/>
      <c r="D7" s="17"/>
      <c r="E7" s="17"/>
      <c r="F7" s="17"/>
      <c r="G7" s="17"/>
      <c r="H7" s="17"/>
      <c r="I7" s="17"/>
      <c r="J7" s="17"/>
      <c r="K7" s="17"/>
      <c r="L7" s="17"/>
      <c r="M7" s="17"/>
    </row>
    <row r="8" spans="1:26" x14ac:dyDescent="0.25">
      <c r="B8" s="17"/>
      <c r="C8" s="17"/>
      <c r="D8" s="17"/>
      <c r="E8" s="17"/>
      <c r="F8" s="17"/>
      <c r="G8" s="17"/>
      <c r="H8" s="17"/>
      <c r="I8" s="17"/>
      <c r="J8" s="17"/>
      <c r="K8" s="17"/>
      <c r="L8" s="17"/>
      <c r="M8" s="17"/>
    </row>
    <row r="9" spans="1:26" x14ac:dyDescent="0.25">
      <c r="B9" s="17"/>
      <c r="C9" s="17"/>
      <c r="D9" s="17"/>
      <c r="E9" s="17"/>
      <c r="F9" s="17"/>
      <c r="G9" s="17"/>
      <c r="H9" s="17"/>
      <c r="I9" s="17"/>
      <c r="J9" s="17"/>
      <c r="K9" s="17"/>
      <c r="L9" s="17"/>
      <c r="M9" s="17"/>
    </row>
    <row r="10" spans="1:26" x14ac:dyDescent="0.25">
      <c r="B10" s="17"/>
      <c r="C10" s="17"/>
      <c r="D10" s="17"/>
      <c r="E10" s="17"/>
      <c r="F10" s="17"/>
      <c r="G10" s="17"/>
      <c r="H10" s="17"/>
      <c r="I10" s="17"/>
      <c r="J10" s="17"/>
    </row>
    <row r="11" spans="1:26" x14ac:dyDescent="0.25">
      <c r="B11" s="17"/>
      <c r="C11" s="17"/>
      <c r="D11" s="17"/>
      <c r="E11" s="17"/>
      <c r="F11" s="17"/>
      <c r="G11" s="17"/>
      <c r="H11" s="17"/>
      <c r="I11" s="17"/>
      <c r="J11" s="17"/>
    </row>
    <row r="12" spans="1:26" x14ac:dyDescent="0.25">
      <c r="B12" s="17"/>
      <c r="C12" s="17"/>
      <c r="D12" s="17"/>
      <c r="E12" s="17"/>
      <c r="F12" s="17"/>
      <c r="G12" s="17"/>
      <c r="H12" s="17"/>
      <c r="I12" s="17"/>
      <c r="J12" s="17"/>
    </row>
    <row r="13" spans="1:26" x14ac:dyDescent="0.25">
      <c r="B13" s="17"/>
      <c r="C13" s="17"/>
      <c r="D13" s="17"/>
      <c r="E13" s="17"/>
      <c r="F13" s="17"/>
      <c r="G13" s="17"/>
      <c r="H13" s="17"/>
      <c r="I13" s="17"/>
      <c r="J13" s="17"/>
    </row>
    <row r="14" spans="1:26" x14ac:dyDescent="0.25">
      <c r="B14" s="17"/>
      <c r="C14" s="17"/>
      <c r="D14" s="17"/>
      <c r="E14" s="17"/>
      <c r="F14" s="17"/>
      <c r="G14" s="17"/>
      <c r="H14" s="17"/>
      <c r="I14" s="17"/>
      <c r="J14" s="17"/>
    </row>
    <row r="15" spans="1:26" x14ac:dyDescent="0.25">
      <c r="B15" s="17"/>
      <c r="C15" s="17"/>
      <c r="D15" s="17"/>
      <c r="E15" s="17"/>
      <c r="F15" s="17"/>
      <c r="G15" s="17"/>
      <c r="H15" s="17"/>
      <c r="I15" s="17"/>
      <c r="J15" s="17"/>
      <c r="K15" s="17"/>
      <c r="L15" s="17"/>
      <c r="M15" s="17"/>
    </row>
    <row r="16" spans="1:26" x14ac:dyDescent="0.25">
      <c r="B16" s="17"/>
      <c r="C16" s="17"/>
      <c r="D16" s="17"/>
      <c r="E16" s="17"/>
      <c r="F16" s="17"/>
      <c r="G16" s="17"/>
      <c r="H16" s="17"/>
      <c r="I16" s="17"/>
      <c r="J16" s="17"/>
      <c r="K16" s="17"/>
      <c r="L16" s="17"/>
      <c r="M16" s="17"/>
    </row>
    <row r="17" spans="1:25" x14ac:dyDescent="0.25">
      <c r="B17" s="17"/>
      <c r="C17" s="17"/>
      <c r="D17" s="17"/>
      <c r="E17" s="17"/>
      <c r="F17" s="17"/>
      <c r="G17" s="17"/>
      <c r="H17" s="17"/>
      <c r="I17" s="17"/>
      <c r="J17" s="17"/>
      <c r="K17" s="17"/>
      <c r="L17" s="17"/>
      <c r="M17" s="17"/>
    </row>
    <row r="18" spans="1:25" x14ac:dyDescent="0.25">
      <c r="B18" s="17"/>
      <c r="C18" s="17"/>
      <c r="D18" s="17"/>
      <c r="E18" s="17"/>
      <c r="F18" s="17"/>
      <c r="G18" s="17"/>
      <c r="H18" s="17"/>
      <c r="I18" s="17"/>
      <c r="J18" s="17"/>
      <c r="K18" s="17"/>
      <c r="L18" s="17"/>
      <c r="M18" s="17"/>
      <c r="N18" s="17"/>
      <c r="O18" s="17"/>
      <c r="P18" s="17"/>
      <c r="Q18" s="17"/>
      <c r="R18" s="17"/>
      <c r="S18" s="17"/>
      <c r="T18" s="17"/>
      <c r="U18" s="17"/>
      <c r="V18" s="17"/>
      <c r="W18" s="17"/>
      <c r="X18" s="17"/>
      <c r="Y18" s="17"/>
    </row>
    <row r="19" spans="1:25" x14ac:dyDescent="0.25">
      <c r="B19" s="17"/>
      <c r="C19" s="17"/>
      <c r="D19" s="17"/>
      <c r="E19" s="17"/>
      <c r="F19" s="17"/>
      <c r="G19" s="17"/>
      <c r="H19" s="17"/>
      <c r="I19" s="17"/>
      <c r="J19" s="17"/>
      <c r="K19" s="17"/>
      <c r="L19" s="17"/>
      <c r="M19" s="17"/>
      <c r="N19" s="17"/>
      <c r="O19" s="17"/>
      <c r="P19" s="17"/>
      <c r="Q19" s="17"/>
      <c r="R19" s="17"/>
      <c r="S19" s="17"/>
      <c r="T19" s="17"/>
      <c r="U19" s="17"/>
      <c r="V19" s="17"/>
      <c r="W19" s="17"/>
      <c r="X19" s="17"/>
      <c r="Y19" s="17"/>
    </row>
    <row r="20" spans="1:25" x14ac:dyDescent="0.25">
      <c r="B20" s="17"/>
      <c r="C20" s="17"/>
      <c r="D20" s="17"/>
      <c r="E20" s="17"/>
      <c r="F20" s="17"/>
      <c r="G20" s="17"/>
      <c r="H20" s="17"/>
      <c r="I20" s="17"/>
      <c r="J20" s="17"/>
      <c r="K20" s="17"/>
      <c r="L20" s="17"/>
      <c r="M20" s="17"/>
      <c r="N20" s="17"/>
      <c r="O20" s="17"/>
      <c r="P20" s="17"/>
      <c r="Q20" s="17"/>
      <c r="R20" s="17"/>
      <c r="S20" s="17"/>
      <c r="T20" s="17"/>
      <c r="U20" s="17"/>
      <c r="V20" s="17"/>
      <c r="W20" s="17"/>
      <c r="X20" s="17"/>
      <c r="Y20" s="17"/>
    </row>
    <row r="21" spans="1:25" x14ac:dyDescent="0.25">
      <c r="B21" s="17"/>
      <c r="C21" s="17"/>
      <c r="D21" s="17"/>
      <c r="E21" s="17"/>
      <c r="F21" s="17"/>
      <c r="G21" s="17"/>
      <c r="H21" s="17"/>
      <c r="I21" s="17"/>
      <c r="J21" s="17"/>
      <c r="K21" s="17"/>
      <c r="L21" s="17"/>
      <c r="M21" s="17"/>
      <c r="N21" s="17"/>
      <c r="O21" s="17"/>
      <c r="P21" s="17"/>
      <c r="Q21" s="17"/>
      <c r="R21" s="17"/>
      <c r="S21" s="17"/>
      <c r="T21" s="17"/>
      <c r="U21" s="17"/>
      <c r="V21" s="17"/>
      <c r="W21" s="17"/>
      <c r="X21" s="17"/>
      <c r="Y21" s="17"/>
    </row>
    <row r="22" spans="1:25" x14ac:dyDescent="0.25">
      <c r="B22" s="17"/>
      <c r="C22" s="17"/>
      <c r="D22" s="17"/>
      <c r="E22" s="17"/>
      <c r="F22" s="17"/>
      <c r="G22" s="17"/>
      <c r="H22" s="17"/>
      <c r="I22" s="17"/>
      <c r="J22" s="17"/>
      <c r="K22" s="17"/>
      <c r="L22" s="17"/>
      <c r="M22" s="17"/>
      <c r="N22" s="17"/>
      <c r="O22" s="17"/>
      <c r="P22" s="17"/>
      <c r="Q22" s="17"/>
      <c r="R22" s="17"/>
      <c r="S22" s="17"/>
      <c r="T22" s="17"/>
      <c r="U22" s="17"/>
      <c r="V22" s="17"/>
      <c r="W22" s="17"/>
      <c r="X22" s="17"/>
      <c r="Y22" s="17"/>
    </row>
    <row r="23" spans="1:25" x14ac:dyDescent="0.25">
      <c r="B23" s="17"/>
      <c r="C23" s="17"/>
      <c r="D23" s="17"/>
      <c r="E23" s="17"/>
      <c r="F23" s="17"/>
      <c r="G23" s="17"/>
      <c r="H23" s="17"/>
      <c r="I23" s="17"/>
      <c r="J23" s="17"/>
      <c r="K23" s="17"/>
      <c r="L23" s="17"/>
      <c r="M23" s="17"/>
      <c r="N23" s="17"/>
      <c r="O23" s="17"/>
      <c r="P23" s="17"/>
      <c r="Q23" s="17"/>
      <c r="R23" s="17"/>
      <c r="S23" s="17"/>
      <c r="T23" s="17"/>
      <c r="U23" s="17"/>
      <c r="V23" s="17"/>
      <c r="W23" s="17"/>
      <c r="X23" s="17"/>
      <c r="Y23" s="17"/>
    </row>
    <row r="25" spans="1:25" ht="13.8" thickBot="1" x14ac:dyDescent="0.3">
      <c r="A25" s="492" t="s">
        <v>277</v>
      </c>
    </row>
    <row r="26" spans="1:25" ht="13.8" thickBot="1" x14ac:dyDescent="0.3">
      <c r="A26" s="416" t="s">
        <v>310</v>
      </c>
      <c r="B26" s="414">
        <f>ROW(A26)</f>
        <v>26</v>
      </c>
      <c r="C26" s="418" t="s">
        <v>116</v>
      </c>
      <c r="D26" s="408">
        <f>SUM(B29:Y29)</f>
        <v>9.8449999999999989</v>
      </c>
      <c r="E26" s="418" t="s">
        <v>115</v>
      </c>
      <c r="F26" s="460">
        <f>D26/g/J26</f>
        <v>3.3452259599048584</v>
      </c>
      <c r="G26" s="418" t="s">
        <v>57</v>
      </c>
      <c r="H26" s="86">
        <v>0.3</v>
      </c>
      <c r="I26" s="418" t="s">
        <v>272</v>
      </c>
      <c r="J26" s="410">
        <f>H26-L26</f>
        <v>0.3</v>
      </c>
      <c r="K26" s="418" t="s">
        <v>273</v>
      </c>
      <c r="L26" s="86">
        <v>0</v>
      </c>
      <c r="M26" s="418" t="s">
        <v>58</v>
      </c>
      <c r="N26" s="87">
        <f>0.2*R26</f>
        <v>60</v>
      </c>
      <c r="O26" s="418" t="s">
        <v>60</v>
      </c>
      <c r="P26" s="87">
        <v>150</v>
      </c>
      <c r="Q26" s="418" t="s">
        <v>61</v>
      </c>
      <c r="R26" s="87">
        <v>300</v>
      </c>
      <c r="S26" s="418" t="s">
        <v>62</v>
      </c>
      <c r="T26" s="87">
        <v>90</v>
      </c>
      <c r="U26" s="418" t="s">
        <v>55</v>
      </c>
      <c r="V26" s="88" t="s">
        <v>277</v>
      </c>
      <c r="W26" s="17"/>
      <c r="X26" s="17"/>
      <c r="Y26" s="17"/>
    </row>
    <row r="27" spans="1:25" x14ac:dyDescent="0.25">
      <c r="A27" s="417" t="s">
        <v>33</v>
      </c>
      <c r="B27" s="425">
        <v>0</v>
      </c>
      <c r="C27" s="426">
        <v>1E-3</v>
      </c>
      <c r="D27" s="426">
        <v>0.02</v>
      </c>
      <c r="E27" s="426">
        <v>3.7999999999999999E-2</v>
      </c>
      <c r="F27" s="426">
        <v>0.04</v>
      </c>
      <c r="G27" s="426">
        <v>0.04</v>
      </c>
      <c r="H27" s="426">
        <v>0.04</v>
      </c>
      <c r="I27" s="426">
        <v>0.04</v>
      </c>
      <c r="J27" s="426">
        <v>0.04</v>
      </c>
      <c r="K27" s="426">
        <v>0.04</v>
      </c>
      <c r="L27" s="426">
        <v>0.04</v>
      </c>
      <c r="M27" s="426">
        <v>0.04</v>
      </c>
      <c r="N27" s="426">
        <v>0.04</v>
      </c>
      <c r="O27" s="426">
        <v>0.04</v>
      </c>
      <c r="P27" s="426">
        <v>0.04</v>
      </c>
      <c r="Q27" s="426">
        <v>0.04</v>
      </c>
      <c r="R27" s="426">
        <v>0.04</v>
      </c>
      <c r="S27" s="426">
        <v>0.04</v>
      </c>
      <c r="T27" s="426">
        <v>0.04</v>
      </c>
      <c r="U27" s="426">
        <v>0.04</v>
      </c>
      <c r="V27" s="426">
        <v>0.04</v>
      </c>
      <c r="W27" s="426">
        <v>0.04</v>
      </c>
      <c r="X27" s="426">
        <v>0.04</v>
      </c>
      <c r="Y27" s="437">
        <v>1000</v>
      </c>
    </row>
    <row r="28" spans="1:25" x14ac:dyDescent="0.25">
      <c r="A28" s="434" t="s">
        <v>34</v>
      </c>
      <c r="B28" s="427">
        <v>0</v>
      </c>
      <c r="C28" s="428">
        <v>310</v>
      </c>
      <c r="D28" s="428">
        <v>250</v>
      </c>
      <c r="E28" s="428">
        <v>212</v>
      </c>
      <c r="F28" s="428">
        <v>0</v>
      </c>
      <c r="G28" s="428">
        <v>0</v>
      </c>
      <c r="H28" s="428">
        <v>0</v>
      </c>
      <c r="I28" s="428">
        <v>0</v>
      </c>
      <c r="J28" s="428">
        <v>0</v>
      </c>
      <c r="K28" s="428">
        <v>0</v>
      </c>
      <c r="L28" s="428">
        <v>0</v>
      </c>
      <c r="M28" s="428">
        <v>0</v>
      </c>
      <c r="N28" s="428">
        <v>0</v>
      </c>
      <c r="O28" s="428">
        <v>0</v>
      </c>
      <c r="P28" s="428">
        <v>0</v>
      </c>
      <c r="Q28" s="428">
        <v>0</v>
      </c>
      <c r="R28" s="428">
        <v>0</v>
      </c>
      <c r="S28" s="428">
        <v>0</v>
      </c>
      <c r="T28" s="428">
        <v>0</v>
      </c>
      <c r="U28" s="428">
        <v>0</v>
      </c>
      <c r="V28" s="428">
        <v>0</v>
      </c>
      <c r="W28" s="428">
        <v>0</v>
      </c>
      <c r="X28" s="428">
        <v>0</v>
      </c>
      <c r="Y28" s="438">
        <v>0</v>
      </c>
    </row>
    <row r="29" spans="1:25" ht="13.8" thickBot="1" x14ac:dyDescent="0.3">
      <c r="A29" s="435" t="s">
        <v>117</v>
      </c>
      <c r="B29" s="429">
        <f t="shared" ref="B29:X29" si="2">(C28+B28)*(C27-B27)/2</f>
        <v>0.155</v>
      </c>
      <c r="C29" s="430">
        <f t="shared" si="2"/>
        <v>5.32</v>
      </c>
      <c r="D29" s="430">
        <f t="shared" si="2"/>
        <v>4.1579999999999995</v>
      </c>
      <c r="E29" s="430">
        <f t="shared" si="2"/>
        <v>0.21200000000000019</v>
      </c>
      <c r="F29" s="430">
        <f t="shared" si="2"/>
        <v>0</v>
      </c>
      <c r="G29" s="430">
        <f t="shared" si="2"/>
        <v>0</v>
      </c>
      <c r="H29" s="430">
        <f t="shared" si="2"/>
        <v>0</v>
      </c>
      <c r="I29" s="430">
        <f t="shared" si="2"/>
        <v>0</v>
      </c>
      <c r="J29" s="430">
        <f t="shared" si="2"/>
        <v>0</v>
      </c>
      <c r="K29" s="430">
        <f t="shared" si="2"/>
        <v>0</v>
      </c>
      <c r="L29" s="430">
        <f t="shared" si="2"/>
        <v>0</v>
      </c>
      <c r="M29" s="430">
        <f t="shared" si="2"/>
        <v>0</v>
      </c>
      <c r="N29" s="430">
        <f t="shared" si="2"/>
        <v>0</v>
      </c>
      <c r="O29" s="430">
        <f t="shared" si="2"/>
        <v>0</v>
      </c>
      <c r="P29" s="430">
        <f t="shared" si="2"/>
        <v>0</v>
      </c>
      <c r="Q29" s="430">
        <f t="shared" si="2"/>
        <v>0</v>
      </c>
      <c r="R29" s="430">
        <f t="shared" si="2"/>
        <v>0</v>
      </c>
      <c r="S29" s="430">
        <f t="shared" si="2"/>
        <v>0</v>
      </c>
      <c r="T29" s="430">
        <f t="shared" si="2"/>
        <v>0</v>
      </c>
      <c r="U29" s="430">
        <f t="shared" si="2"/>
        <v>0</v>
      </c>
      <c r="V29" s="430">
        <f t="shared" si="2"/>
        <v>0</v>
      </c>
      <c r="W29" s="430">
        <f t="shared" si="2"/>
        <v>0</v>
      </c>
      <c r="X29" s="430">
        <f t="shared" si="2"/>
        <v>0</v>
      </c>
      <c r="Y29" s="424"/>
    </row>
    <row r="30" spans="1:25" ht="13.8" thickBot="1" x14ac:dyDescent="0.3">
      <c r="A30" s="17"/>
      <c r="L30" s="17"/>
      <c r="M30" s="17"/>
      <c r="N30" s="17"/>
      <c r="O30" s="17"/>
      <c r="P30" s="17"/>
      <c r="Q30" s="17"/>
      <c r="R30" s="17"/>
      <c r="S30" s="17"/>
      <c r="T30" s="17"/>
      <c r="U30" s="17"/>
      <c r="V30" s="17"/>
      <c r="W30" s="17"/>
      <c r="X30" s="17"/>
      <c r="Y30" s="17"/>
    </row>
    <row r="31" spans="1:25" ht="13.8" thickBot="1" x14ac:dyDescent="0.3">
      <c r="A31" s="416" t="s">
        <v>311</v>
      </c>
      <c r="B31" s="414">
        <f>ROW(A31)</f>
        <v>31</v>
      </c>
      <c r="C31" s="418" t="s">
        <v>116</v>
      </c>
      <c r="D31" s="408">
        <f>SUM(B34:Y34)</f>
        <v>13.814500000000002</v>
      </c>
      <c r="E31" s="418" t="s">
        <v>115</v>
      </c>
      <c r="F31" s="460">
        <f>D31/g/J31</f>
        <v>3.1293464718541175</v>
      </c>
      <c r="G31" s="418" t="s">
        <v>57</v>
      </c>
      <c r="H31" s="86">
        <v>0.45</v>
      </c>
      <c r="I31" s="418" t="s">
        <v>272</v>
      </c>
      <c r="J31" s="410">
        <f>H31-L31</f>
        <v>0.45</v>
      </c>
      <c r="K31" s="418" t="s">
        <v>273</v>
      </c>
      <c r="L31" s="86">
        <v>0</v>
      </c>
      <c r="M31" s="418" t="s">
        <v>58</v>
      </c>
      <c r="N31" s="87">
        <f>0.3*R31</f>
        <v>90</v>
      </c>
      <c r="O31" s="418" t="s">
        <v>60</v>
      </c>
      <c r="P31" s="87">
        <v>150</v>
      </c>
      <c r="Q31" s="418" t="s">
        <v>61</v>
      </c>
      <c r="R31" s="87">
        <v>300</v>
      </c>
      <c r="S31" s="418" t="s">
        <v>62</v>
      </c>
      <c r="T31" s="87">
        <v>90</v>
      </c>
      <c r="U31" s="418" t="s">
        <v>55</v>
      </c>
      <c r="V31" s="88" t="s">
        <v>277</v>
      </c>
      <c r="W31" s="17"/>
      <c r="X31" s="17"/>
      <c r="Y31" s="17"/>
    </row>
    <row r="32" spans="1:25" x14ac:dyDescent="0.25">
      <c r="A32" s="417" t="s">
        <v>33</v>
      </c>
      <c r="B32" s="425">
        <v>0</v>
      </c>
      <c r="C32" s="426">
        <v>1E-3</v>
      </c>
      <c r="D32" s="426">
        <v>0.02</v>
      </c>
      <c r="E32" s="426">
        <v>0.04</v>
      </c>
      <c r="F32" s="426">
        <v>6.0999999999999999E-2</v>
      </c>
      <c r="G32" s="426">
        <v>6.2E-2</v>
      </c>
      <c r="H32" s="426">
        <v>6.2E-2</v>
      </c>
      <c r="I32" s="426">
        <v>6.2E-2</v>
      </c>
      <c r="J32" s="426">
        <v>6.2E-2</v>
      </c>
      <c r="K32" s="426">
        <v>6.2E-2</v>
      </c>
      <c r="L32" s="426">
        <v>6.2E-2</v>
      </c>
      <c r="M32" s="426">
        <v>6.2E-2</v>
      </c>
      <c r="N32" s="426">
        <v>6.2E-2</v>
      </c>
      <c r="O32" s="426">
        <v>6.2E-2</v>
      </c>
      <c r="P32" s="426">
        <v>6.2E-2</v>
      </c>
      <c r="Q32" s="426">
        <v>6.2E-2</v>
      </c>
      <c r="R32" s="426">
        <v>6.2E-2</v>
      </c>
      <c r="S32" s="426">
        <v>6.2E-2</v>
      </c>
      <c r="T32" s="426">
        <v>6.2E-2</v>
      </c>
      <c r="U32" s="426">
        <v>6.2E-2</v>
      </c>
      <c r="V32" s="426">
        <v>6.2E-2</v>
      </c>
      <c r="W32" s="426">
        <v>6.2E-2</v>
      </c>
      <c r="X32" s="426">
        <v>6.2E-2</v>
      </c>
      <c r="Y32" s="437">
        <v>1000</v>
      </c>
    </row>
    <row r="33" spans="1:25" x14ac:dyDescent="0.25">
      <c r="A33" s="434" t="s">
        <v>34</v>
      </c>
      <c r="B33" s="427">
        <v>0</v>
      </c>
      <c r="C33" s="428">
        <v>310</v>
      </c>
      <c r="D33" s="428">
        <v>245</v>
      </c>
      <c r="E33" s="428">
        <v>200</v>
      </c>
      <c r="F33" s="428">
        <v>167</v>
      </c>
      <c r="G33" s="428">
        <v>0</v>
      </c>
      <c r="H33" s="428">
        <v>0</v>
      </c>
      <c r="I33" s="428">
        <v>0</v>
      </c>
      <c r="J33" s="428">
        <v>0</v>
      </c>
      <c r="K33" s="428">
        <v>0</v>
      </c>
      <c r="L33" s="428">
        <v>0</v>
      </c>
      <c r="M33" s="428">
        <v>0</v>
      </c>
      <c r="N33" s="428">
        <v>0</v>
      </c>
      <c r="O33" s="428">
        <v>0</v>
      </c>
      <c r="P33" s="428">
        <v>0</v>
      </c>
      <c r="Q33" s="428">
        <v>0</v>
      </c>
      <c r="R33" s="428">
        <v>0</v>
      </c>
      <c r="S33" s="428">
        <v>0</v>
      </c>
      <c r="T33" s="428">
        <v>0</v>
      </c>
      <c r="U33" s="428">
        <v>0</v>
      </c>
      <c r="V33" s="428">
        <v>0</v>
      </c>
      <c r="W33" s="428">
        <v>0</v>
      </c>
      <c r="X33" s="428">
        <v>0</v>
      </c>
      <c r="Y33" s="438">
        <v>0</v>
      </c>
    </row>
    <row r="34" spans="1:25" ht="13.8" thickBot="1" x14ac:dyDescent="0.3">
      <c r="A34" s="435" t="s">
        <v>117</v>
      </c>
      <c r="B34" s="429">
        <f t="shared" ref="B34:X34" si="3">(C33+B33)*(C32-B32)/2</f>
        <v>0.155</v>
      </c>
      <c r="C34" s="430">
        <f t="shared" si="3"/>
        <v>5.2725</v>
      </c>
      <c r="D34" s="430">
        <f t="shared" si="3"/>
        <v>4.45</v>
      </c>
      <c r="E34" s="430">
        <f t="shared" si="3"/>
        <v>3.8534999999999995</v>
      </c>
      <c r="F34" s="430">
        <f t="shared" si="3"/>
        <v>8.3500000000000074E-2</v>
      </c>
      <c r="G34" s="430">
        <f t="shared" si="3"/>
        <v>0</v>
      </c>
      <c r="H34" s="430">
        <f t="shared" si="3"/>
        <v>0</v>
      </c>
      <c r="I34" s="430">
        <f t="shared" si="3"/>
        <v>0</v>
      </c>
      <c r="J34" s="430">
        <f t="shared" si="3"/>
        <v>0</v>
      </c>
      <c r="K34" s="430">
        <f t="shared" si="3"/>
        <v>0</v>
      </c>
      <c r="L34" s="430">
        <f t="shared" si="3"/>
        <v>0</v>
      </c>
      <c r="M34" s="430">
        <f t="shared" si="3"/>
        <v>0</v>
      </c>
      <c r="N34" s="430">
        <f t="shared" si="3"/>
        <v>0</v>
      </c>
      <c r="O34" s="430">
        <f t="shared" si="3"/>
        <v>0</v>
      </c>
      <c r="P34" s="430">
        <f t="shared" si="3"/>
        <v>0</v>
      </c>
      <c r="Q34" s="430">
        <f t="shared" si="3"/>
        <v>0</v>
      </c>
      <c r="R34" s="430">
        <f t="shared" si="3"/>
        <v>0</v>
      </c>
      <c r="S34" s="430">
        <f t="shared" si="3"/>
        <v>0</v>
      </c>
      <c r="T34" s="430">
        <f t="shared" si="3"/>
        <v>0</v>
      </c>
      <c r="U34" s="430">
        <f t="shared" si="3"/>
        <v>0</v>
      </c>
      <c r="V34" s="430">
        <f t="shared" si="3"/>
        <v>0</v>
      </c>
      <c r="W34" s="430">
        <f t="shared" si="3"/>
        <v>0</v>
      </c>
      <c r="X34" s="430">
        <f t="shared" si="3"/>
        <v>0</v>
      </c>
      <c r="Y34" s="424"/>
    </row>
    <row r="35" spans="1:25" ht="13.8" thickBot="1" x14ac:dyDescent="0.3">
      <c r="B35" s="17"/>
      <c r="C35" s="17"/>
      <c r="D35" s="17"/>
      <c r="E35" s="17"/>
      <c r="F35" s="17"/>
      <c r="G35" s="17"/>
      <c r="H35" s="17"/>
      <c r="I35" s="17"/>
      <c r="J35" s="17"/>
      <c r="K35" s="17"/>
      <c r="L35" s="17"/>
      <c r="M35" s="17"/>
      <c r="N35" s="17"/>
      <c r="O35" s="17"/>
      <c r="P35" s="17"/>
      <c r="Q35" s="17"/>
      <c r="R35" s="17"/>
      <c r="S35" s="17"/>
      <c r="T35" s="17"/>
      <c r="U35" s="17"/>
      <c r="V35" s="17"/>
      <c r="W35" s="17"/>
      <c r="X35" s="17"/>
      <c r="Y35" s="17"/>
    </row>
    <row r="36" spans="1:25" ht="13.8" thickBot="1" x14ac:dyDescent="0.3">
      <c r="A36" s="416" t="s">
        <v>312</v>
      </c>
      <c r="B36" s="414">
        <f>ROW(A36)</f>
        <v>36</v>
      </c>
      <c r="C36" s="418" t="s">
        <v>116</v>
      </c>
      <c r="D36" s="408">
        <f>SUM(B39:Y39)</f>
        <v>17.144499999999997</v>
      </c>
      <c r="E36" s="418" t="s">
        <v>115</v>
      </c>
      <c r="F36" s="460">
        <f>D36/g/J36</f>
        <v>2.9127590893645934</v>
      </c>
      <c r="G36" s="418" t="s">
        <v>57</v>
      </c>
      <c r="H36" s="86">
        <v>0.6</v>
      </c>
      <c r="I36" s="418" t="s">
        <v>272</v>
      </c>
      <c r="J36" s="410">
        <f>H36-L36</f>
        <v>0.6</v>
      </c>
      <c r="K36" s="418" t="s">
        <v>273</v>
      </c>
      <c r="L36" s="86">
        <v>0</v>
      </c>
      <c r="M36" s="418" t="s">
        <v>58</v>
      </c>
      <c r="N36" s="87">
        <f>0.4*R36</f>
        <v>120</v>
      </c>
      <c r="O36" s="418" t="s">
        <v>60</v>
      </c>
      <c r="P36" s="87">
        <v>150</v>
      </c>
      <c r="Q36" s="418" t="s">
        <v>61</v>
      </c>
      <c r="R36" s="87">
        <v>300</v>
      </c>
      <c r="S36" s="418" t="s">
        <v>62</v>
      </c>
      <c r="T36" s="87">
        <v>90</v>
      </c>
      <c r="U36" s="418" t="s">
        <v>55</v>
      </c>
      <c r="V36" s="88" t="s">
        <v>277</v>
      </c>
      <c r="W36" s="17"/>
      <c r="X36" s="17"/>
      <c r="Y36" s="17"/>
    </row>
    <row r="37" spans="1:25" x14ac:dyDescent="0.25">
      <c r="A37" s="417" t="s">
        <v>33</v>
      </c>
      <c r="B37" s="425">
        <v>0</v>
      </c>
      <c r="C37" s="426">
        <v>1E-3</v>
      </c>
      <c r="D37" s="426">
        <v>0.02</v>
      </c>
      <c r="E37" s="426">
        <v>0.04</v>
      </c>
      <c r="F37" s="426">
        <v>0.06</v>
      </c>
      <c r="G37" s="426">
        <v>0.08</v>
      </c>
      <c r="H37" s="426">
        <v>8.7999999999999995E-2</v>
      </c>
      <c r="I37" s="426">
        <v>8.8999999999999996E-2</v>
      </c>
      <c r="J37" s="426">
        <v>8.8999999999999996E-2</v>
      </c>
      <c r="K37" s="426">
        <v>8.8999999999999996E-2</v>
      </c>
      <c r="L37" s="426">
        <v>8.8999999999999996E-2</v>
      </c>
      <c r="M37" s="426">
        <v>8.8999999999999996E-2</v>
      </c>
      <c r="N37" s="426">
        <v>8.8999999999999996E-2</v>
      </c>
      <c r="O37" s="426">
        <v>8.8999999999999996E-2</v>
      </c>
      <c r="P37" s="426">
        <v>8.8999999999999996E-2</v>
      </c>
      <c r="Q37" s="426">
        <v>8.8999999999999996E-2</v>
      </c>
      <c r="R37" s="426">
        <v>8.8999999999999996E-2</v>
      </c>
      <c r="S37" s="426">
        <v>8.8999999999999996E-2</v>
      </c>
      <c r="T37" s="426">
        <v>8.8999999999999996E-2</v>
      </c>
      <c r="U37" s="426">
        <v>8.8999999999999996E-2</v>
      </c>
      <c r="V37" s="426">
        <v>8.8999999999999996E-2</v>
      </c>
      <c r="W37" s="426">
        <v>8.8999999999999996E-2</v>
      </c>
      <c r="X37" s="426">
        <v>8.8999999999999996E-2</v>
      </c>
      <c r="Y37" s="437">
        <v>1000</v>
      </c>
    </row>
    <row r="38" spans="1:25" x14ac:dyDescent="0.25">
      <c r="A38" s="434" t="s">
        <v>34</v>
      </c>
      <c r="B38" s="427">
        <v>0</v>
      </c>
      <c r="C38" s="428">
        <v>310</v>
      </c>
      <c r="D38" s="428">
        <v>240</v>
      </c>
      <c r="E38" s="428">
        <v>190</v>
      </c>
      <c r="F38" s="428">
        <v>157</v>
      </c>
      <c r="G38" s="428">
        <v>133</v>
      </c>
      <c r="H38" s="428">
        <v>125</v>
      </c>
      <c r="I38" s="428">
        <v>0</v>
      </c>
      <c r="J38" s="428">
        <v>0</v>
      </c>
      <c r="K38" s="428">
        <v>0</v>
      </c>
      <c r="L38" s="428">
        <v>0</v>
      </c>
      <c r="M38" s="428">
        <v>0</v>
      </c>
      <c r="N38" s="428">
        <v>0</v>
      </c>
      <c r="O38" s="428">
        <v>0</v>
      </c>
      <c r="P38" s="428">
        <v>0</v>
      </c>
      <c r="Q38" s="428">
        <v>0</v>
      </c>
      <c r="R38" s="428">
        <v>0</v>
      </c>
      <c r="S38" s="428">
        <v>0</v>
      </c>
      <c r="T38" s="428">
        <v>0</v>
      </c>
      <c r="U38" s="428">
        <v>0</v>
      </c>
      <c r="V38" s="428">
        <v>0</v>
      </c>
      <c r="W38" s="428">
        <v>0</v>
      </c>
      <c r="X38" s="428">
        <v>0</v>
      </c>
      <c r="Y38" s="438">
        <v>0</v>
      </c>
    </row>
    <row r="39" spans="1:25" ht="13.8" thickBot="1" x14ac:dyDescent="0.3">
      <c r="A39" s="435" t="s">
        <v>117</v>
      </c>
      <c r="B39" s="429">
        <f t="shared" ref="B39:X39" si="4">(C38+B38)*(C37-B37)/2</f>
        <v>0.155</v>
      </c>
      <c r="C39" s="430">
        <f t="shared" si="4"/>
        <v>5.2249999999999996</v>
      </c>
      <c r="D39" s="430">
        <f t="shared" si="4"/>
        <v>4.3</v>
      </c>
      <c r="E39" s="430">
        <f t="shared" si="4"/>
        <v>3.4699999999999993</v>
      </c>
      <c r="F39" s="430">
        <f t="shared" si="4"/>
        <v>2.9000000000000004</v>
      </c>
      <c r="G39" s="430">
        <f t="shared" si="4"/>
        <v>1.0319999999999991</v>
      </c>
      <c r="H39" s="430">
        <f t="shared" si="4"/>
        <v>6.2500000000000056E-2</v>
      </c>
      <c r="I39" s="430">
        <f t="shared" si="4"/>
        <v>0</v>
      </c>
      <c r="J39" s="430">
        <f t="shared" si="4"/>
        <v>0</v>
      </c>
      <c r="K39" s="430">
        <f t="shared" si="4"/>
        <v>0</v>
      </c>
      <c r="L39" s="430">
        <f t="shared" si="4"/>
        <v>0</v>
      </c>
      <c r="M39" s="430">
        <f t="shared" si="4"/>
        <v>0</v>
      </c>
      <c r="N39" s="430">
        <f t="shared" si="4"/>
        <v>0</v>
      </c>
      <c r="O39" s="430">
        <f t="shared" si="4"/>
        <v>0</v>
      </c>
      <c r="P39" s="430">
        <f t="shared" si="4"/>
        <v>0</v>
      </c>
      <c r="Q39" s="430">
        <f t="shared" si="4"/>
        <v>0</v>
      </c>
      <c r="R39" s="430">
        <f t="shared" si="4"/>
        <v>0</v>
      </c>
      <c r="S39" s="430">
        <f t="shared" si="4"/>
        <v>0</v>
      </c>
      <c r="T39" s="430">
        <f t="shared" si="4"/>
        <v>0</v>
      </c>
      <c r="U39" s="430">
        <f t="shared" si="4"/>
        <v>0</v>
      </c>
      <c r="V39" s="430">
        <f t="shared" si="4"/>
        <v>0</v>
      </c>
      <c r="W39" s="430">
        <f t="shared" si="4"/>
        <v>0</v>
      </c>
      <c r="X39" s="430">
        <f t="shared" si="4"/>
        <v>0</v>
      </c>
      <c r="Y39" s="424"/>
    </row>
    <row r="40" spans="1:25" ht="13.8" thickBot="1" x14ac:dyDescent="0.3">
      <c r="A40" s="17"/>
      <c r="L40" s="17"/>
      <c r="M40" s="17"/>
      <c r="N40" s="17"/>
      <c r="O40" s="17"/>
      <c r="P40" s="17"/>
      <c r="Q40" s="17"/>
      <c r="R40" s="17"/>
      <c r="S40" s="17"/>
      <c r="T40" s="17"/>
      <c r="U40" s="17"/>
      <c r="V40" s="17"/>
      <c r="W40" s="17"/>
      <c r="X40" s="17"/>
      <c r="Y40" s="17"/>
    </row>
    <row r="41" spans="1:25" ht="13.8" thickBot="1" x14ac:dyDescent="0.3">
      <c r="A41" s="416" t="s">
        <v>313</v>
      </c>
      <c r="B41" s="414">
        <f>ROW(A41)</f>
        <v>41</v>
      </c>
      <c r="C41" s="418" t="s">
        <v>116</v>
      </c>
      <c r="D41" s="408">
        <f>SUM(B44:Y44)</f>
        <v>19.415000000000003</v>
      </c>
      <c r="E41" s="418" t="s">
        <v>115</v>
      </c>
      <c r="F41" s="460">
        <f>D41/g/J41</f>
        <v>2.6388039415562354</v>
      </c>
      <c r="G41" s="418" t="s">
        <v>57</v>
      </c>
      <c r="H41" s="86">
        <v>0.75</v>
      </c>
      <c r="I41" s="418" t="s">
        <v>272</v>
      </c>
      <c r="J41" s="410">
        <f>H41-L41</f>
        <v>0.75</v>
      </c>
      <c r="K41" s="418" t="s">
        <v>273</v>
      </c>
      <c r="L41" s="86">
        <v>0</v>
      </c>
      <c r="M41" s="418" t="s">
        <v>58</v>
      </c>
      <c r="N41" s="87">
        <f>0.5*R41</f>
        <v>150</v>
      </c>
      <c r="O41" s="418" t="s">
        <v>60</v>
      </c>
      <c r="P41" s="87">
        <v>150</v>
      </c>
      <c r="Q41" s="418" t="s">
        <v>61</v>
      </c>
      <c r="R41" s="87">
        <v>300</v>
      </c>
      <c r="S41" s="418" t="s">
        <v>62</v>
      </c>
      <c r="T41" s="87">
        <v>90</v>
      </c>
      <c r="U41" s="418" t="s">
        <v>55</v>
      </c>
      <c r="V41" s="88" t="s">
        <v>277</v>
      </c>
      <c r="W41" s="17"/>
      <c r="X41" s="17"/>
      <c r="Y41" s="17"/>
    </row>
    <row r="42" spans="1:25" x14ac:dyDescent="0.25">
      <c r="A42" s="417" t="s">
        <v>33</v>
      </c>
      <c r="B42" s="425">
        <v>0</v>
      </c>
      <c r="C42" s="426">
        <v>1E-3</v>
      </c>
      <c r="D42" s="426">
        <v>0.02</v>
      </c>
      <c r="E42" s="426">
        <v>0.04</v>
      </c>
      <c r="F42" s="426">
        <v>0.06</v>
      </c>
      <c r="G42" s="426">
        <v>0.08</v>
      </c>
      <c r="H42" s="426">
        <v>0.1</v>
      </c>
      <c r="I42" s="426">
        <v>0.123</v>
      </c>
      <c r="J42" s="426">
        <v>0.124</v>
      </c>
      <c r="K42" s="426">
        <v>0.124</v>
      </c>
      <c r="L42" s="426">
        <v>0.124</v>
      </c>
      <c r="M42" s="426">
        <v>0.124</v>
      </c>
      <c r="N42" s="426">
        <v>0.124</v>
      </c>
      <c r="O42" s="426">
        <v>0.124</v>
      </c>
      <c r="P42" s="426">
        <v>0.124</v>
      </c>
      <c r="Q42" s="426">
        <v>0.124</v>
      </c>
      <c r="R42" s="426">
        <v>0.124</v>
      </c>
      <c r="S42" s="426">
        <v>0.124</v>
      </c>
      <c r="T42" s="426">
        <v>0.124</v>
      </c>
      <c r="U42" s="426">
        <v>0.124</v>
      </c>
      <c r="V42" s="426">
        <v>0.124</v>
      </c>
      <c r="W42" s="426">
        <v>0.124</v>
      </c>
      <c r="X42" s="426">
        <v>0.124</v>
      </c>
      <c r="Y42" s="437">
        <v>1000</v>
      </c>
    </row>
    <row r="43" spans="1:25" x14ac:dyDescent="0.25">
      <c r="A43" s="434" t="s">
        <v>34</v>
      </c>
      <c r="B43" s="427">
        <v>0</v>
      </c>
      <c r="C43" s="428">
        <v>310</v>
      </c>
      <c r="D43" s="428">
        <v>230</v>
      </c>
      <c r="E43" s="428">
        <v>175</v>
      </c>
      <c r="F43" s="428">
        <v>140</v>
      </c>
      <c r="G43" s="428">
        <v>118</v>
      </c>
      <c r="H43" s="428">
        <v>100</v>
      </c>
      <c r="I43" s="428">
        <v>85</v>
      </c>
      <c r="J43" s="428">
        <v>0</v>
      </c>
      <c r="K43" s="428">
        <v>0</v>
      </c>
      <c r="L43" s="428">
        <v>0</v>
      </c>
      <c r="M43" s="428">
        <v>0</v>
      </c>
      <c r="N43" s="428">
        <v>0</v>
      </c>
      <c r="O43" s="428">
        <v>0</v>
      </c>
      <c r="P43" s="428">
        <v>0</v>
      </c>
      <c r="Q43" s="428">
        <v>0</v>
      </c>
      <c r="R43" s="428">
        <v>0</v>
      </c>
      <c r="S43" s="428">
        <v>0</v>
      </c>
      <c r="T43" s="428">
        <v>0</v>
      </c>
      <c r="U43" s="428">
        <v>0</v>
      </c>
      <c r="V43" s="428">
        <v>0</v>
      </c>
      <c r="W43" s="428">
        <v>0</v>
      </c>
      <c r="X43" s="428">
        <v>0</v>
      </c>
      <c r="Y43" s="438">
        <v>0</v>
      </c>
    </row>
    <row r="44" spans="1:25" ht="13.8" thickBot="1" x14ac:dyDescent="0.3">
      <c r="A44" s="435" t="s">
        <v>117</v>
      </c>
      <c r="B44" s="429">
        <f t="shared" ref="B44:X44" si="5">(C43+B43)*(C42-B42)/2</f>
        <v>0.155</v>
      </c>
      <c r="C44" s="430">
        <f t="shared" si="5"/>
        <v>5.13</v>
      </c>
      <c r="D44" s="430">
        <f t="shared" si="5"/>
        <v>4.05</v>
      </c>
      <c r="E44" s="430">
        <f t="shared" si="5"/>
        <v>3.1499999999999995</v>
      </c>
      <c r="F44" s="430">
        <f t="shared" si="5"/>
        <v>2.5800000000000005</v>
      </c>
      <c r="G44" s="430">
        <f t="shared" si="5"/>
        <v>2.1800000000000006</v>
      </c>
      <c r="H44" s="430">
        <f t="shared" si="5"/>
        <v>2.1274999999999995</v>
      </c>
      <c r="I44" s="430">
        <f t="shared" si="5"/>
        <v>4.2500000000000038E-2</v>
      </c>
      <c r="J44" s="430">
        <f t="shared" si="5"/>
        <v>0</v>
      </c>
      <c r="K44" s="430">
        <f t="shared" si="5"/>
        <v>0</v>
      </c>
      <c r="L44" s="430">
        <f t="shared" si="5"/>
        <v>0</v>
      </c>
      <c r="M44" s="430">
        <f t="shared" si="5"/>
        <v>0</v>
      </c>
      <c r="N44" s="430">
        <f t="shared" si="5"/>
        <v>0</v>
      </c>
      <c r="O44" s="430">
        <f t="shared" si="5"/>
        <v>0</v>
      </c>
      <c r="P44" s="430">
        <f t="shared" si="5"/>
        <v>0</v>
      </c>
      <c r="Q44" s="430">
        <f t="shared" si="5"/>
        <v>0</v>
      </c>
      <c r="R44" s="430">
        <f t="shared" si="5"/>
        <v>0</v>
      </c>
      <c r="S44" s="430">
        <f t="shared" si="5"/>
        <v>0</v>
      </c>
      <c r="T44" s="430">
        <f t="shared" si="5"/>
        <v>0</v>
      </c>
      <c r="U44" s="430">
        <f t="shared" si="5"/>
        <v>0</v>
      </c>
      <c r="V44" s="430">
        <f t="shared" si="5"/>
        <v>0</v>
      </c>
      <c r="W44" s="430">
        <f t="shared" si="5"/>
        <v>0</v>
      </c>
      <c r="X44" s="430">
        <f t="shared" si="5"/>
        <v>0</v>
      </c>
      <c r="Y44" s="424"/>
    </row>
    <row r="45" spans="1:25" ht="13.8" thickBot="1" x14ac:dyDescent="0.3"/>
    <row r="46" spans="1:25" ht="13.8" thickBot="1" x14ac:dyDescent="0.3">
      <c r="A46" s="416" t="s">
        <v>278</v>
      </c>
      <c r="B46" s="414">
        <f>ROW(A46)</f>
        <v>46</v>
      </c>
      <c r="C46" s="418" t="s">
        <v>116</v>
      </c>
      <c r="D46" s="408">
        <f>SUM(B49:Y49)</f>
        <v>12.8695</v>
      </c>
      <c r="E46" s="418" t="s">
        <v>115</v>
      </c>
      <c r="F46" s="460">
        <f>D46/g/J46</f>
        <v>3.2796890927624869</v>
      </c>
      <c r="G46" s="418" t="s">
        <v>57</v>
      </c>
      <c r="H46" s="86">
        <v>0.5</v>
      </c>
      <c r="I46" s="418" t="s">
        <v>272</v>
      </c>
      <c r="J46" s="410">
        <f>H46-L46</f>
        <v>0.4</v>
      </c>
      <c r="K46" s="418" t="s">
        <v>273</v>
      </c>
      <c r="L46" s="86">
        <v>0.1</v>
      </c>
      <c r="M46" s="418" t="s">
        <v>58</v>
      </c>
      <c r="N46" s="87">
        <f>0.2*R46</f>
        <v>60</v>
      </c>
      <c r="O46" s="418" t="s">
        <v>60</v>
      </c>
      <c r="P46" s="87">
        <v>150</v>
      </c>
      <c r="Q46" s="418" t="s">
        <v>61</v>
      </c>
      <c r="R46" s="87">
        <v>300</v>
      </c>
      <c r="S46" s="418" t="s">
        <v>62</v>
      </c>
      <c r="T46" s="87">
        <v>98</v>
      </c>
      <c r="U46" s="418" t="s">
        <v>55</v>
      </c>
      <c r="V46" s="88" t="s">
        <v>277</v>
      </c>
      <c r="W46" s="17"/>
      <c r="X46" s="17"/>
      <c r="Y46" s="17"/>
    </row>
    <row r="47" spans="1:25" x14ac:dyDescent="0.25">
      <c r="A47" s="417" t="s">
        <v>33</v>
      </c>
      <c r="B47" s="425">
        <v>0</v>
      </c>
      <c r="C47" s="426">
        <v>1E-3</v>
      </c>
      <c r="D47" s="426">
        <v>0.02</v>
      </c>
      <c r="E47" s="426">
        <v>0.04</v>
      </c>
      <c r="F47" s="426">
        <v>0.05</v>
      </c>
      <c r="G47" s="426">
        <v>5.0999999999999997E-2</v>
      </c>
      <c r="H47" s="426">
        <v>5.0999999999999997E-2</v>
      </c>
      <c r="I47" s="426">
        <v>5.0999999999999997E-2</v>
      </c>
      <c r="J47" s="426">
        <v>5.0999999999999997E-2</v>
      </c>
      <c r="K47" s="426">
        <v>5.0999999999999997E-2</v>
      </c>
      <c r="L47" s="426">
        <v>5.0999999999999997E-2</v>
      </c>
      <c r="M47" s="426">
        <v>5.0999999999999997E-2</v>
      </c>
      <c r="N47" s="426">
        <v>5.0999999999999997E-2</v>
      </c>
      <c r="O47" s="426">
        <v>5.0999999999999997E-2</v>
      </c>
      <c r="P47" s="426">
        <v>5.0999999999999997E-2</v>
      </c>
      <c r="Q47" s="426">
        <v>5.0999999999999997E-2</v>
      </c>
      <c r="R47" s="426">
        <v>5.0999999999999997E-2</v>
      </c>
      <c r="S47" s="426">
        <v>5.0999999999999997E-2</v>
      </c>
      <c r="T47" s="426">
        <v>5.0999999999999997E-2</v>
      </c>
      <c r="U47" s="426">
        <v>5.0999999999999997E-2</v>
      </c>
      <c r="V47" s="426">
        <v>5.0999999999999997E-2</v>
      </c>
      <c r="W47" s="426">
        <v>5.0999999999999997E-2</v>
      </c>
      <c r="X47" s="426">
        <v>5.0999999999999997E-2</v>
      </c>
      <c r="Y47" s="437">
        <v>1000</v>
      </c>
    </row>
    <row r="48" spans="1:25" x14ac:dyDescent="0.25">
      <c r="A48" s="434" t="s">
        <v>34</v>
      </c>
      <c r="B48" s="427">
        <v>0</v>
      </c>
      <c r="C48" s="428">
        <v>310</v>
      </c>
      <c r="D48" s="428">
        <v>264</v>
      </c>
      <c r="E48" s="428">
        <v>230</v>
      </c>
      <c r="F48" s="428">
        <v>213</v>
      </c>
      <c r="G48" s="428">
        <v>0</v>
      </c>
      <c r="H48" s="428">
        <v>0</v>
      </c>
      <c r="I48" s="428">
        <v>0</v>
      </c>
      <c r="J48" s="428">
        <v>0</v>
      </c>
      <c r="K48" s="428">
        <v>0</v>
      </c>
      <c r="L48" s="428">
        <v>0</v>
      </c>
      <c r="M48" s="428">
        <v>0</v>
      </c>
      <c r="N48" s="428">
        <v>0</v>
      </c>
      <c r="O48" s="428">
        <v>0</v>
      </c>
      <c r="P48" s="428">
        <v>0</v>
      </c>
      <c r="Q48" s="428">
        <v>0</v>
      </c>
      <c r="R48" s="428">
        <v>0</v>
      </c>
      <c r="S48" s="428">
        <v>0</v>
      </c>
      <c r="T48" s="428">
        <v>0</v>
      </c>
      <c r="U48" s="428">
        <v>0</v>
      </c>
      <c r="V48" s="428">
        <v>0</v>
      </c>
      <c r="W48" s="428">
        <v>0</v>
      </c>
      <c r="X48" s="428">
        <v>0</v>
      </c>
      <c r="Y48" s="438">
        <v>0</v>
      </c>
    </row>
    <row r="49" spans="1:25" ht="13.8" thickBot="1" x14ac:dyDescent="0.3">
      <c r="A49" s="435" t="s">
        <v>117</v>
      </c>
      <c r="B49" s="429">
        <f t="shared" ref="B49:X49" si="6">(C48+B48)*(C47-B47)/2</f>
        <v>0.155</v>
      </c>
      <c r="C49" s="430">
        <f t="shared" si="6"/>
        <v>5.4530000000000003</v>
      </c>
      <c r="D49" s="430">
        <f t="shared" si="6"/>
        <v>4.9400000000000004</v>
      </c>
      <c r="E49" s="430">
        <f t="shared" si="6"/>
        <v>2.2150000000000003</v>
      </c>
      <c r="F49" s="430">
        <f t="shared" si="6"/>
        <v>0.10649999999999936</v>
      </c>
      <c r="G49" s="430">
        <f t="shared" si="6"/>
        <v>0</v>
      </c>
      <c r="H49" s="430">
        <f t="shared" si="6"/>
        <v>0</v>
      </c>
      <c r="I49" s="430">
        <f t="shared" si="6"/>
        <v>0</v>
      </c>
      <c r="J49" s="430">
        <f t="shared" si="6"/>
        <v>0</v>
      </c>
      <c r="K49" s="430">
        <f t="shared" si="6"/>
        <v>0</v>
      </c>
      <c r="L49" s="430">
        <f t="shared" si="6"/>
        <v>0</v>
      </c>
      <c r="M49" s="430">
        <f t="shared" si="6"/>
        <v>0</v>
      </c>
      <c r="N49" s="430">
        <f t="shared" si="6"/>
        <v>0</v>
      </c>
      <c r="O49" s="430">
        <f t="shared" si="6"/>
        <v>0</v>
      </c>
      <c r="P49" s="430">
        <f t="shared" si="6"/>
        <v>0</v>
      </c>
      <c r="Q49" s="430">
        <f t="shared" si="6"/>
        <v>0</v>
      </c>
      <c r="R49" s="430">
        <f t="shared" si="6"/>
        <v>0</v>
      </c>
      <c r="S49" s="430">
        <f t="shared" si="6"/>
        <v>0</v>
      </c>
      <c r="T49" s="430">
        <f t="shared" si="6"/>
        <v>0</v>
      </c>
      <c r="U49" s="430">
        <f t="shared" si="6"/>
        <v>0</v>
      </c>
      <c r="V49" s="430">
        <f t="shared" si="6"/>
        <v>0</v>
      </c>
      <c r="W49" s="430">
        <f t="shared" si="6"/>
        <v>0</v>
      </c>
      <c r="X49" s="430">
        <f t="shared" si="6"/>
        <v>0</v>
      </c>
      <c r="Y49" s="424"/>
    </row>
    <row r="50" spans="1:25" ht="13.8" thickBot="1" x14ac:dyDescent="0.3">
      <c r="A50" s="17"/>
      <c r="L50" s="17"/>
      <c r="M50" s="17"/>
      <c r="N50" s="17"/>
      <c r="O50" s="17"/>
      <c r="P50" s="17"/>
      <c r="Q50" s="17"/>
      <c r="R50" s="17"/>
      <c r="S50" s="17"/>
      <c r="T50" s="17"/>
      <c r="U50" s="17"/>
      <c r="V50" s="17"/>
      <c r="W50" s="17"/>
      <c r="X50" s="17"/>
      <c r="Y50" s="17"/>
    </row>
    <row r="51" spans="1:25" ht="13.8" thickBot="1" x14ac:dyDescent="0.3">
      <c r="A51" s="416" t="s">
        <v>279</v>
      </c>
      <c r="B51" s="414">
        <f>ROW(A51)</f>
        <v>51</v>
      </c>
      <c r="C51" s="418" t="s">
        <v>116</v>
      </c>
      <c r="D51" s="408">
        <f>SUM(B54:Y54)</f>
        <v>18.123500000000003</v>
      </c>
      <c r="E51" s="418" t="s">
        <v>115</v>
      </c>
      <c r="F51" s="460">
        <f>D51/g/J51</f>
        <v>3.0790859667006463</v>
      </c>
      <c r="G51" s="418" t="s">
        <v>57</v>
      </c>
      <c r="H51" s="86">
        <v>0.7</v>
      </c>
      <c r="I51" s="418" t="s">
        <v>272</v>
      </c>
      <c r="J51" s="410">
        <f>H51-L51</f>
        <v>0.6</v>
      </c>
      <c r="K51" s="418" t="s">
        <v>273</v>
      </c>
      <c r="L51" s="86">
        <v>0.1</v>
      </c>
      <c r="M51" s="418" t="s">
        <v>58</v>
      </c>
      <c r="N51" s="87">
        <f>0.3*R51</f>
        <v>90</v>
      </c>
      <c r="O51" s="418" t="s">
        <v>60</v>
      </c>
      <c r="P51" s="87">
        <v>150</v>
      </c>
      <c r="Q51" s="418" t="s">
        <v>61</v>
      </c>
      <c r="R51" s="87">
        <v>300</v>
      </c>
      <c r="S51" s="418" t="s">
        <v>62</v>
      </c>
      <c r="T51" s="87">
        <v>98</v>
      </c>
      <c r="U51" s="418" t="s">
        <v>55</v>
      </c>
      <c r="V51" s="88" t="s">
        <v>277</v>
      </c>
      <c r="W51" s="17"/>
      <c r="X51" s="17"/>
      <c r="Y51" s="17"/>
    </row>
    <row r="52" spans="1:25" x14ac:dyDescent="0.25">
      <c r="A52" s="417" t="s">
        <v>33</v>
      </c>
      <c r="B52" s="425">
        <v>0</v>
      </c>
      <c r="C52" s="426">
        <v>1E-3</v>
      </c>
      <c r="D52" s="426">
        <v>0.02</v>
      </c>
      <c r="E52" s="426">
        <v>0.04</v>
      </c>
      <c r="F52" s="426">
        <v>0.06</v>
      </c>
      <c r="G52" s="426">
        <v>0.08</v>
      </c>
      <c r="H52" s="426">
        <v>8.1000000000000003E-2</v>
      </c>
      <c r="I52" s="426">
        <v>8.1000000000000003E-2</v>
      </c>
      <c r="J52" s="426">
        <v>8.1000000000000003E-2</v>
      </c>
      <c r="K52" s="426">
        <v>8.1000000000000003E-2</v>
      </c>
      <c r="L52" s="426">
        <v>8.1000000000000003E-2</v>
      </c>
      <c r="M52" s="426">
        <v>8.1000000000000003E-2</v>
      </c>
      <c r="N52" s="426">
        <v>8.1000000000000003E-2</v>
      </c>
      <c r="O52" s="426">
        <v>8.1000000000000003E-2</v>
      </c>
      <c r="P52" s="426">
        <v>8.1000000000000003E-2</v>
      </c>
      <c r="Q52" s="426">
        <v>8.1000000000000003E-2</v>
      </c>
      <c r="R52" s="426">
        <v>8.1000000000000003E-2</v>
      </c>
      <c r="S52" s="426">
        <v>8.1000000000000003E-2</v>
      </c>
      <c r="T52" s="426">
        <v>8.1000000000000003E-2</v>
      </c>
      <c r="U52" s="426">
        <v>8.1000000000000003E-2</v>
      </c>
      <c r="V52" s="426">
        <v>8.1000000000000003E-2</v>
      </c>
      <c r="W52" s="426">
        <v>8.1000000000000003E-2</v>
      </c>
      <c r="X52" s="426">
        <v>8.1000000000000003E-2</v>
      </c>
      <c r="Y52" s="437">
        <v>1000</v>
      </c>
    </row>
    <row r="53" spans="1:25" x14ac:dyDescent="0.25">
      <c r="A53" s="434" t="s">
        <v>34</v>
      </c>
      <c r="B53" s="427">
        <v>0</v>
      </c>
      <c r="C53" s="428">
        <v>310</v>
      </c>
      <c r="D53" s="428">
        <v>260</v>
      </c>
      <c r="E53" s="428">
        <v>220</v>
      </c>
      <c r="F53" s="428">
        <v>190</v>
      </c>
      <c r="G53" s="428">
        <v>167</v>
      </c>
      <c r="H53" s="428">
        <v>0</v>
      </c>
      <c r="I53" s="428">
        <v>0</v>
      </c>
      <c r="J53" s="428">
        <v>0</v>
      </c>
      <c r="K53" s="428">
        <v>0</v>
      </c>
      <c r="L53" s="428">
        <v>0</v>
      </c>
      <c r="M53" s="428">
        <v>0</v>
      </c>
      <c r="N53" s="428">
        <v>0</v>
      </c>
      <c r="O53" s="428">
        <v>0</v>
      </c>
      <c r="P53" s="428">
        <v>0</v>
      </c>
      <c r="Q53" s="428">
        <v>0</v>
      </c>
      <c r="R53" s="428">
        <v>0</v>
      </c>
      <c r="S53" s="428">
        <v>0</v>
      </c>
      <c r="T53" s="428">
        <v>0</v>
      </c>
      <c r="U53" s="428">
        <v>0</v>
      </c>
      <c r="V53" s="428">
        <v>0</v>
      </c>
      <c r="W53" s="428">
        <v>0</v>
      </c>
      <c r="X53" s="428">
        <v>0</v>
      </c>
      <c r="Y53" s="438">
        <v>0</v>
      </c>
    </row>
    <row r="54" spans="1:25" ht="13.8" thickBot="1" x14ac:dyDescent="0.3">
      <c r="A54" s="435" t="s">
        <v>117</v>
      </c>
      <c r="B54" s="429">
        <f t="shared" ref="B54:X54" si="7">(C53+B53)*(C52-B52)/2</f>
        <v>0.155</v>
      </c>
      <c r="C54" s="430">
        <f t="shared" si="7"/>
        <v>5.415</v>
      </c>
      <c r="D54" s="430">
        <f t="shared" si="7"/>
        <v>4.8</v>
      </c>
      <c r="E54" s="430">
        <f t="shared" si="7"/>
        <v>4.0999999999999996</v>
      </c>
      <c r="F54" s="430">
        <f t="shared" si="7"/>
        <v>3.5700000000000007</v>
      </c>
      <c r="G54" s="430">
        <f t="shared" si="7"/>
        <v>8.3500000000000074E-2</v>
      </c>
      <c r="H54" s="430">
        <f t="shared" si="7"/>
        <v>0</v>
      </c>
      <c r="I54" s="430">
        <f t="shared" si="7"/>
        <v>0</v>
      </c>
      <c r="J54" s="430">
        <f t="shared" si="7"/>
        <v>0</v>
      </c>
      <c r="K54" s="430">
        <f t="shared" si="7"/>
        <v>0</v>
      </c>
      <c r="L54" s="430">
        <f t="shared" si="7"/>
        <v>0</v>
      </c>
      <c r="M54" s="430">
        <f t="shared" si="7"/>
        <v>0</v>
      </c>
      <c r="N54" s="430">
        <f t="shared" si="7"/>
        <v>0</v>
      </c>
      <c r="O54" s="430">
        <f t="shared" si="7"/>
        <v>0</v>
      </c>
      <c r="P54" s="430">
        <f t="shared" si="7"/>
        <v>0</v>
      </c>
      <c r="Q54" s="430">
        <f t="shared" si="7"/>
        <v>0</v>
      </c>
      <c r="R54" s="430">
        <f t="shared" si="7"/>
        <v>0</v>
      </c>
      <c r="S54" s="430">
        <f t="shared" si="7"/>
        <v>0</v>
      </c>
      <c r="T54" s="430">
        <f t="shared" si="7"/>
        <v>0</v>
      </c>
      <c r="U54" s="430">
        <f t="shared" si="7"/>
        <v>0</v>
      </c>
      <c r="V54" s="430">
        <f t="shared" si="7"/>
        <v>0</v>
      </c>
      <c r="W54" s="430">
        <f t="shared" si="7"/>
        <v>0</v>
      </c>
      <c r="X54" s="430">
        <f t="shared" si="7"/>
        <v>0</v>
      </c>
      <c r="Y54" s="424"/>
    </row>
    <row r="55" spans="1:25" ht="13.8" thickBot="1" x14ac:dyDescent="0.3">
      <c r="B55" s="17"/>
      <c r="C55" s="17"/>
      <c r="D55" s="17"/>
      <c r="E55" s="17"/>
      <c r="F55" s="17"/>
      <c r="G55" s="17"/>
      <c r="H55" s="17"/>
      <c r="I55" s="17"/>
      <c r="J55" s="17"/>
      <c r="K55" s="17"/>
      <c r="L55" s="17"/>
      <c r="M55" s="17"/>
      <c r="N55" s="17"/>
      <c r="O55" s="17"/>
      <c r="P55" s="17"/>
      <c r="Q55" s="17"/>
      <c r="R55" s="17"/>
      <c r="S55" s="17"/>
      <c r="T55" s="17"/>
      <c r="U55" s="17"/>
      <c r="V55" s="17"/>
      <c r="W55" s="17"/>
      <c r="X55" s="17"/>
      <c r="Y55" s="17"/>
    </row>
    <row r="56" spans="1:25" ht="13.8" thickBot="1" x14ac:dyDescent="0.3">
      <c r="A56" s="416" t="s">
        <v>280</v>
      </c>
      <c r="B56" s="414">
        <f>ROW(A56)</f>
        <v>56</v>
      </c>
      <c r="C56" s="418" t="s">
        <v>116</v>
      </c>
      <c r="D56" s="408">
        <f>SUM(B59:Y59)</f>
        <v>22.610000000000003</v>
      </c>
      <c r="E56" s="418" t="s">
        <v>115</v>
      </c>
      <c r="F56" s="460">
        <f>D56/g/J56</f>
        <v>2.88098878695209</v>
      </c>
      <c r="G56" s="418" t="s">
        <v>57</v>
      </c>
      <c r="H56" s="86">
        <v>0.9</v>
      </c>
      <c r="I56" s="418" t="s">
        <v>272</v>
      </c>
      <c r="J56" s="410">
        <f>H56-L56</f>
        <v>0.8</v>
      </c>
      <c r="K56" s="418" t="s">
        <v>273</v>
      </c>
      <c r="L56" s="86">
        <v>0.1</v>
      </c>
      <c r="M56" s="418" t="s">
        <v>58</v>
      </c>
      <c r="N56" s="87">
        <f>0.4*R56</f>
        <v>120</v>
      </c>
      <c r="O56" s="418" t="s">
        <v>60</v>
      </c>
      <c r="P56" s="87">
        <v>150</v>
      </c>
      <c r="Q56" s="418" t="s">
        <v>61</v>
      </c>
      <c r="R56" s="87">
        <v>300</v>
      </c>
      <c r="S56" s="418" t="s">
        <v>62</v>
      </c>
      <c r="T56" s="87">
        <v>98</v>
      </c>
      <c r="U56" s="418" t="s">
        <v>55</v>
      </c>
      <c r="V56" s="88" t="s">
        <v>277</v>
      </c>
      <c r="W56" s="17"/>
      <c r="X56" s="17"/>
      <c r="Y56" s="17"/>
    </row>
    <row r="57" spans="1:25" x14ac:dyDescent="0.25">
      <c r="A57" s="417" t="s">
        <v>33</v>
      </c>
      <c r="B57" s="425">
        <v>0</v>
      </c>
      <c r="C57" s="426">
        <v>1E-3</v>
      </c>
      <c r="D57" s="426">
        <v>0.02</v>
      </c>
      <c r="E57" s="426">
        <v>0.04</v>
      </c>
      <c r="F57" s="426">
        <v>0.06</v>
      </c>
      <c r="G57" s="426">
        <v>0.08</v>
      </c>
      <c r="H57" s="426">
        <v>0.1</v>
      </c>
      <c r="I57" s="426">
        <v>0.11700000000000001</v>
      </c>
      <c r="J57" s="426">
        <v>0.11799999999999999</v>
      </c>
      <c r="K57" s="426">
        <v>0.11799999999999999</v>
      </c>
      <c r="L57" s="426">
        <v>0.11799999999999999</v>
      </c>
      <c r="M57" s="426">
        <v>0.11799999999999999</v>
      </c>
      <c r="N57" s="426">
        <v>0.11799999999999999</v>
      </c>
      <c r="O57" s="426">
        <v>0.11799999999999999</v>
      </c>
      <c r="P57" s="426">
        <v>0.11799999999999999</v>
      </c>
      <c r="Q57" s="426">
        <v>0.11799999999999999</v>
      </c>
      <c r="R57" s="426">
        <v>0.11799999999999999</v>
      </c>
      <c r="S57" s="426">
        <v>0.11799999999999999</v>
      </c>
      <c r="T57" s="426">
        <v>0.11799999999999999</v>
      </c>
      <c r="U57" s="426">
        <v>0.11799999999999999</v>
      </c>
      <c r="V57" s="426">
        <v>0.11799999999999999</v>
      </c>
      <c r="W57" s="426">
        <v>0.11799999999999999</v>
      </c>
      <c r="X57" s="426">
        <v>0.11799999999999999</v>
      </c>
      <c r="Y57" s="437">
        <v>1000</v>
      </c>
    </row>
    <row r="58" spans="1:25" x14ac:dyDescent="0.25">
      <c r="A58" s="434" t="s">
        <v>34</v>
      </c>
      <c r="B58" s="427">
        <v>0</v>
      </c>
      <c r="C58" s="428">
        <v>310</v>
      </c>
      <c r="D58" s="428">
        <v>250</v>
      </c>
      <c r="E58" s="428">
        <v>210</v>
      </c>
      <c r="F58" s="428">
        <v>180</v>
      </c>
      <c r="G58" s="428">
        <v>156</v>
      </c>
      <c r="H58" s="428">
        <v>140</v>
      </c>
      <c r="I58" s="428">
        <v>125</v>
      </c>
      <c r="J58" s="428">
        <v>0</v>
      </c>
      <c r="K58" s="428">
        <v>0</v>
      </c>
      <c r="L58" s="428">
        <v>0</v>
      </c>
      <c r="M58" s="428">
        <v>0</v>
      </c>
      <c r="N58" s="428">
        <v>0</v>
      </c>
      <c r="O58" s="428">
        <v>0</v>
      </c>
      <c r="P58" s="428">
        <v>0</v>
      </c>
      <c r="Q58" s="428">
        <v>0</v>
      </c>
      <c r="R58" s="428">
        <v>0</v>
      </c>
      <c r="S58" s="428">
        <v>0</v>
      </c>
      <c r="T58" s="428">
        <v>0</v>
      </c>
      <c r="U58" s="428">
        <v>0</v>
      </c>
      <c r="V58" s="428">
        <v>0</v>
      </c>
      <c r="W58" s="428">
        <v>0</v>
      </c>
      <c r="X58" s="428">
        <v>0</v>
      </c>
      <c r="Y58" s="438">
        <v>0</v>
      </c>
    </row>
    <row r="59" spans="1:25" ht="13.8" thickBot="1" x14ac:dyDescent="0.3">
      <c r="A59" s="435" t="s">
        <v>117</v>
      </c>
      <c r="B59" s="429">
        <f t="shared" ref="B59:X59" si="8">(C58+B58)*(C57-B57)/2</f>
        <v>0.155</v>
      </c>
      <c r="C59" s="430">
        <f t="shared" si="8"/>
        <v>5.32</v>
      </c>
      <c r="D59" s="430">
        <f t="shared" si="8"/>
        <v>4.6000000000000005</v>
      </c>
      <c r="E59" s="430">
        <f t="shared" si="8"/>
        <v>3.8999999999999995</v>
      </c>
      <c r="F59" s="430">
        <f t="shared" si="8"/>
        <v>3.3600000000000008</v>
      </c>
      <c r="G59" s="430">
        <f t="shared" si="8"/>
        <v>2.9600000000000004</v>
      </c>
      <c r="H59" s="430">
        <f t="shared" si="8"/>
        <v>2.2524999999999999</v>
      </c>
      <c r="I59" s="430">
        <f t="shared" si="8"/>
        <v>6.2499999999999188E-2</v>
      </c>
      <c r="J59" s="430">
        <f t="shared" si="8"/>
        <v>0</v>
      </c>
      <c r="K59" s="430">
        <f t="shared" si="8"/>
        <v>0</v>
      </c>
      <c r="L59" s="430">
        <f t="shared" si="8"/>
        <v>0</v>
      </c>
      <c r="M59" s="430">
        <f t="shared" si="8"/>
        <v>0</v>
      </c>
      <c r="N59" s="430">
        <f t="shared" si="8"/>
        <v>0</v>
      </c>
      <c r="O59" s="430">
        <f t="shared" si="8"/>
        <v>0</v>
      </c>
      <c r="P59" s="430">
        <f t="shared" si="8"/>
        <v>0</v>
      </c>
      <c r="Q59" s="430">
        <f t="shared" si="8"/>
        <v>0</v>
      </c>
      <c r="R59" s="430">
        <f t="shared" si="8"/>
        <v>0</v>
      </c>
      <c r="S59" s="430">
        <f t="shared" si="8"/>
        <v>0</v>
      </c>
      <c r="T59" s="430">
        <f t="shared" si="8"/>
        <v>0</v>
      </c>
      <c r="U59" s="430">
        <f t="shared" si="8"/>
        <v>0</v>
      </c>
      <c r="V59" s="430">
        <f t="shared" si="8"/>
        <v>0</v>
      </c>
      <c r="W59" s="430">
        <f t="shared" si="8"/>
        <v>0</v>
      </c>
      <c r="X59" s="430">
        <f t="shared" si="8"/>
        <v>0</v>
      </c>
      <c r="Y59" s="424"/>
    </row>
    <row r="60" spans="1:25" ht="13.8" thickBot="1" x14ac:dyDescent="0.3">
      <c r="A60" s="17"/>
      <c r="L60" s="17"/>
      <c r="M60" s="17"/>
      <c r="N60" s="17"/>
      <c r="O60" s="17"/>
      <c r="P60" s="17"/>
      <c r="Q60" s="17"/>
      <c r="R60" s="17"/>
      <c r="S60" s="17"/>
      <c r="T60" s="17"/>
      <c r="U60" s="17"/>
      <c r="V60" s="17"/>
      <c r="W60" s="17"/>
      <c r="X60" s="17"/>
      <c r="Y60" s="17"/>
    </row>
    <row r="61" spans="1:25" ht="13.8" thickBot="1" x14ac:dyDescent="0.3">
      <c r="A61" s="416" t="s">
        <v>281</v>
      </c>
      <c r="B61" s="414">
        <f>ROW(A61)</f>
        <v>61</v>
      </c>
      <c r="C61" s="418" t="s">
        <v>116</v>
      </c>
      <c r="D61" s="408">
        <f>SUM(B64:Y64)</f>
        <v>25.874000000000006</v>
      </c>
      <c r="E61" s="418" t="s">
        <v>115</v>
      </c>
      <c r="F61" s="460">
        <f>D61/g/J61</f>
        <v>2.6375127420998985</v>
      </c>
      <c r="G61" s="418" t="s">
        <v>57</v>
      </c>
      <c r="H61" s="86">
        <v>1.1000000000000001</v>
      </c>
      <c r="I61" s="418" t="s">
        <v>272</v>
      </c>
      <c r="J61" s="410">
        <f>H61-L61</f>
        <v>1</v>
      </c>
      <c r="K61" s="418" t="s">
        <v>273</v>
      </c>
      <c r="L61" s="86">
        <v>0.1</v>
      </c>
      <c r="M61" s="418" t="s">
        <v>58</v>
      </c>
      <c r="N61" s="87">
        <f>0.5*R61</f>
        <v>150</v>
      </c>
      <c r="O61" s="418" t="s">
        <v>60</v>
      </c>
      <c r="P61" s="87">
        <v>150</v>
      </c>
      <c r="Q61" s="418" t="s">
        <v>61</v>
      </c>
      <c r="R61" s="87">
        <v>300</v>
      </c>
      <c r="S61" s="418" t="s">
        <v>62</v>
      </c>
      <c r="T61" s="87">
        <v>98</v>
      </c>
      <c r="U61" s="418" t="s">
        <v>55</v>
      </c>
      <c r="V61" s="88" t="s">
        <v>277</v>
      </c>
      <c r="W61" s="17"/>
      <c r="X61" s="17"/>
      <c r="Y61" s="17"/>
    </row>
    <row r="62" spans="1:25" x14ac:dyDescent="0.25">
      <c r="A62" s="417" t="s">
        <v>33</v>
      </c>
      <c r="B62" s="425">
        <v>0</v>
      </c>
      <c r="C62" s="426">
        <v>1E-3</v>
      </c>
      <c r="D62" s="426">
        <v>0.02</v>
      </c>
      <c r="E62" s="426">
        <v>0.04</v>
      </c>
      <c r="F62" s="426">
        <v>0.06</v>
      </c>
      <c r="G62" s="426">
        <v>0.08</v>
      </c>
      <c r="H62" s="426">
        <v>0.1</v>
      </c>
      <c r="I62" s="426">
        <v>0.12</v>
      </c>
      <c r="J62" s="426">
        <v>0.14000000000000001</v>
      </c>
      <c r="K62" s="426">
        <v>0.16400000000000001</v>
      </c>
      <c r="L62" s="426">
        <v>0.16500000000000001</v>
      </c>
      <c r="M62" s="426">
        <v>0.16500000000000001</v>
      </c>
      <c r="N62" s="426">
        <v>0.16500000000000001</v>
      </c>
      <c r="O62" s="426">
        <v>0.16500000000000001</v>
      </c>
      <c r="P62" s="426">
        <v>0.16500000000000001</v>
      </c>
      <c r="Q62" s="426">
        <v>0.16500000000000001</v>
      </c>
      <c r="R62" s="426">
        <v>0.16500000000000001</v>
      </c>
      <c r="S62" s="426">
        <v>0.16500000000000001</v>
      </c>
      <c r="T62" s="426">
        <v>0.16500000000000001</v>
      </c>
      <c r="U62" s="426">
        <v>0.16500000000000001</v>
      </c>
      <c r="V62" s="426">
        <v>0.16500000000000001</v>
      </c>
      <c r="W62" s="426">
        <v>0.16500000000000001</v>
      </c>
      <c r="X62" s="426">
        <v>0.16500000000000001</v>
      </c>
      <c r="Y62" s="437">
        <v>1000</v>
      </c>
    </row>
    <row r="63" spans="1:25" x14ac:dyDescent="0.25">
      <c r="A63" s="434" t="s">
        <v>34</v>
      </c>
      <c r="B63" s="427">
        <v>0</v>
      </c>
      <c r="C63" s="428">
        <v>310</v>
      </c>
      <c r="D63" s="428">
        <v>245</v>
      </c>
      <c r="E63" s="428">
        <v>200</v>
      </c>
      <c r="F63" s="428">
        <v>165</v>
      </c>
      <c r="G63" s="428">
        <v>143</v>
      </c>
      <c r="H63" s="428">
        <v>124</v>
      </c>
      <c r="I63" s="428">
        <v>108</v>
      </c>
      <c r="J63" s="428">
        <v>97</v>
      </c>
      <c r="K63" s="428">
        <v>85</v>
      </c>
      <c r="L63" s="428">
        <v>0</v>
      </c>
      <c r="M63" s="428">
        <v>0</v>
      </c>
      <c r="N63" s="428">
        <v>0</v>
      </c>
      <c r="O63" s="428">
        <v>0</v>
      </c>
      <c r="P63" s="428">
        <v>0</v>
      </c>
      <c r="Q63" s="428">
        <v>0</v>
      </c>
      <c r="R63" s="428">
        <v>0</v>
      </c>
      <c r="S63" s="428">
        <v>0</v>
      </c>
      <c r="T63" s="428">
        <v>0</v>
      </c>
      <c r="U63" s="428">
        <v>0</v>
      </c>
      <c r="V63" s="428">
        <v>0</v>
      </c>
      <c r="W63" s="428">
        <v>0</v>
      </c>
      <c r="X63" s="428">
        <v>0</v>
      </c>
      <c r="Y63" s="438">
        <v>0</v>
      </c>
    </row>
    <row r="64" spans="1:25" ht="13.8" thickBot="1" x14ac:dyDescent="0.3">
      <c r="A64" s="435" t="s">
        <v>117</v>
      </c>
      <c r="B64" s="429">
        <f t="shared" ref="B64:X64" si="9">(C63+B63)*(C62-B62)/2</f>
        <v>0.155</v>
      </c>
      <c r="C64" s="430">
        <f t="shared" si="9"/>
        <v>5.2725</v>
      </c>
      <c r="D64" s="430">
        <f t="shared" si="9"/>
        <v>4.45</v>
      </c>
      <c r="E64" s="430">
        <f t="shared" si="9"/>
        <v>3.6499999999999995</v>
      </c>
      <c r="F64" s="430">
        <f t="shared" si="9"/>
        <v>3.0800000000000005</v>
      </c>
      <c r="G64" s="430">
        <f t="shared" si="9"/>
        <v>2.6700000000000004</v>
      </c>
      <c r="H64" s="430">
        <f t="shared" si="9"/>
        <v>2.319999999999999</v>
      </c>
      <c r="I64" s="430">
        <f t="shared" si="9"/>
        <v>2.0500000000000016</v>
      </c>
      <c r="J64" s="430">
        <f t="shared" si="9"/>
        <v>2.1839999999999993</v>
      </c>
      <c r="K64" s="430">
        <f t="shared" si="9"/>
        <v>4.2500000000000038E-2</v>
      </c>
      <c r="L64" s="430">
        <f t="shared" si="9"/>
        <v>0</v>
      </c>
      <c r="M64" s="430">
        <f t="shared" si="9"/>
        <v>0</v>
      </c>
      <c r="N64" s="430">
        <f t="shared" si="9"/>
        <v>0</v>
      </c>
      <c r="O64" s="430">
        <f t="shared" si="9"/>
        <v>0</v>
      </c>
      <c r="P64" s="430">
        <f t="shared" si="9"/>
        <v>0</v>
      </c>
      <c r="Q64" s="430">
        <f t="shared" si="9"/>
        <v>0</v>
      </c>
      <c r="R64" s="430">
        <f t="shared" si="9"/>
        <v>0</v>
      </c>
      <c r="S64" s="430">
        <f t="shared" si="9"/>
        <v>0</v>
      </c>
      <c r="T64" s="430">
        <f t="shared" si="9"/>
        <v>0</v>
      </c>
      <c r="U64" s="430">
        <f t="shared" si="9"/>
        <v>0</v>
      </c>
      <c r="V64" s="430">
        <f t="shared" si="9"/>
        <v>0</v>
      </c>
      <c r="W64" s="430">
        <f t="shared" si="9"/>
        <v>0</v>
      </c>
      <c r="X64" s="430">
        <f t="shared" si="9"/>
        <v>0</v>
      </c>
      <c r="Y64" s="424"/>
    </row>
    <row r="66" spans="1:26" ht="13.8" thickBot="1" x14ac:dyDescent="0.3">
      <c r="A66" s="492" t="s">
        <v>182</v>
      </c>
    </row>
    <row r="67" spans="1:26" ht="13.8" thickBot="1" x14ac:dyDescent="0.3">
      <c r="A67" s="416" t="s">
        <v>112</v>
      </c>
      <c r="B67" s="414">
        <f>ROW(A67)</f>
        <v>67</v>
      </c>
      <c r="C67" s="418" t="s">
        <v>116</v>
      </c>
      <c r="D67" s="408">
        <f>SUM(B70:Y70)</f>
        <v>2.65</v>
      </c>
      <c r="E67" s="418" t="s">
        <v>115</v>
      </c>
      <c r="F67" s="409">
        <f>D67/g/J67</f>
        <v>54.026503567787969</v>
      </c>
      <c r="G67" s="418" t="s">
        <v>57</v>
      </c>
      <c r="H67" s="86">
        <v>1.4999999999999999E-2</v>
      </c>
      <c r="I67" s="418" t="s">
        <v>272</v>
      </c>
      <c r="J67" s="410">
        <f>H67-L67</f>
        <v>4.9999999999999992E-3</v>
      </c>
      <c r="K67" s="418" t="s">
        <v>273</v>
      </c>
      <c r="L67" s="86">
        <v>0.01</v>
      </c>
      <c r="M67" s="418" t="s">
        <v>58</v>
      </c>
      <c r="N67" s="87">
        <v>30</v>
      </c>
      <c r="O67" s="418" t="s">
        <v>60</v>
      </c>
      <c r="P67" s="87">
        <v>30</v>
      </c>
      <c r="Q67" s="418" t="s">
        <v>61</v>
      </c>
      <c r="R67" s="87">
        <v>70</v>
      </c>
      <c r="S67" s="418" t="s">
        <v>62</v>
      </c>
      <c r="T67" s="87">
        <v>15</v>
      </c>
      <c r="U67" s="418" t="s">
        <v>55</v>
      </c>
      <c r="V67" s="88" t="s">
        <v>118</v>
      </c>
      <c r="W67" s="547" t="s">
        <v>396</v>
      </c>
      <c r="X67" s="549">
        <v>0.32</v>
      </c>
      <c r="Y67" s="547" t="s">
        <v>395</v>
      </c>
      <c r="Z67" s="413">
        <v>3</v>
      </c>
    </row>
    <row r="68" spans="1:26" x14ac:dyDescent="0.25">
      <c r="A68" s="417" t="s">
        <v>33</v>
      </c>
      <c r="B68" s="425">
        <v>0</v>
      </c>
      <c r="C68" s="426">
        <v>0.2</v>
      </c>
      <c r="D68" s="426">
        <v>0.3</v>
      </c>
      <c r="E68" s="426">
        <v>0.4</v>
      </c>
      <c r="F68" s="426">
        <v>0.5</v>
      </c>
      <c r="G68" s="426">
        <v>0.55000000000000004</v>
      </c>
      <c r="H68" s="426">
        <v>0.6</v>
      </c>
      <c r="I68" s="426">
        <v>0.6</v>
      </c>
      <c r="J68" s="426">
        <v>0.6</v>
      </c>
      <c r="K68" s="426">
        <v>0.6</v>
      </c>
      <c r="L68" s="426">
        <v>0.6</v>
      </c>
      <c r="M68" s="426">
        <v>0.6</v>
      </c>
      <c r="N68" s="426">
        <v>0.6</v>
      </c>
      <c r="O68" s="426">
        <v>0.6</v>
      </c>
      <c r="P68" s="426">
        <v>0.6</v>
      </c>
      <c r="Q68" s="426">
        <v>0.6</v>
      </c>
      <c r="R68" s="426">
        <v>0.6</v>
      </c>
      <c r="S68" s="426">
        <v>0.6</v>
      </c>
      <c r="T68" s="426">
        <v>0.6</v>
      </c>
      <c r="U68" s="426">
        <v>0.6</v>
      </c>
      <c r="V68" s="426">
        <v>0.6</v>
      </c>
      <c r="W68" s="426">
        <v>0.6</v>
      </c>
      <c r="X68" s="426">
        <v>0.6</v>
      </c>
      <c r="Y68" s="437">
        <v>1000</v>
      </c>
    </row>
    <row r="69" spans="1:26" x14ac:dyDescent="0.25">
      <c r="A69" s="434" t="s">
        <v>34</v>
      </c>
      <c r="B69" s="427">
        <v>0</v>
      </c>
      <c r="C69" s="428">
        <v>9</v>
      </c>
      <c r="D69" s="428">
        <v>4.5</v>
      </c>
      <c r="E69" s="428">
        <v>4</v>
      </c>
      <c r="F69" s="428">
        <v>4</v>
      </c>
      <c r="G69" s="428">
        <v>3</v>
      </c>
      <c r="H69" s="428">
        <v>0</v>
      </c>
      <c r="I69" s="428">
        <v>0</v>
      </c>
      <c r="J69" s="428">
        <v>0</v>
      </c>
      <c r="K69" s="428">
        <v>0</v>
      </c>
      <c r="L69" s="428">
        <v>0</v>
      </c>
      <c r="M69" s="428">
        <v>0</v>
      </c>
      <c r="N69" s="428">
        <v>0</v>
      </c>
      <c r="O69" s="428">
        <v>0</v>
      </c>
      <c r="P69" s="428">
        <v>0</v>
      </c>
      <c r="Q69" s="428">
        <v>0</v>
      </c>
      <c r="R69" s="428">
        <v>0</v>
      </c>
      <c r="S69" s="428">
        <v>0</v>
      </c>
      <c r="T69" s="428">
        <v>0</v>
      </c>
      <c r="U69" s="428">
        <v>0</v>
      </c>
      <c r="V69" s="428">
        <v>0</v>
      </c>
      <c r="W69" s="428">
        <v>0</v>
      </c>
      <c r="X69" s="428">
        <v>0</v>
      </c>
      <c r="Y69" s="438">
        <v>0</v>
      </c>
    </row>
    <row r="70" spans="1:26" ht="13.8" thickBot="1" x14ac:dyDescent="0.3">
      <c r="A70" s="435" t="s">
        <v>117</v>
      </c>
      <c r="B70" s="429">
        <f t="shared" ref="B70:X70" si="10">(C69+B69)*(C68-B68)/2</f>
        <v>0.9</v>
      </c>
      <c r="C70" s="430">
        <f t="shared" si="10"/>
        <v>0.67499999999999982</v>
      </c>
      <c r="D70" s="430">
        <f t="shared" si="10"/>
        <v>0.42500000000000016</v>
      </c>
      <c r="E70" s="430">
        <f t="shared" si="10"/>
        <v>0.39999999999999991</v>
      </c>
      <c r="F70" s="430">
        <f t="shared" si="10"/>
        <v>0.17500000000000016</v>
      </c>
      <c r="G70" s="430">
        <f t="shared" si="10"/>
        <v>7.49999999999999E-2</v>
      </c>
      <c r="H70" s="430">
        <f t="shared" si="10"/>
        <v>0</v>
      </c>
      <c r="I70" s="430">
        <f t="shared" si="10"/>
        <v>0</v>
      </c>
      <c r="J70" s="430">
        <f t="shared" si="10"/>
        <v>0</v>
      </c>
      <c r="K70" s="430">
        <f t="shared" si="10"/>
        <v>0</v>
      </c>
      <c r="L70" s="430">
        <f t="shared" si="10"/>
        <v>0</v>
      </c>
      <c r="M70" s="430">
        <f t="shared" si="10"/>
        <v>0</v>
      </c>
      <c r="N70" s="430">
        <f t="shared" si="10"/>
        <v>0</v>
      </c>
      <c r="O70" s="430">
        <f t="shared" si="10"/>
        <v>0</v>
      </c>
      <c r="P70" s="430">
        <f t="shared" si="10"/>
        <v>0</v>
      </c>
      <c r="Q70" s="430">
        <f t="shared" si="10"/>
        <v>0</v>
      </c>
      <c r="R70" s="430">
        <f t="shared" si="10"/>
        <v>0</v>
      </c>
      <c r="S70" s="430">
        <f t="shared" si="10"/>
        <v>0</v>
      </c>
      <c r="T70" s="430">
        <f t="shared" si="10"/>
        <v>0</v>
      </c>
      <c r="U70" s="430">
        <f t="shared" si="10"/>
        <v>0</v>
      </c>
      <c r="V70" s="430">
        <f t="shared" si="10"/>
        <v>0</v>
      </c>
      <c r="W70" s="430">
        <f t="shared" si="10"/>
        <v>0</v>
      </c>
      <c r="X70" s="430">
        <f t="shared" si="10"/>
        <v>0</v>
      </c>
      <c r="Y70" s="424"/>
    </row>
    <row r="71" spans="1:26" ht="13.8" thickBot="1" x14ac:dyDescent="0.3">
      <c r="A71" s="17"/>
      <c r="L71" s="17"/>
      <c r="M71" s="17"/>
      <c r="N71" s="17"/>
      <c r="O71" s="17"/>
      <c r="P71" s="17"/>
      <c r="Q71" s="17"/>
      <c r="R71" s="17"/>
      <c r="S71" s="17"/>
      <c r="T71" s="17"/>
      <c r="U71" s="17"/>
      <c r="V71" s="17"/>
      <c r="W71" s="17"/>
      <c r="X71" s="17"/>
      <c r="Y71" s="17"/>
    </row>
    <row r="72" spans="1:26" ht="13.8" thickBot="1" x14ac:dyDescent="0.3">
      <c r="A72" s="416" t="s">
        <v>113</v>
      </c>
      <c r="B72" s="414">
        <f>ROW(A72)</f>
        <v>72</v>
      </c>
      <c r="C72" s="418" t="s">
        <v>116</v>
      </c>
      <c r="D72" s="408">
        <f>SUM(B75:Y75)</f>
        <v>5.25</v>
      </c>
      <c r="E72" s="418" t="s">
        <v>115</v>
      </c>
      <c r="F72" s="409">
        <f>D72/g/J72</f>
        <v>89.1946992864424</v>
      </c>
      <c r="G72" s="418" t="s">
        <v>57</v>
      </c>
      <c r="H72" s="86">
        <v>0.02</v>
      </c>
      <c r="I72" s="418" t="s">
        <v>272</v>
      </c>
      <c r="J72" s="410">
        <f>H72-L72</f>
        <v>6.0000000000000001E-3</v>
      </c>
      <c r="K72" s="418" t="s">
        <v>273</v>
      </c>
      <c r="L72" s="86">
        <v>1.4E-2</v>
      </c>
      <c r="M72" s="418" t="s">
        <v>58</v>
      </c>
      <c r="N72" s="87">
        <v>30</v>
      </c>
      <c r="O72" s="418" t="s">
        <v>60</v>
      </c>
      <c r="P72" s="87">
        <v>30</v>
      </c>
      <c r="Q72" s="418" t="s">
        <v>61</v>
      </c>
      <c r="R72" s="87">
        <v>70</v>
      </c>
      <c r="S72" s="418" t="s">
        <v>62</v>
      </c>
      <c r="T72" s="87">
        <v>15</v>
      </c>
      <c r="U72" s="418" t="s">
        <v>55</v>
      </c>
      <c r="V72" s="88" t="s">
        <v>118</v>
      </c>
      <c r="W72" s="547" t="s">
        <v>396</v>
      </c>
      <c r="X72" s="549">
        <v>1.2</v>
      </c>
      <c r="Y72" s="547" t="s">
        <v>395</v>
      </c>
      <c r="Z72" s="413">
        <v>4</v>
      </c>
    </row>
    <row r="73" spans="1:26" x14ac:dyDescent="0.25">
      <c r="A73" s="417" t="s">
        <v>33</v>
      </c>
      <c r="B73" s="425">
        <v>0</v>
      </c>
      <c r="C73" s="426">
        <v>0.2</v>
      </c>
      <c r="D73" s="426">
        <v>0.3</v>
      </c>
      <c r="E73" s="426">
        <v>0.55000000000000004</v>
      </c>
      <c r="F73" s="426">
        <v>1.05</v>
      </c>
      <c r="G73" s="426">
        <v>1.1499999999999999</v>
      </c>
      <c r="H73" s="426">
        <v>1.1499999999999999</v>
      </c>
      <c r="I73" s="426">
        <v>1.1499999999999999</v>
      </c>
      <c r="J73" s="426">
        <v>1.1499999999999999</v>
      </c>
      <c r="K73" s="426">
        <v>1.1499999999999999</v>
      </c>
      <c r="L73" s="426">
        <v>1.1499999999999999</v>
      </c>
      <c r="M73" s="426">
        <v>1.1499999999999999</v>
      </c>
      <c r="N73" s="426">
        <v>1.1499999999999999</v>
      </c>
      <c r="O73" s="426">
        <v>1.1499999999999999</v>
      </c>
      <c r="P73" s="426">
        <v>1.1499999999999999</v>
      </c>
      <c r="Q73" s="426">
        <v>1.1499999999999999</v>
      </c>
      <c r="R73" s="426">
        <v>1.1499999999999999</v>
      </c>
      <c r="S73" s="426">
        <v>1.1499999999999999</v>
      </c>
      <c r="T73" s="426">
        <v>1.1499999999999999</v>
      </c>
      <c r="U73" s="426">
        <v>1.1499999999999999</v>
      </c>
      <c r="V73" s="426">
        <v>1.1499999999999999</v>
      </c>
      <c r="W73" s="426">
        <v>1.1499999999999999</v>
      </c>
      <c r="X73" s="426">
        <v>1.1499999999999999</v>
      </c>
      <c r="Y73" s="437">
        <v>1000</v>
      </c>
    </row>
    <row r="74" spans="1:26" x14ac:dyDescent="0.25">
      <c r="A74" s="434" t="s">
        <v>34</v>
      </c>
      <c r="B74" s="427">
        <v>0</v>
      </c>
      <c r="C74" s="428">
        <v>10</v>
      </c>
      <c r="D74" s="428">
        <v>6</v>
      </c>
      <c r="E74" s="428">
        <v>4</v>
      </c>
      <c r="F74" s="428">
        <v>4</v>
      </c>
      <c r="G74" s="428">
        <v>0</v>
      </c>
      <c r="H74" s="428">
        <v>0</v>
      </c>
      <c r="I74" s="428">
        <v>0</v>
      </c>
      <c r="J74" s="428">
        <v>0</v>
      </c>
      <c r="K74" s="428">
        <v>0</v>
      </c>
      <c r="L74" s="428">
        <v>0</v>
      </c>
      <c r="M74" s="428">
        <v>0</v>
      </c>
      <c r="N74" s="428">
        <v>0</v>
      </c>
      <c r="O74" s="428">
        <v>0</v>
      </c>
      <c r="P74" s="428">
        <v>0</v>
      </c>
      <c r="Q74" s="428">
        <v>0</v>
      </c>
      <c r="R74" s="428">
        <v>0</v>
      </c>
      <c r="S74" s="428">
        <v>0</v>
      </c>
      <c r="T74" s="428">
        <v>0</v>
      </c>
      <c r="U74" s="428">
        <v>0</v>
      </c>
      <c r="V74" s="428">
        <v>0</v>
      </c>
      <c r="W74" s="428">
        <v>0</v>
      </c>
      <c r="X74" s="428">
        <v>0</v>
      </c>
      <c r="Y74" s="438">
        <v>0</v>
      </c>
    </row>
    <row r="75" spans="1:26" ht="13.8" thickBot="1" x14ac:dyDescent="0.3">
      <c r="A75" s="435" t="s">
        <v>117</v>
      </c>
      <c r="B75" s="429">
        <f t="shared" ref="B75:V75" si="11">(C74+B74)*(C73-B73)/2</f>
        <v>1</v>
      </c>
      <c r="C75" s="430">
        <f t="shared" si="11"/>
        <v>0.79999999999999982</v>
      </c>
      <c r="D75" s="430">
        <f t="shared" si="11"/>
        <v>1.2500000000000002</v>
      </c>
      <c r="E75" s="430">
        <f t="shared" si="11"/>
        <v>2</v>
      </c>
      <c r="F75" s="430">
        <f t="shared" si="11"/>
        <v>0.19999999999999973</v>
      </c>
      <c r="G75" s="430">
        <f t="shared" si="11"/>
        <v>0</v>
      </c>
      <c r="H75" s="430">
        <f t="shared" si="11"/>
        <v>0</v>
      </c>
      <c r="I75" s="430">
        <f t="shared" si="11"/>
        <v>0</v>
      </c>
      <c r="J75" s="430">
        <f>(K74+J74)*(K73-J73)/2</f>
        <v>0</v>
      </c>
      <c r="K75" s="430">
        <f t="shared" si="11"/>
        <v>0</v>
      </c>
      <c r="L75" s="430">
        <f t="shared" si="11"/>
        <v>0</v>
      </c>
      <c r="M75" s="430">
        <f t="shared" si="11"/>
        <v>0</v>
      </c>
      <c r="N75" s="430">
        <f t="shared" si="11"/>
        <v>0</v>
      </c>
      <c r="O75" s="430">
        <f t="shared" si="11"/>
        <v>0</v>
      </c>
      <c r="P75" s="430">
        <f t="shared" si="11"/>
        <v>0</v>
      </c>
      <c r="Q75" s="430">
        <f t="shared" si="11"/>
        <v>0</v>
      </c>
      <c r="R75" s="430">
        <f t="shared" si="11"/>
        <v>0</v>
      </c>
      <c r="S75" s="430">
        <f>(T74+S74)*(T73-S73)/2</f>
        <v>0</v>
      </c>
      <c r="T75" s="430">
        <f t="shared" si="11"/>
        <v>0</v>
      </c>
      <c r="U75" s="430">
        <f t="shared" si="11"/>
        <v>0</v>
      </c>
      <c r="V75" s="430">
        <f t="shared" si="11"/>
        <v>0</v>
      </c>
      <c r="W75" s="430">
        <f>(X74+W74)*(X73-W73)/2</f>
        <v>0</v>
      </c>
      <c r="X75" s="430">
        <f>(Y74+X74)*(Y73-X73)/2</f>
        <v>0</v>
      </c>
      <c r="Y75" s="424"/>
    </row>
    <row r="76" spans="1:26" ht="13.8" thickBot="1" x14ac:dyDescent="0.3">
      <c r="B76" s="17"/>
      <c r="C76" s="17"/>
      <c r="D76" s="17"/>
      <c r="E76" s="17"/>
      <c r="F76" s="17"/>
      <c r="G76" s="17"/>
      <c r="H76" s="17"/>
      <c r="I76" s="17"/>
      <c r="J76" s="17"/>
      <c r="K76" s="17"/>
      <c r="L76" s="17"/>
      <c r="M76" s="17"/>
      <c r="N76" s="17"/>
      <c r="O76" s="17"/>
      <c r="P76" s="17"/>
      <c r="Q76" s="17"/>
      <c r="R76" s="17"/>
      <c r="S76" s="17"/>
      <c r="T76" s="17"/>
      <c r="U76" s="17"/>
      <c r="V76" s="17"/>
      <c r="W76" s="17"/>
      <c r="X76" s="17"/>
      <c r="Y76" s="17"/>
    </row>
    <row r="77" spans="1:26" ht="13.8" thickBot="1" x14ac:dyDescent="0.3">
      <c r="A77" s="416" t="s">
        <v>114</v>
      </c>
      <c r="B77" s="414">
        <f>ROW(A77)</f>
        <v>77</v>
      </c>
      <c r="C77" s="418" t="s">
        <v>116</v>
      </c>
      <c r="D77" s="408">
        <f>SUM(B80:Y80)</f>
        <v>10.26</v>
      </c>
      <c r="E77" s="418" t="s">
        <v>115</v>
      </c>
      <c r="F77" s="409">
        <f>D77/g/J77</f>
        <v>80.451658433309802</v>
      </c>
      <c r="G77" s="418" t="s">
        <v>57</v>
      </c>
      <c r="H77" s="86">
        <v>2.4E-2</v>
      </c>
      <c r="I77" s="418" t="s">
        <v>272</v>
      </c>
      <c r="J77" s="410">
        <f>H77-L77</f>
        <v>1.3000000000000001E-2</v>
      </c>
      <c r="K77" s="418" t="s">
        <v>273</v>
      </c>
      <c r="L77" s="86">
        <v>1.0999999999999999E-2</v>
      </c>
      <c r="M77" s="418" t="s">
        <v>58</v>
      </c>
      <c r="N77" s="87">
        <v>30</v>
      </c>
      <c r="O77" s="418" t="s">
        <v>60</v>
      </c>
      <c r="P77" s="87">
        <v>30</v>
      </c>
      <c r="Q77" s="418" t="s">
        <v>61</v>
      </c>
      <c r="R77" s="87">
        <v>70</v>
      </c>
      <c r="S77" s="418" t="s">
        <v>62</v>
      </c>
      <c r="T77" s="87">
        <v>15</v>
      </c>
      <c r="U77" s="418" t="s">
        <v>55</v>
      </c>
      <c r="V77" s="88" t="s">
        <v>118</v>
      </c>
      <c r="W77" s="547" t="s">
        <v>396</v>
      </c>
      <c r="X77" s="549">
        <v>1.7</v>
      </c>
      <c r="Y77" s="547" t="s">
        <v>395</v>
      </c>
      <c r="Z77" s="413">
        <v>3</v>
      </c>
    </row>
    <row r="78" spans="1:26" x14ac:dyDescent="0.25">
      <c r="A78" s="417" t="s">
        <v>33</v>
      </c>
      <c r="B78" s="425">
        <v>0</v>
      </c>
      <c r="C78" s="426">
        <v>0.2</v>
      </c>
      <c r="D78" s="426">
        <v>0.3</v>
      </c>
      <c r="E78" s="426">
        <v>0.6</v>
      </c>
      <c r="F78" s="426">
        <v>0.8</v>
      </c>
      <c r="G78" s="426">
        <v>2</v>
      </c>
      <c r="H78" s="426">
        <v>2.1</v>
      </c>
      <c r="I78" s="426">
        <v>2.1</v>
      </c>
      <c r="J78" s="426">
        <v>2.1</v>
      </c>
      <c r="K78" s="426">
        <v>2.1</v>
      </c>
      <c r="L78" s="426">
        <v>2.1</v>
      </c>
      <c r="M78" s="426">
        <v>2.1</v>
      </c>
      <c r="N78" s="426">
        <v>2.1</v>
      </c>
      <c r="O78" s="426">
        <v>2.1</v>
      </c>
      <c r="P78" s="426">
        <v>2.1</v>
      </c>
      <c r="Q78" s="426">
        <v>2.1</v>
      </c>
      <c r="R78" s="426">
        <v>2.1</v>
      </c>
      <c r="S78" s="426">
        <v>2.1</v>
      </c>
      <c r="T78" s="426">
        <v>2.1</v>
      </c>
      <c r="U78" s="426">
        <v>2.1</v>
      </c>
      <c r="V78" s="426">
        <v>2.1</v>
      </c>
      <c r="W78" s="426">
        <v>2.1</v>
      </c>
      <c r="X78" s="426">
        <v>2.1</v>
      </c>
      <c r="Y78" s="437">
        <v>1000</v>
      </c>
    </row>
    <row r="79" spans="1:26" x14ac:dyDescent="0.25">
      <c r="A79" s="434" t="s">
        <v>34</v>
      </c>
      <c r="B79" s="427">
        <v>0</v>
      </c>
      <c r="C79" s="428">
        <v>11</v>
      </c>
      <c r="D79" s="428">
        <v>7</v>
      </c>
      <c r="E79" s="428">
        <v>4</v>
      </c>
      <c r="F79" s="428">
        <v>4.5999999999999996</v>
      </c>
      <c r="G79" s="428">
        <v>4.5999999999999996</v>
      </c>
      <c r="H79" s="428">
        <v>0</v>
      </c>
      <c r="I79" s="428">
        <v>0</v>
      </c>
      <c r="J79" s="428">
        <v>0</v>
      </c>
      <c r="K79" s="428">
        <v>0</v>
      </c>
      <c r="L79" s="428">
        <v>0</v>
      </c>
      <c r="M79" s="428">
        <v>0</v>
      </c>
      <c r="N79" s="428">
        <v>0</v>
      </c>
      <c r="O79" s="428">
        <v>0</v>
      </c>
      <c r="P79" s="428">
        <v>0</v>
      </c>
      <c r="Q79" s="428">
        <v>0</v>
      </c>
      <c r="R79" s="428">
        <v>0</v>
      </c>
      <c r="S79" s="428">
        <v>0</v>
      </c>
      <c r="T79" s="428">
        <v>0</v>
      </c>
      <c r="U79" s="428">
        <v>0</v>
      </c>
      <c r="V79" s="428">
        <v>0</v>
      </c>
      <c r="W79" s="428">
        <v>0</v>
      </c>
      <c r="X79" s="428">
        <v>0</v>
      </c>
      <c r="Y79" s="438">
        <v>0</v>
      </c>
    </row>
    <row r="80" spans="1:26" ht="13.8" thickBot="1" x14ac:dyDescent="0.3">
      <c r="A80" s="435" t="s">
        <v>117</v>
      </c>
      <c r="B80" s="429">
        <f t="shared" ref="B80:G80" si="12">(C79+B79)*(C78-B78)/2</f>
        <v>1.1000000000000001</v>
      </c>
      <c r="C80" s="430">
        <f t="shared" si="12"/>
        <v>0.8999999999999998</v>
      </c>
      <c r="D80" s="430">
        <f t="shared" si="12"/>
        <v>1.65</v>
      </c>
      <c r="E80" s="430">
        <f t="shared" si="12"/>
        <v>0.86000000000000021</v>
      </c>
      <c r="F80" s="430">
        <f t="shared" si="12"/>
        <v>5.52</v>
      </c>
      <c r="G80" s="430">
        <f t="shared" si="12"/>
        <v>0.23000000000000018</v>
      </c>
      <c r="H80" s="430">
        <f t="shared" ref="H80:V80" si="13">(I79+H79)*(I78-H78)/2</f>
        <v>0</v>
      </c>
      <c r="I80" s="430">
        <f t="shared" si="13"/>
        <v>0</v>
      </c>
      <c r="J80" s="430">
        <f>(K79+J79)*(K78-J78)/2</f>
        <v>0</v>
      </c>
      <c r="K80" s="430">
        <f t="shared" si="13"/>
        <v>0</v>
      </c>
      <c r="L80" s="430">
        <f t="shared" si="13"/>
        <v>0</v>
      </c>
      <c r="M80" s="430">
        <f t="shared" si="13"/>
        <v>0</v>
      </c>
      <c r="N80" s="430">
        <f t="shared" si="13"/>
        <v>0</v>
      </c>
      <c r="O80" s="430">
        <f t="shared" si="13"/>
        <v>0</v>
      </c>
      <c r="P80" s="430">
        <f t="shared" si="13"/>
        <v>0</v>
      </c>
      <c r="Q80" s="430">
        <f t="shared" si="13"/>
        <v>0</v>
      </c>
      <c r="R80" s="430">
        <f t="shared" si="13"/>
        <v>0</v>
      </c>
      <c r="S80" s="430">
        <f>(T79+S79)*(T78-S78)/2</f>
        <v>0</v>
      </c>
      <c r="T80" s="430">
        <f t="shared" si="13"/>
        <v>0</v>
      </c>
      <c r="U80" s="430">
        <f t="shared" si="13"/>
        <v>0</v>
      </c>
      <c r="V80" s="430">
        <f t="shared" si="13"/>
        <v>0</v>
      </c>
      <c r="W80" s="430">
        <f>(X79+W79)*(X78-W78)/2</f>
        <v>0</v>
      </c>
      <c r="X80" s="430">
        <f>(Y79+X79)*(Y78-X78)/2</f>
        <v>0</v>
      </c>
      <c r="Y80" s="424"/>
    </row>
    <row r="81" spans="1:26" ht="13.8" thickBot="1" x14ac:dyDescent="0.3">
      <c r="A81" s="17"/>
      <c r="L81" s="17"/>
      <c r="M81" s="17"/>
      <c r="N81" s="17"/>
      <c r="O81" s="17"/>
      <c r="P81" s="17"/>
      <c r="Q81" s="17"/>
      <c r="R81" s="17"/>
      <c r="S81" s="17"/>
      <c r="T81" s="17"/>
      <c r="U81" s="17"/>
      <c r="V81" s="17"/>
      <c r="W81" s="17"/>
      <c r="X81" s="17"/>
      <c r="Y81" s="17"/>
    </row>
    <row r="82" spans="1:26" ht="13.8" thickBot="1" x14ac:dyDescent="0.3">
      <c r="A82" s="416" t="s">
        <v>331</v>
      </c>
      <c r="B82" s="414">
        <f>ROW(A82)</f>
        <v>82</v>
      </c>
      <c r="C82" s="418" t="s">
        <v>116</v>
      </c>
      <c r="D82" s="408">
        <f>SUM(B85:Y85)</f>
        <v>20.52</v>
      </c>
      <c r="E82" s="418" t="s">
        <v>115</v>
      </c>
      <c r="F82" s="409">
        <f>D82/g/J82</f>
        <v>80.451658433309802</v>
      </c>
      <c r="G82" s="418" t="s">
        <v>57</v>
      </c>
      <c r="H82" s="86">
        <f>H77*2</f>
        <v>4.8000000000000001E-2</v>
      </c>
      <c r="I82" s="418" t="s">
        <v>272</v>
      </c>
      <c r="J82" s="410">
        <f>H82-L82</f>
        <v>2.6000000000000002E-2</v>
      </c>
      <c r="K82" s="418" t="s">
        <v>273</v>
      </c>
      <c r="L82" s="86">
        <f>L77*2</f>
        <v>2.1999999999999999E-2</v>
      </c>
      <c r="M82" s="418" t="s">
        <v>58</v>
      </c>
      <c r="N82" s="87">
        <v>30</v>
      </c>
      <c r="O82" s="418" t="s">
        <v>60</v>
      </c>
      <c r="P82" s="87">
        <v>30</v>
      </c>
      <c r="Q82" s="418" t="s">
        <v>61</v>
      </c>
      <c r="R82" s="87">
        <v>70</v>
      </c>
      <c r="S82" s="418" t="s">
        <v>62</v>
      </c>
      <c r="T82" s="87">
        <v>30</v>
      </c>
      <c r="U82" s="418" t="s">
        <v>55</v>
      </c>
      <c r="V82" s="88" t="s">
        <v>118</v>
      </c>
      <c r="W82" s="547" t="s">
        <v>396</v>
      </c>
      <c r="X82" s="549">
        <v>1.7</v>
      </c>
      <c r="Y82" s="547" t="s">
        <v>395</v>
      </c>
      <c r="Z82" s="413">
        <v>3</v>
      </c>
    </row>
    <row r="83" spans="1:26" x14ac:dyDescent="0.25">
      <c r="A83" s="417" t="s">
        <v>33</v>
      </c>
      <c r="B83" s="425">
        <v>0</v>
      </c>
      <c r="C83" s="426">
        <v>0.2</v>
      </c>
      <c r="D83" s="426">
        <v>0.3</v>
      </c>
      <c r="E83" s="426">
        <v>0.6</v>
      </c>
      <c r="F83" s="426">
        <v>0.8</v>
      </c>
      <c r="G83" s="426">
        <v>2</v>
      </c>
      <c r="H83" s="426">
        <v>2.1</v>
      </c>
      <c r="I83" s="426">
        <v>2.1</v>
      </c>
      <c r="J83" s="426">
        <v>2.1</v>
      </c>
      <c r="K83" s="426">
        <v>2.1</v>
      </c>
      <c r="L83" s="426">
        <v>2.1</v>
      </c>
      <c r="M83" s="426">
        <v>2.1</v>
      </c>
      <c r="N83" s="426">
        <v>2.1</v>
      </c>
      <c r="O83" s="426">
        <v>2.1</v>
      </c>
      <c r="P83" s="426">
        <v>2.1</v>
      </c>
      <c r="Q83" s="426">
        <v>2.1</v>
      </c>
      <c r="R83" s="426">
        <v>2.1</v>
      </c>
      <c r="S83" s="426">
        <v>2.1</v>
      </c>
      <c r="T83" s="426">
        <v>2.1</v>
      </c>
      <c r="U83" s="426">
        <v>2.1</v>
      </c>
      <c r="V83" s="426">
        <v>2.1</v>
      </c>
      <c r="W83" s="426">
        <v>2.1</v>
      </c>
      <c r="X83" s="426">
        <v>2.1</v>
      </c>
      <c r="Y83" s="437">
        <v>1000</v>
      </c>
    </row>
    <row r="84" spans="1:26" x14ac:dyDescent="0.25">
      <c r="A84" s="434" t="s">
        <v>34</v>
      </c>
      <c r="B84" s="427">
        <f>B79*2</f>
        <v>0</v>
      </c>
      <c r="C84" s="428">
        <f t="shared" ref="C84:X84" si="14">C79*2</f>
        <v>22</v>
      </c>
      <c r="D84" s="428">
        <f t="shared" si="14"/>
        <v>14</v>
      </c>
      <c r="E84" s="428">
        <f t="shared" si="14"/>
        <v>8</v>
      </c>
      <c r="F84" s="428">
        <f t="shared" si="14"/>
        <v>9.1999999999999993</v>
      </c>
      <c r="G84" s="428">
        <f t="shared" si="14"/>
        <v>9.1999999999999993</v>
      </c>
      <c r="H84" s="428">
        <f t="shared" si="14"/>
        <v>0</v>
      </c>
      <c r="I84" s="428">
        <f t="shared" si="14"/>
        <v>0</v>
      </c>
      <c r="J84" s="428">
        <f t="shared" si="14"/>
        <v>0</v>
      </c>
      <c r="K84" s="428">
        <f t="shared" si="14"/>
        <v>0</v>
      </c>
      <c r="L84" s="428">
        <f t="shared" si="14"/>
        <v>0</v>
      </c>
      <c r="M84" s="428">
        <f t="shared" si="14"/>
        <v>0</v>
      </c>
      <c r="N84" s="428">
        <f t="shared" si="14"/>
        <v>0</v>
      </c>
      <c r="O84" s="428">
        <f t="shared" si="14"/>
        <v>0</v>
      </c>
      <c r="P84" s="428">
        <f t="shared" si="14"/>
        <v>0</v>
      </c>
      <c r="Q84" s="428">
        <f t="shared" si="14"/>
        <v>0</v>
      </c>
      <c r="R84" s="428">
        <f t="shared" si="14"/>
        <v>0</v>
      </c>
      <c r="S84" s="428">
        <f t="shared" si="14"/>
        <v>0</v>
      </c>
      <c r="T84" s="428">
        <f t="shared" si="14"/>
        <v>0</v>
      </c>
      <c r="U84" s="428">
        <f t="shared" si="14"/>
        <v>0</v>
      </c>
      <c r="V84" s="428">
        <f t="shared" si="14"/>
        <v>0</v>
      </c>
      <c r="W84" s="428">
        <f t="shared" si="14"/>
        <v>0</v>
      </c>
      <c r="X84" s="428">
        <f t="shared" si="14"/>
        <v>0</v>
      </c>
      <c r="Y84" s="438">
        <v>0</v>
      </c>
    </row>
    <row r="85" spans="1:26" ht="13.8" thickBot="1" x14ac:dyDescent="0.3">
      <c r="A85" s="435" t="s">
        <v>117</v>
      </c>
      <c r="B85" s="429">
        <f t="shared" ref="B85:X85" si="15">(C84+B84)*(C83-B83)/2</f>
        <v>2.2000000000000002</v>
      </c>
      <c r="C85" s="430">
        <f t="shared" si="15"/>
        <v>1.7999999999999996</v>
      </c>
      <c r="D85" s="430">
        <f t="shared" si="15"/>
        <v>3.3</v>
      </c>
      <c r="E85" s="430">
        <f t="shared" si="15"/>
        <v>1.7200000000000004</v>
      </c>
      <c r="F85" s="430">
        <f t="shared" si="15"/>
        <v>11.04</v>
      </c>
      <c r="G85" s="430">
        <f t="shared" si="15"/>
        <v>0.46000000000000035</v>
      </c>
      <c r="H85" s="430">
        <f t="shared" si="15"/>
        <v>0</v>
      </c>
      <c r="I85" s="430">
        <f t="shared" si="15"/>
        <v>0</v>
      </c>
      <c r="J85" s="430">
        <f t="shared" si="15"/>
        <v>0</v>
      </c>
      <c r="K85" s="430">
        <f t="shared" si="15"/>
        <v>0</v>
      </c>
      <c r="L85" s="430">
        <f t="shared" si="15"/>
        <v>0</v>
      </c>
      <c r="M85" s="430">
        <f t="shared" si="15"/>
        <v>0</v>
      </c>
      <c r="N85" s="430">
        <f t="shared" si="15"/>
        <v>0</v>
      </c>
      <c r="O85" s="430">
        <f t="shared" si="15"/>
        <v>0</v>
      </c>
      <c r="P85" s="430">
        <f t="shared" si="15"/>
        <v>0</v>
      </c>
      <c r="Q85" s="430">
        <f t="shared" si="15"/>
        <v>0</v>
      </c>
      <c r="R85" s="430">
        <f t="shared" si="15"/>
        <v>0</v>
      </c>
      <c r="S85" s="430">
        <f t="shared" si="15"/>
        <v>0</v>
      </c>
      <c r="T85" s="430">
        <f t="shared" si="15"/>
        <v>0</v>
      </c>
      <c r="U85" s="430">
        <f t="shared" si="15"/>
        <v>0</v>
      </c>
      <c r="V85" s="430">
        <f t="shared" si="15"/>
        <v>0</v>
      </c>
      <c r="W85" s="430">
        <f t="shared" si="15"/>
        <v>0</v>
      </c>
      <c r="X85" s="430">
        <f t="shared" si="15"/>
        <v>0</v>
      </c>
      <c r="Y85" s="424"/>
    </row>
    <row r="86" spans="1:26" ht="13.8" thickBot="1" x14ac:dyDescent="0.3">
      <c r="B86" s="17"/>
      <c r="C86" s="17"/>
      <c r="D86" s="17"/>
      <c r="E86" s="17"/>
      <c r="F86" s="17"/>
      <c r="G86" s="17"/>
      <c r="H86" s="17"/>
      <c r="I86" s="17"/>
      <c r="J86" s="17"/>
      <c r="K86" s="17"/>
      <c r="L86" s="17"/>
      <c r="M86" s="17"/>
      <c r="N86" s="17"/>
      <c r="O86" s="17"/>
      <c r="P86" s="17"/>
      <c r="Q86" s="17"/>
      <c r="R86" s="17"/>
      <c r="S86" s="17"/>
      <c r="T86" s="17"/>
      <c r="U86" s="17"/>
      <c r="V86" s="17"/>
      <c r="W86" s="17"/>
      <c r="X86" s="17"/>
      <c r="Y86" s="17"/>
    </row>
    <row r="87" spans="1:26" ht="13.8" thickBot="1" x14ac:dyDescent="0.3">
      <c r="A87" s="416" t="s">
        <v>332</v>
      </c>
      <c r="B87" s="414">
        <f>ROW(A87)</f>
        <v>87</v>
      </c>
      <c r="C87" s="418" t="s">
        <v>116</v>
      </c>
      <c r="D87" s="408">
        <f>SUM(B90:Y90)</f>
        <v>30.779999999999998</v>
      </c>
      <c r="E87" s="418" t="s">
        <v>115</v>
      </c>
      <c r="F87" s="409">
        <f>D87/g/J87</f>
        <v>80.451658433309774</v>
      </c>
      <c r="G87" s="418" t="s">
        <v>57</v>
      </c>
      <c r="H87" s="86">
        <f>H77*3</f>
        <v>7.2000000000000008E-2</v>
      </c>
      <c r="I87" s="418" t="s">
        <v>272</v>
      </c>
      <c r="J87" s="410">
        <f>H87-L87</f>
        <v>3.9000000000000007E-2</v>
      </c>
      <c r="K87" s="418" t="s">
        <v>273</v>
      </c>
      <c r="L87" s="86">
        <f>L77*3</f>
        <v>3.3000000000000002E-2</v>
      </c>
      <c r="M87" s="418" t="s">
        <v>58</v>
      </c>
      <c r="N87" s="87">
        <v>30</v>
      </c>
      <c r="O87" s="418" t="s">
        <v>60</v>
      </c>
      <c r="P87" s="87">
        <v>30</v>
      </c>
      <c r="Q87" s="418" t="s">
        <v>61</v>
      </c>
      <c r="R87" s="87">
        <v>70</v>
      </c>
      <c r="S87" s="418" t="s">
        <v>62</v>
      </c>
      <c r="T87" s="87">
        <v>40</v>
      </c>
      <c r="U87" s="418" t="s">
        <v>55</v>
      </c>
      <c r="V87" s="88" t="s">
        <v>118</v>
      </c>
      <c r="W87" s="547" t="s">
        <v>396</v>
      </c>
      <c r="X87" s="549">
        <v>1.7</v>
      </c>
      <c r="Y87" s="547" t="s">
        <v>395</v>
      </c>
      <c r="Z87" s="413">
        <v>3</v>
      </c>
    </row>
    <row r="88" spans="1:26" x14ac:dyDescent="0.25">
      <c r="A88" s="417" t="s">
        <v>33</v>
      </c>
      <c r="B88" s="425">
        <v>0</v>
      </c>
      <c r="C88" s="426">
        <v>0.2</v>
      </c>
      <c r="D88" s="426">
        <v>0.3</v>
      </c>
      <c r="E88" s="426">
        <v>0.6</v>
      </c>
      <c r="F88" s="426">
        <v>0.8</v>
      </c>
      <c r="G88" s="426">
        <v>2</v>
      </c>
      <c r="H88" s="426">
        <v>2.1</v>
      </c>
      <c r="I88" s="426">
        <v>2.1</v>
      </c>
      <c r="J88" s="426">
        <v>2.1</v>
      </c>
      <c r="K88" s="426">
        <v>2.1</v>
      </c>
      <c r="L88" s="426">
        <v>2.1</v>
      </c>
      <c r="M88" s="426">
        <v>2.1</v>
      </c>
      <c r="N88" s="426">
        <v>2.1</v>
      </c>
      <c r="O88" s="426">
        <v>2.1</v>
      </c>
      <c r="P88" s="426">
        <v>2.1</v>
      </c>
      <c r="Q88" s="426">
        <v>2.1</v>
      </c>
      <c r="R88" s="426">
        <v>2.1</v>
      </c>
      <c r="S88" s="426">
        <v>2.1</v>
      </c>
      <c r="T88" s="426">
        <v>2.1</v>
      </c>
      <c r="U88" s="426">
        <v>2.1</v>
      </c>
      <c r="V88" s="426">
        <v>2.1</v>
      </c>
      <c r="W88" s="426">
        <v>2.1</v>
      </c>
      <c r="X88" s="426">
        <v>2.1</v>
      </c>
      <c r="Y88" s="437">
        <v>1000</v>
      </c>
    </row>
    <row r="89" spans="1:26" x14ac:dyDescent="0.25">
      <c r="A89" s="434" t="s">
        <v>34</v>
      </c>
      <c r="B89" s="427">
        <f>B79*3</f>
        <v>0</v>
      </c>
      <c r="C89" s="428">
        <f t="shared" ref="C89:X89" si="16">C79*3</f>
        <v>33</v>
      </c>
      <c r="D89" s="428">
        <f t="shared" si="16"/>
        <v>21</v>
      </c>
      <c r="E89" s="428">
        <f t="shared" si="16"/>
        <v>12</v>
      </c>
      <c r="F89" s="428">
        <f t="shared" si="16"/>
        <v>13.799999999999999</v>
      </c>
      <c r="G89" s="428">
        <f t="shared" si="16"/>
        <v>13.799999999999999</v>
      </c>
      <c r="H89" s="428">
        <f t="shared" si="16"/>
        <v>0</v>
      </c>
      <c r="I89" s="428">
        <f t="shared" si="16"/>
        <v>0</v>
      </c>
      <c r="J89" s="428">
        <f t="shared" si="16"/>
        <v>0</v>
      </c>
      <c r="K89" s="428">
        <f t="shared" si="16"/>
        <v>0</v>
      </c>
      <c r="L89" s="428">
        <f t="shared" si="16"/>
        <v>0</v>
      </c>
      <c r="M89" s="428">
        <f t="shared" si="16"/>
        <v>0</v>
      </c>
      <c r="N89" s="428">
        <f t="shared" si="16"/>
        <v>0</v>
      </c>
      <c r="O89" s="428">
        <f t="shared" si="16"/>
        <v>0</v>
      </c>
      <c r="P89" s="428">
        <f t="shared" si="16"/>
        <v>0</v>
      </c>
      <c r="Q89" s="428">
        <f t="shared" si="16"/>
        <v>0</v>
      </c>
      <c r="R89" s="428">
        <f t="shared" si="16"/>
        <v>0</v>
      </c>
      <c r="S89" s="428">
        <f t="shared" si="16"/>
        <v>0</v>
      </c>
      <c r="T89" s="428">
        <f t="shared" si="16"/>
        <v>0</v>
      </c>
      <c r="U89" s="428">
        <f t="shared" si="16"/>
        <v>0</v>
      </c>
      <c r="V89" s="428">
        <f t="shared" si="16"/>
        <v>0</v>
      </c>
      <c r="W89" s="428">
        <f t="shared" si="16"/>
        <v>0</v>
      </c>
      <c r="X89" s="428">
        <f t="shared" si="16"/>
        <v>0</v>
      </c>
      <c r="Y89" s="438">
        <v>0</v>
      </c>
    </row>
    <row r="90" spans="1:26" ht="13.8" thickBot="1" x14ac:dyDescent="0.3">
      <c r="A90" s="435" t="s">
        <v>117</v>
      </c>
      <c r="B90" s="429">
        <f t="shared" ref="B90:X90" si="17">(C89+B89)*(C88-B88)/2</f>
        <v>3.3000000000000003</v>
      </c>
      <c r="C90" s="430">
        <f t="shared" si="17"/>
        <v>2.6999999999999993</v>
      </c>
      <c r="D90" s="430">
        <f t="shared" si="17"/>
        <v>4.95</v>
      </c>
      <c r="E90" s="430">
        <f t="shared" si="17"/>
        <v>2.5800000000000005</v>
      </c>
      <c r="F90" s="430">
        <f t="shared" si="17"/>
        <v>16.559999999999999</v>
      </c>
      <c r="G90" s="430">
        <f t="shared" si="17"/>
        <v>0.69000000000000061</v>
      </c>
      <c r="H90" s="430">
        <f t="shared" si="17"/>
        <v>0</v>
      </c>
      <c r="I90" s="430">
        <f t="shared" si="17"/>
        <v>0</v>
      </c>
      <c r="J90" s="430">
        <f t="shared" si="17"/>
        <v>0</v>
      </c>
      <c r="K90" s="430">
        <f t="shared" si="17"/>
        <v>0</v>
      </c>
      <c r="L90" s="430">
        <f t="shared" si="17"/>
        <v>0</v>
      </c>
      <c r="M90" s="430">
        <f t="shared" si="17"/>
        <v>0</v>
      </c>
      <c r="N90" s="430">
        <f t="shared" si="17"/>
        <v>0</v>
      </c>
      <c r="O90" s="430">
        <f t="shared" si="17"/>
        <v>0</v>
      </c>
      <c r="P90" s="430">
        <f t="shared" si="17"/>
        <v>0</v>
      </c>
      <c r="Q90" s="430">
        <f t="shared" si="17"/>
        <v>0</v>
      </c>
      <c r="R90" s="430">
        <f t="shared" si="17"/>
        <v>0</v>
      </c>
      <c r="S90" s="430">
        <f t="shared" si="17"/>
        <v>0</v>
      </c>
      <c r="T90" s="430">
        <f t="shared" si="17"/>
        <v>0</v>
      </c>
      <c r="U90" s="430">
        <f t="shared" si="17"/>
        <v>0</v>
      </c>
      <c r="V90" s="430">
        <f t="shared" si="17"/>
        <v>0</v>
      </c>
      <c r="W90" s="430">
        <f t="shared" si="17"/>
        <v>0</v>
      </c>
      <c r="X90" s="430">
        <f t="shared" si="17"/>
        <v>0</v>
      </c>
      <c r="Y90" s="424"/>
    </row>
    <row r="91" spans="1:26" ht="13.8" thickBot="1" x14ac:dyDescent="0.3">
      <c r="B91" s="17"/>
      <c r="C91" s="17"/>
      <c r="D91" s="17"/>
      <c r="E91" s="17"/>
      <c r="F91" s="17"/>
      <c r="G91" s="17"/>
      <c r="H91" s="17"/>
      <c r="I91" s="17"/>
      <c r="J91" s="17"/>
      <c r="K91" s="17"/>
      <c r="L91" s="17"/>
      <c r="M91" s="17"/>
      <c r="N91" s="17"/>
      <c r="O91" s="17"/>
      <c r="P91" s="17"/>
      <c r="Q91" s="17"/>
      <c r="R91" s="17"/>
      <c r="S91" s="17"/>
      <c r="T91" s="17"/>
      <c r="U91" s="17"/>
      <c r="V91" s="17"/>
      <c r="W91" s="17"/>
      <c r="X91" s="17"/>
      <c r="Y91" s="17"/>
    </row>
    <row r="92" spans="1:26" ht="13.8" thickBot="1" x14ac:dyDescent="0.3">
      <c r="A92" s="416" t="s">
        <v>543</v>
      </c>
      <c r="B92" s="414">
        <f>ROW(A92)</f>
        <v>92</v>
      </c>
      <c r="C92" s="418" t="s">
        <v>116</v>
      </c>
      <c r="D92" s="408">
        <f>SUM(B95:Y95)</f>
        <v>19.961989000000003</v>
      </c>
      <c r="E92" s="418" t="s">
        <v>115</v>
      </c>
      <c r="F92" s="409">
        <f>D92/g/J92</f>
        <v>118.30588744280873</v>
      </c>
      <c r="G92" s="418" t="s">
        <v>57</v>
      </c>
      <c r="H92" s="86">
        <v>2.8199999999999999E-2</v>
      </c>
      <c r="I92" s="418" t="s">
        <v>272</v>
      </c>
      <c r="J92" s="410">
        <f>H92-L92</f>
        <v>1.72E-2</v>
      </c>
      <c r="K92" s="418" t="s">
        <v>273</v>
      </c>
      <c r="L92" s="86">
        <v>1.0999999999999999E-2</v>
      </c>
      <c r="M92" s="418" t="s">
        <v>58</v>
      </c>
      <c r="N92" s="87">
        <v>30</v>
      </c>
      <c r="O92" s="418" t="s">
        <v>60</v>
      </c>
      <c r="P92" s="87">
        <v>30</v>
      </c>
      <c r="Q92" s="418" t="s">
        <v>61</v>
      </c>
      <c r="R92" s="87">
        <v>70</v>
      </c>
      <c r="S92" s="418" t="s">
        <v>62</v>
      </c>
      <c r="T92" s="87">
        <v>18</v>
      </c>
      <c r="U92" s="418" t="s">
        <v>55</v>
      </c>
      <c r="V92" s="88" t="s">
        <v>403</v>
      </c>
      <c r="W92" s="547" t="s">
        <v>396</v>
      </c>
      <c r="X92" s="549">
        <v>2.1</v>
      </c>
      <c r="Y92" s="547" t="s">
        <v>395</v>
      </c>
      <c r="Z92" s="413">
        <v>7</v>
      </c>
    </row>
    <row r="93" spans="1:26" x14ac:dyDescent="0.25">
      <c r="A93" s="417" t="s">
        <v>33</v>
      </c>
      <c r="B93" s="425">
        <v>0</v>
      </c>
      <c r="C93" s="557">
        <v>0.04</v>
      </c>
      <c r="D93" s="557">
        <v>0.11600000000000001</v>
      </c>
      <c r="E93" s="557">
        <v>0.21299999999999999</v>
      </c>
      <c r="F93" s="557">
        <v>0.28599999999999998</v>
      </c>
      <c r="G93" s="557">
        <v>0.32900000000000001</v>
      </c>
      <c r="H93" s="557">
        <v>0.36899999999999999</v>
      </c>
      <c r="I93" s="557">
        <v>0.42</v>
      </c>
      <c r="J93" s="557">
        <v>0.495</v>
      </c>
      <c r="K93" s="557">
        <v>0.59699999999999998</v>
      </c>
      <c r="L93" s="557">
        <v>1.7110000000000001</v>
      </c>
      <c r="M93" s="557">
        <v>1.8260000000000001</v>
      </c>
      <c r="N93" s="557">
        <v>1.917</v>
      </c>
      <c r="O93" s="557">
        <v>1.9750000000000001</v>
      </c>
      <c r="P93" s="557">
        <v>2.206</v>
      </c>
      <c r="Q93" s="557">
        <v>2.242</v>
      </c>
      <c r="R93" s="426">
        <v>2.5</v>
      </c>
      <c r="S93" s="426">
        <v>2.5</v>
      </c>
      <c r="T93" s="426">
        <v>2.5</v>
      </c>
      <c r="U93" s="426">
        <v>2.5</v>
      </c>
      <c r="V93" s="426">
        <v>2.5</v>
      </c>
      <c r="W93" s="426">
        <v>2.5</v>
      </c>
      <c r="X93" s="426">
        <v>2.5</v>
      </c>
      <c r="Y93" s="437">
        <v>1000</v>
      </c>
    </row>
    <row r="94" spans="1:26" x14ac:dyDescent="0.25">
      <c r="A94" s="434" t="s">
        <v>34</v>
      </c>
      <c r="B94" s="427">
        <v>0</v>
      </c>
      <c r="C94" s="557">
        <v>2.1110000000000002</v>
      </c>
      <c r="D94" s="557">
        <v>9.6850000000000005</v>
      </c>
      <c r="E94" s="557">
        <v>25</v>
      </c>
      <c r="F94" s="557">
        <v>15.738</v>
      </c>
      <c r="G94" s="557">
        <v>12.472</v>
      </c>
      <c r="H94" s="557">
        <v>10.67</v>
      </c>
      <c r="I94" s="557">
        <v>9.7129999999999992</v>
      </c>
      <c r="J94" s="557">
        <v>9.1780000000000008</v>
      </c>
      <c r="K94" s="557">
        <v>8.8960000000000008</v>
      </c>
      <c r="L94" s="557">
        <v>8.9250000000000007</v>
      </c>
      <c r="M94" s="557">
        <v>8.6989999999999998</v>
      </c>
      <c r="N94" s="557">
        <v>8.0519999999999996</v>
      </c>
      <c r="O94" s="557">
        <v>6.9539999999999997</v>
      </c>
      <c r="P94" s="557">
        <v>1.07</v>
      </c>
      <c r="Q94" s="557">
        <v>0</v>
      </c>
      <c r="R94" s="428">
        <v>0</v>
      </c>
      <c r="S94" s="428">
        <v>0</v>
      </c>
      <c r="T94" s="428">
        <v>0</v>
      </c>
      <c r="U94" s="428">
        <v>0</v>
      </c>
      <c r="V94" s="428">
        <v>0</v>
      </c>
      <c r="W94" s="428">
        <v>0</v>
      </c>
      <c r="X94" s="428">
        <v>0</v>
      </c>
      <c r="Y94" s="438">
        <v>0</v>
      </c>
    </row>
    <row r="95" spans="1:26" ht="13.8" thickBot="1" x14ac:dyDescent="0.3">
      <c r="A95" s="435" t="s">
        <v>117</v>
      </c>
      <c r="B95" s="429">
        <f t="shared" ref="B95:X95" si="18">(C94+B94)*(C93-B93)/2</f>
        <v>4.2220000000000008E-2</v>
      </c>
      <c r="C95" s="430">
        <f t="shared" si="18"/>
        <v>0.44824800000000009</v>
      </c>
      <c r="D95" s="430">
        <f t="shared" si="18"/>
        <v>1.6822225</v>
      </c>
      <c r="E95" s="430">
        <f t="shared" si="18"/>
        <v>1.4869369999999995</v>
      </c>
      <c r="F95" s="430">
        <f t="shared" si="18"/>
        <v>0.60651500000000058</v>
      </c>
      <c r="G95" s="430">
        <f t="shared" si="18"/>
        <v>0.46283999999999975</v>
      </c>
      <c r="H95" s="430">
        <f t="shared" si="18"/>
        <v>0.51976649999999991</v>
      </c>
      <c r="I95" s="430">
        <f t="shared" si="18"/>
        <v>0.7084125</v>
      </c>
      <c r="J95" s="430">
        <f t="shared" si="18"/>
        <v>0.92177399999999987</v>
      </c>
      <c r="K95" s="430">
        <f t="shared" si="18"/>
        <v>9.9262970000000017</v>
      </c>
      <c r="L95" s="430">
        <f t="shared" si="18"/>
        <v>1.0133799999999999</v>
      </c>
      <c r="M95" s="430">
        <f t="shared" si="18"/>
        <v>0.76217049999999964</v>
      </c>
      <c r="N95" s="430">
        <f t="shared" si="18"/>
        <v>0.43517400000000039</v>
      </c>
      <c r="O95" s="430">
        <f t="shared" si="18"/>
        <v>0.92677199999999937</v>
      </c>
      <c r="P95" s="430">
        <f t="shared" si="18"/>
        <v>1.9260000000000017E-2</v>
      </c>
      <c r="Q95" s="430">
        <f t="shared" si="18"/>
        <v>0</v>
      </c>
      <c r="R95" s="430">
        <f t="shared" si="18"/>
        <v>0</v>
      </c>
      <c r="S95" s="430">
        <f t="shared" si="18"/>
        <v>0</v>
      </c>
      <c r="T95" s="430">
        <f t="shared" si="18"/>
        <v>0</v>
      </c>
      <c r="U95" s="430">
        <f t="shared" si="18"/>
        <v>0</v>
      </c>
      <c r="V95" s="430">
        <f t="shared" si="18"/>
        <v>0</v>
      </c>
      <c r="W95" s="430">
        <f t="shared" si="18"/>
        <v>0</v>
      </c>
      <c r="X95" s="430">
        <f t="shared" si="18"/>
        <v>0</v>
      </c>
      <c r="Y95" s="424"/>
    </row>
    <row r="96" spans="1:26" ht="13.8" thickBot="1" x14ac:dyDescent="0.3">
      <c r="A96" s="17"/>
      <c r="L96" s="17"/>
      <c r="M96" s="17"/>
      <c r="N96" s="17"/>
      <c r="O96" s="17"/>
      <c r="P96" s="17"/>
      <c r="Q96" s="17"/>
      <c r="R96" s="17"/>
      <c r="S96" s="17"/>
      <c r="T96" s="17"/>
      <c r="U96" s="17"/>
      <c r="V96" s="17"/>
      <c r="W96" s="17"/>
      <c r="X96" s="17"/>
      <c r="Y96" s="17"/>
    </row>
    <row r="97" spans="1:26" ht="13.8" thickBot="1" x14ac:dyDescent="0.3">
      <c r="A97" s="416" t="s">
        <v>541</v>
      </c>
      <c r="B97" s="414">
        <f>ROW(A97)</f>
        <v>97</v>
      </c>
      <c r="C97" s="418" t="s">
        <v>116</v>
      </c>
      <c r="D97" s="408">
        <f>SUM(B100:Y100)</f>
        <v>39.923978000000005</v>
      </c>
      <c r="E97" s="418" t="s">
        <v>115</v>
      </c>
      <c r="F97" s="409">
        <f>D97/g/J97</f>
        <v>118.30588744280873</v>
      </c>
      <c r="G97" s="418" t="s">
        <v>57</v>
      </c>
      <c r="H97" s="86">
        <f>H92*2</f>
        <v>5.6399999999999999E-2</v>
      </c>
      <c r="I97" s="418" t="s">
        <v>272</v>
      </c>
      <c r="J97" s="410">
        <f>H97-L97</f>
        <v>3.44E-2</v>
      </c>
      <c r="K97" s="418" t="s">
        <v>273</v>
      </c>
      <c r="L97" s="86">
        <f>L92*2</f>
        <v>2.1999999999999999E-2</v>
      </c>
      <c r="M97" s="418" t="s">
        <v>58</v>
      </c>
      <c r="N97" s="87">
        <v>30</v>
      </c>
      <c r="O97" s="418" t="s">
        <v>60</v>
      </c>
      <c r="P97" s="87">
        <v>30</v>
      </c>
      <c r="Q97" s="418" t="s">
        <v>61</v>
      </c>
      <c r="R97" s="87">
        <v>70</v>
      </c>
      <c r="S97" s="418" t="s">
        <v>62</v>
      </c>
      <c r="T97" s="87">
        <v>30</v>
      </c>
      <c r="U97" s="418" t="s">
        <v>55</v>
      </c>
      <c r="V97" s="88" t="s">
        <v>403</v>
      </c>
      <c r="W97" s="547" t="s">
        <v>396</v>
      </c>
      <c r="X97" s="549">
        <v>2.1</v>
      </c>
      <c r="Y97" s="547" t="s">
        <v>395</v>
      </c>
      <c r="Z97" s="413">
        <v>7</v>
      </c>
    </row>
    <row r="98" spans="1:26" x14ac:dyDescent="0.25">
      <c r="A98" s="417" t="s">
        <v>33</v>
      </c>
      <c r="B98" s="425">
        <v>0</v>
      </c>
      <c r="C98" s="426">
        <f>C93</f>
        <v>0.04</v>
      </c>
      <c r="D98" s="426">
        <f t="shared" ref="D98:X98" si="19">D93</f>
        <v>0.11600000000000001</v>
      </c>
      <c r="E98" s="426">
        <f t="shared" si="19"/>
        <v>0.21299999999999999</v>
      </c>
      <c r="F98" s="426">
        <f t="shared" si="19"/>
        <v>0.28599999999999998</v>
      </c>
      <c r="G98" s="426">
        <f t="shared" si="19"/>
        <v>0.32900000000000001</v>
      </c>
      <c r="H98" s="426">
        <f t="shared" si="19"/>
        <v>0.36899999999999999</v>
      </c>
      <c r="I98" s="426">
        <f t="shared" si="19"/>
        <v>0.42</v>
      </c>
      <c r="J98" s="426">
        <f t="shared" si="19"/>
        <v>0.495</v>
      </c>
      <c r="K98" s="426">
        <f t="shared" si="19"/>
        <v>0.59699999999999998</v>
      </c>
      <c r="L98" s="426">
        <f t="shared" si="19"/>
        <v>1.7110000000000001</v>
      </c>
      <c r="M98" s="426">
        <f t="shared" si="19"/>
        <v>1.8260000000000001</v>
      </c>
      <c r="N98" s="426">
        <f t="shared" si="19"/>
        <v>1.917</v>
      </c>
      <c r="O98" s="426">
        <f t="shared" si="19"/>
        <v>1.9750000000000001</v>
      </c>
      <c r="P98" s="426">
        <f t="shared" si="19"/>
        <v>2.206</v>
      </c>
      <c r="Q98" s="426">
        <f t="shared" si="19"/>
        <v>2.242</v>
      </c>
      <c r="R98" s="426">
        <f t="shared" si="19"/>
        <v>2.5</v>
      </c>
      <c r="S98" s="426">
        <f>S93</f>
        <v>2.5</v>
      </c>
      <c r="T98" s="426">
        <f t="shared" si="19"/>
        <v>2.5</v>
      </c>
      <c r="U98" s="426">
        <f t="shared" si="19"/>
        <v>2.5</v>
      </c>
      <c r="V98" s="426">
        <f t="shared" si="19"/>
        <v>2.5</v>
      </c>
      <c r="W98" s="426">
        <f t="shared" si="19"/>
        <v>2.5</v>
      </c>
      <c r="X98" s="426">
        <f t="shared" si="19"/>
        <v>2.5</v>
      </c>
      <c r="Y98" s="437">
        <v>1000</v>
      </c>
    </row>
    <row r="99" spans="1:26" x14ac:dyDescent="0.25">
      <c r="A99" s="434" t="s">
        <v>34</v>
      </c>
      <c r="B99" s="427">
        <f>B94*2</f>
        <v>0</v>
      </c>
      <c r="C99" s="428">
        <f t="shared" ref="C99:X99" si="20">C94*2</f>
        <v>4.2220000000000004</v>
      </c>
      <c r="D99" s="428">
        <f t="shared" si="20"/>
        <v>19.37</v>
      </c>
      <c r="E99" s="428">
        <f t="shared" si="20"/>
        <v>50</v>
      </c>
      <c r="F99" s="428">
        <f t="shared" si="20"/>
        <v>31.475999999999999</v>
      </c>
      <c r="G99" s="428">
        <f t="shared" si="20"/>
        <v>24.943999999999999</v>
      </c>
      <c r="H99" s="428">
        <f t="shared" si="20"/>
        <v>21.34</v>
      </c>
      <c r="I99" s="428">
        <f t="shared" si="20"/>
        <v>19.425999999999998</v>
      </c>
      <c r="J99" s="428">
        <f t="shared" si="20"/>
        <v>18.356000000000002</v>
      </c>
      <c r="K99" s="428">
        <f t="shared" si="20"/>
        <v>17.792000000000002</v>
      </c>
      <c r="L99" s="428">
        <f t="shared" si="20"/>
        <v>17.850000000000001</v>
      </c>
      <c r="M99" s="428">
        <f t="shared" si="20"/>
        <v>17.398</v>
      </c>
      <c r="N99" s="428">
        <f t="shared" si="20"/>
        <v>16.103999999999999</v>
      </c>
      <c r="O99" s="428">
        <f t="shared" si="20"/>
        <v>13.907999999999999</v>
      </c>
      <c r="P99" s="428">
        <f t="shared" si="20"/>
        <v>2.14</v>
      </c>
      <c r="Q99" s="428">
        <f t="shared" si="20"/>
        <v>0</v>
      </c>
      <c r="R99" s="428">
        <f t="shared" si="20"/>
        <v>0</v>
      </c>
      <c r="S99" s="428">
        <f t="shared" si="20"/>
        <v>0</v>
      </c>
      <c r="T99" s="428">
        <f t="shared" si="20"/>
        <v>0</v>
      </c>
      <c r="U99" s="428">
        <f t="shared" si="20"/>
        <v>0</v>
      </c>
      <c r="V99" s="428">
        <f t="shared" si="20"/>
        <v>0</v>
      </c>
      <c r="W99" s="428">
        <f t="shared" si="20"/>
        <v>0</v>
      </c>
      <c r="X99" s="428">
        <f t="shared" si="20"/>
        <v>0</v>
      </c>
      <c r="Y99" s="438">
        <v>0</v>
      </c>
    </row>
    <row r="100" spans="1:26" ht="13.8" thickBot="1" x14ac:dyDescent="0.3">
      <c r="A100" s="435" t="s">
        <v>117</v>
      </c>
      <c r="B100" s="429">
        <f t="shared" ref="B100:X100" si="21">(C99+B99)*(C98-B98)/2</f>
        <v>8.4440000000000015E-2</v>
      </c>
      <c r="C100" s="430">
        <f t="shared" si="21"/>
        <v>0.89649600000000018</v>
      </c>
      <c r="D100" s="430">
        <f t="shared" si="21"/>
        <v>3.3644449999999999</v>
      </c>
      <c r="E100" s="430">
        <f t="shared" si="21"/>
        <v>2.973873999999999</v>
      </c>
      <c r="F100" s="430">
        <f t="shared" si="21"/>
        <v>1.2130300000000012</v>
      </c>
      <c r="G100" s="430">
        <f t="shared" si="21"/>
        <v>0.9256799999999995</v>
      </c>
      <c r="H100" s="430">
        <f t="shared" si="21"/>
        <v>1.0395329999999998</v>
      </c>
      <c r="I100" s="430">
        <f t="shared" si="21"/>
        <v>1.416825</v>
      </c>
      <c r="J100" s="430">
        <f t="shared" si="21"/>
        <v>1.8435479999999997</v>
      </c>
      <c r="K100" s="430">
        <f t="shared" si="21"/>
        <v>19.852594000000003</v>
      </c>
      <c r="L100" s="430">
        <f t="shared" si="21"/>
        <v>2.0267599999999999</v>
      </c>
      <c r="M100" s="430">
        <f t="shared" si="21"/>
        <v>1.5243409999999993</v>
      </c>
      <c r="N100" s="430">
        <f t="shared" si="21"/>
        <v>0.87034800000000079</v>
      </c>
      <c r="O100" s="430">
        <f t="shared" si="21"/>
        <v>1.8535439999999987</v>
      </c>
      <c r="P100" s="430">
        <f t="shared" si="21"/>
        <v>3.8520000000000033E-2</v>
      </c>
      <c r="Q100" s="430">
        <f t="shared" si="21"/>
        <v>0</v>
      </c>
      <c r="R100" s="430">
        <f t="shared" si="21"/>
        <v>0</v>
      </c>
      <c r="S100" s="430">
        <f t="shared" si="21"/>
        <v>0</v>
      </c>
      <c r="T100" s="430">
        <f t="shared" si="21"/>
        <v>0</v>
      </c>
      <c r="U100" s="430">
        <f t="shared" si="21"/>
        <v>0</v>
      </c>
      <c r="V100" s="430">
        <f t="shared" si="21"/>
        <v>0</v>
      </c>
      <c r="W100" s="430">
        <f t="shared" si="21"/>
        <v>0</v>
      </c>
      <c r="X100" s="430">
        <f t="shared" si="21"/>
        <v>0</v>
      </c>
      <c r="Y100" s="424"/>
    </row>
    <row r="101" spans="1:26" ht="13.8" thickBot="1" x14ac:dyDescent="0.3">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row>
    <row r="102" spans="1:26" ht="13.8" thickBot="1" x14ac:dyDescent="0.3">
      <c r="A102" s="416" t="s">
        <v>542</v>
      </c>
      <c r="B102" s="414">
        <f>ROW(A102)</f>
        <v>102</v>
      </c>
      <c r="C102" s="418" t="s">
        <v>116</v>
      </c>
      <c r="D102" s="408">
        <f>SUM(B105:Y105)</f>
        <v>59.885967000000008</v>
      </c>
      <c r="E102" s="418" t="s">
        <v>115</v>
      </c>
      <c r="F102" s="409">
        <f>D102/g/J102</f>
        <v>118.30588744280874</v>
      </c>
      <c r="G102" s="418" t="s">
        <v>57</v>
      </c>
      <c r="H102" s="86">
        <f>H92*3</f>
        <v>8.4599999999999995E-2</v>
      </c>
      <c r="I102" s="418" t="s">
        <v>272</v>
      </c>
      <c r="J102" s="410">
        <f>H102-L102</f>
        <v>5.1599999999999993E-2</v>
      </c>
      <c r="K102" s="418" t="s">
        <v>273</v>
      </c>
      <c r="L102" s="86">
        <f>L92*3</f>
        <v>3.3000000000000002E-2</v>
      </c>
      <c r="M102" s="418" t="s">
        <v>58</v>
      </c>
      <c r="N102" s="87">
        <v>30</v>
      </c>
      <c r="O102" s="418" t="s">
        <v>60</v>
      </c>
      <c r="P102" s="87">
        <v>30</v>
      </c>
      <c r="Q102" s="418" t="s">
        <v>61</v>
      </c>
      <c r="R102" s="87">
        <v>70</v>
      </c>
      <c r="S102" s="418" t="s">
        <v>62</v>
      </c>
      <c r="T102" s="87">
        <v>40</v>
      </c>
      <c r="U102" s="418" t="s">
        <v>55</v>
      </c>
      <c r="V102" s="88" t="s">
        <v>403</v>
      </c>
      <c r="W102" s="547" t="s">
        <v>396</v>
      </c>
      <c r="X102" s="549">
        <v>2.1</v>
      </c>
      <c r="Y102" s="547" t="s">
        <v>395</v>
      </c>
      <c r="Z102" s="413">
        <v>7</v>
      </c>
    </row>
    <row r="103" spans="1:26" x14ac:dyDescent="0.25">
      <c r="A103" s="417" t="s">
        <v>33</v>
      </c>
      <c r="B103" s="425">
        <v>0</v>
      </c>
      <c r="C103" s="426">
        <f>C93</f>
        <v>0.04</v>
      </c>
      <c r="D103" s="426">
        <f t="shared" ref="D103:X103" si="22">D93</f>
        <v>0.11600000000000001</v>
      </c>
      <c r="E103" s="426">
        <f t="shared" si="22"/>
        <v>0.21299999999999999</v>
      </c>
      <c r="F103" s="426">
        <f t="shared" si="22"/>
        <v>0.28599999999999998</v>
      </c>
      <c r="G103" s="426">
        <f t="shared" si="22"/>
        <v>0.32900000000000001</v>
      </c>
      <c r="H103" s="426">
        <f t="shared" si="22"/>
        <v>0.36899999999999999</v>
      </c>
      <c r="I103" s="426">
        <f t="shared" si="22"/>
        <v>0.42</v>
      </c>
      <c r="J103" s="426">
        <f t="shared" si="22"/>
        <v>0.495</v>
      </c>
      <c r="K103" s="426">
        <f t="shared" si="22"/>
        <v>0.59699999999999998</v>
      </c>
      <c r="L103" s="426">
        <f t="shared" si="22"/>
        <v>1.7110000000000001</v>
      </c>
      <c r="M103" s="426">
        <f t="shared" si="22"/>
        <v>1.8260000000000001</v>
      </c>
      <c r="N103" s="426">
        <f t="shared" si="22"/>
        <v>1.917</v>
      </c>
      <c r="O103" s="426">
        <f t="shared" si="22"/>
        <v>1.9750000000000001</v>
      </c>
      <c r="P103" s="426">
        <f t="shared" si="22"/>
        <v>2.206</v>
      </c>
      <c r="Q103" s="426">
        <f t="shared" si="22"/>
        <v>2.242</v>
      </c>
      <c r="R103" s="426">
        <f t="shared" si="22"/>
        <v>2.5</v>
      </c>
      <c r="S103" s="426">
        <f t="shared" si="22"/>
        <v>2.5</v>
      </c>
      <c r="T103" s="426">
        <f t="shared" si="22"/>
        <v>2.5</v>
      </c>
      <c r="U103" s="426">
        <f t="shared" si="22"/>
        <v>2.5</v>
      </c>
      <c r="V103" s="426">
        <f t="shared" si="22"/>
        <v>2.5</v>
      </c>
      <c r="W103" s="426">
        <f t="shared" si="22"/>
        <v>2.5</v>
      </c>
      <c r="X103" s="426">
        <f t="shared" si="22"/>
        <v>2.5</v>
      </c>
      <c r="Y103" s="437">
        <v>1000</v>
      </c>
    </row>
    <row r="104" spans="1:26" x14ac:dyDescent="0.25">
      <c r="A104" s="434" t="s">
        <v>34</v>
      </c>
      <c r="B104" s="427">
        <f>B94*3</f>
        <v>0</v>
      </c>
      <c r="C104" s="428">
        <f t="shared" ref="C104:X104" si="23">C94*3</f>
        <v>6.3330000000000002</v>
      </c>
      <c r="D104" s="428">
        <f t="shared" si="23"/>
        <v>29.055</v>
      </c>
      <c r="E104" s="428">
        <f t="shared" si="23"/>
        <v>75</v>
      </c>
      <c r="F104" s="428">
        <f t="shared" si="23"/>
        <v>47.213999999999999</v>
      </c>
      <c r="G104" s="428">
        <f t="shared" si="23"/>
        <v>37.415999999999997</v>
      </c>
      <c r="H104" s="428">
        <f t="shared" si="23"/>
        <v>32.01</v>
      </c>
      <c r="I104" s="428">
        <f t="shared" si="23"/>
        <v>29.138999999999996</v>
      </c>
      <c r="J104" s="428">
        <f t="shared" si="23"/>
        <v>27.534000000000002</v>
      </c>
      <c r="K104" s="428">
        <f t="shared" si="23"/>
        <v>26.688000000000002</v>
      </c>
      <c r="L104" s="428">
        <f t="shared" si="23"/>
        <v>26.775000000000002</v>
      </c>
      <c r="M104" s="428">
        <f t="shared" si="23"/>
        <v>26.097000000000001</v>
      </c>
      <c r="N104" s="428">
        <f t="shared" si="23"/>
        <v>24.155999999999999</v>
      </c>
      <c r="O104" s="428">
        <f t="shared" si="23"/>
        <v>20.861999999999998</v>
      </c>
      <c r="P104" s="428">
        <f t="shared" si="23"/>
        <v>3.21</v>
      </c>
      <c r="Q104" s="428">
        <f t="shared" si="23"/>
        <v>0</v>
      </c>
      <c r="R104" s="428">
        <f t="shared" si="23"/>
        <v>0</v>
      </c>
      <c r="S104" s="428">
        <f t="shared" si="23"/>
        <v>0</v>
      </c>
      <c r="T104" s="428">
        <f t="shared" si="23"/>
        <v>0</v>
      </c>
      <c r="U104" s="428">
        <f t="shared" si="23"/>
        <v>0</v>
      </c>
      <c r="V104" s="428">
        <f t="shared" si="23"/>
        <v>0</v>
      </c>
      <c r="W104" s="428">
        <f t="shared" si="23"/>
        <v>0</v>
      </c>
      <c r="X104" s="428">
        <f t="shared" si="23"/>
        <v>0</v>
      </c>
      <c r="Y104" s="438">
        <v>0</v>
      </c>
    </row>
    <row r="105" spans="1:26" ht="13.8" thickBot="1" x14ac:dyDescent="0.3">
      <c r="A105" s="435" t="s">
        <v>117</v>
      </c>
      <c r="B105" s="429">
        <f t="shared" ref="B105:X105" si="24">(C104+B104)*(C103-B103)/2</f>
        <v>0.12665999999999999</v>
      </c>
      <c r="C105" s="430">
        <f t="shared" si="24"/>
        <v>1.3447440000000002</v>
      </c>
      <c r="D105" s="430">
        <f t="shared" si="24"/>
        <v>5.0466674999999999</v>
      </c>
      <c r="E105" s="430">
        <f t="shared" si="24"/>
        <v>4.4608109999999987</v>
      </c>
      <c r="F105" s="430">
        <f t="shared" si="24"/>
        <v>1.8195450000000015</v>
      </c>
      <c r="G105" s="430">
        <f t="shared" si="24"/>
        <v>1.3885199999999991</v>
      </c>
      <c r="H105" s="430">
        <f t="shared" si="24"/>
        <v>1.5592994999999996</v>
      </c>
      <c r="I105" s="430">
        <f t="shared" si="24"/>
        <v>2.1252375000000003</v>
      </c>
      <c r="J105" s="430">
        <f t="shared" si="24"/>
        <v>2.7653219999999998</v>
      </c>
      <c r="K105" s="430">
        <f t="shared" si="24"/>
        <v>29.778891000000009</v>
      </c>
      <c r="L105" s="430">
        <f t="shared" si="24"/>
        <v>3.0401399999999996</v>
      </c>
      <c r="M105" s="430">
        <f t="shared" si="24"/>
        <v>2.2865114999999991</v>
      </c>
      <c r="N105" s="430">
        <f t="shared" si="24"/>
        <v>1.3055220000000012</v>
      </c>
      <c r="O105" s="430">
        <f t="shared" si="24"/>
        <v>2.7803159999999982</v>
      </c>
      <c r="P105" s="430">
        <f t="shared" si="24"/>
        <v>5.7780000000000054E-2</v>
      </c>
      <c r="Q105" s="430">
        <f t="shared" si="24"/>
        <v>0</v>
      </c>
      <c r="R105" s="430">
        <f t="shared" si="24"/>
        <v>0</v>
      </c>
      <c r="S105" s="430">
        <f t="shared" si="24"/>
        <v>0</v>
      </c>
      <c r="T105" s="430">
        <f t="shared" si="24"/>
        <v>0</v>
      </c>
      <c r="U105" s="430">
        <f t="shared" si="24"/>
        <v>0</v>
      </c>
      <c r="V105" s="430">
        <f t="shared" si="24"/>
        <v>0</v>
      </c>
      <c r="W105" s="430">
        <f t="shared" si="24"/>
        <v>0</v>
      </c>
      <c r="X105" s="430">
        <f t="shared" si="24"/>
        <v>0</v>
      </c>
      <c r="Y105" s="424"/>
    </row>
    <row r="107" spans="1:26" ht="13.8" thickBot="1" x14ac:dyDescent="0.3">
      <c r="A107" s="492" t="s">
        <v>318</v>
      </c>
    </row>
    <row r="108" spans="1:26" ht="13.8" thickBot="1" x14ac:dyDescent="0.3">
      <c r="A108" s="416" t="s">
        <v>321</v>
      </c>
      <c r="B108" s="414">
        <f>ROW(A108)</f>
        <v>108</v>
      </c>
      <c r="C108" s="418" t="s">
        <v>116</v>
      </c>
      <c r="D108" s="408">
        <f>SUM(B111:Y111)</f>
        <v>24.269519000000003</v>
      </c>
      <c r="E108" s="418" t="s">
        <v>115</v>
      </c>
      <c r="F108" s="409">
        <f>D108/g/J108</f>
        <v>154.62231778797147</v>
      </c>
      <c r="G108" s="418" t="s">
        <v>57</v>
      </c>
      <c r="H108" s="86">
        <v>5.1999999999999998E-2</v>
      </c>
      <c r="I108" s="418" t="s">
        <v>272</v>
      </c>
      <c r="J108" s="410">
        <f>H108-L108</f>
        <v>1.6E-2</v>
      </c>
      <c r="K108" s="418" t="s">
        <v>273</v>
      </c>
      <c r="L108" s="86">
        <v>3.5999999999999997E-2</v>
      </c>
      <c r="M108" s="418" t="s">
        <v>58</v>
      </c>
      <c r="N108" s="457">
        <v>35</v>
      </c>
      <c r="O108" s="418" t="s">
        <v>60</v>
      </c>
      <c r="P108" s="457">
        <v>35</v>
      </c>
      <c r="Q108" s="418" t="s">
        <v>61</v>
      </c>
      <c r="R108" s="87">
        <v>69</v>
      </c>
      <c r="S108" s="418" t="s">
        <v>62</v>
      </c>
      <c r="T108" s="87">
        <v>24</v>
      </c>
      <c r="U108" s="418" t="s">
        <v>55</v>
      </c>
      <c r="V108" s="88" t="s">
        <v>401</v>
      </c>
      <c r="W108" s="547" t="s">
        <v>396</v>
      </c>
      <c r="X108" s="549">
        <v>1</v>
      </c>
      <c r="Y108" s="547" t="s">
        <v>395</v>
      </c>
      <c r="Z108" s="413">
        <v>13</v>
      </c>
    </row>
    <row r="109" spans="1:26" x14ac:dyDescent="0.25">
      <c r="A109" s="417" t="s">
        <v>33</v>
      </c>
      <c r="B109" s="425">
        <v>0</v>
      </c>
      <c r="C109" s="426">
        <v>8.0000000000000002E-3</v>
      </c>
      <c r="D109" s="426">
        <v>2.5999999999999999E-2</v>
      </c>
      <c r="E109" s="426">
        <v>3.7999999999999999E-2</v>
      </c>
      <c r="F109" s="426">
        <v>6.7000000000000004E-2</v>
      </c>
      <c r="G109" s="426">
        <v>0.10100000000000001</v>
      </c>
      <c r="H109" s="426">
        <v>0.33</v>
      </c>
      <c r="I109" s="426">
        <v>0.52800000000000002</v>
      </c>
      <c r="J109" s="426">
        <v>0.71599999999999997</v>
      </c>
      <c r="K109" s="426">
        <v>0.84099999999999997</v>
      </c>
      <c r="L109" s="426">
        <v>0.91200000000000003</v>
      </c>
      <c r="M109" s="426">
        <v>0.98699999999999999</v>
      </c>
      <c r="N109" s="426">
        <v>1.016</v>
      </c>
      <c r="O109" s="426">
        <v>1.0649999999999999</v>
      </c>
      <c r="P109" s="426">
        <v>1.087</v>
      </c>
      <c r="Q109" s="442">
        <v>2</v>
      </c>
      <c r="R109" s="442">
        <v>2</v>
      </c>
      <c r="S109" s="442">
        <v>2</v>
      </c>
      <c r="T109" s="442">
        <v>2</v>
      </c>
      <c r="U109" s="442">
        <v>2</v>
      </c>
      <c r="V109" s="442">
        <v>2</v>
      </c>
      <c r="W109" s="442">
        <v>2</v>
      </c>
      <c r="X109" s="442">
        <v>2</v>
      </c>
      <c r="Y109" s="444">
        <v>1000</v>
      </c>
    </row>
    <row r="110" spans="1:26" x14ac:dyDescent="0.25">
      <c r="A110" s="434" t="s">
        <v>34</v>
      </c>
      <c r="B110" s="427">
        <v>0</v>
      </c>
      <c r="C110" s="428">
        <v>18.292000000000002</v>
      </c>
      <c r="D110" s="428">
        <v>30</v>
      </c>
      <c r="E110" s="428">
        <v>30.792000000000002</v>
      </c>
      <c r="F110" s="428">
        <v>18.707999999999998</v>
      </c>
      <c r="G110" s="428">
        <v>21.875</v>
      </c>
      <c r="H110" s="428">
        <v>26.082999999999998</v>
      </c>
      <c r="I110" s="428">
        <v>28.042000000000002</v>
      </c>
      <c r="J110" s="428">
        <v>27.875</v>
      </c>
      <c r="K110" s="428">
        <v>23.542000000000002</v>
      </c>
      <c r="L110" s="428">
        <v>17.832999999999998</v>
      </c>
      <c r="M110" s="428">
        <v>7</v>
      </c>
      <c r="N110" s="428">
        <v>3.3330000000000002</v>
      </c>
      <c r="O110" s="428">
        <v>1.083</v>
      </c>
      <c r="P110" s="428">
        <v>0</v>
      </c>
      <c r="Q110" s="433">
        <v>0</v>
      </c>
      <c r="R110" s="433">
        <v>0</v>
      </c>
      <c r="S110" s="433">
        <v>0</v>
      </c>
      <c r="T110" s="433">
        <f>S110</f>
        <v>0</v>
      </c>
      <c r="U110" s="433">
        <f>T110</f>
        <v>0</v>
      </c>
      <c r="V110" s="433">
        <f>U110</f>
        <v>0</v>
      </c>
      <c r="W110" s="433">
        <f>V110</f>
        <v>0</v>
      </c>
      <c r="X110" s="433">
        <f>W110</f>
        <v>0</v>
      </c>
      <c r="Y110" s="439">
        <v>0</v>
      </c>
    </row>
    <row r="111" spans="1:26" ht="13.8" thickBot="1" x14ac:dyDescent="0.3">
      <c r="A111" s="435" t="s">
        <v>117</v>
      </c>
      <c r="B111" s="429">
        <f t="shared" ref="B111:V111" si="25">(C110+B110)*(C109-B109)/2</f>
        <v>7.3168000000000011E-2</v>
      </c>
      <c r="C111" s="430">
        <f t="shared" si="25"/>
        <v>0.43462799999999996</v>
      </c>
      <c r="D111" s="430">
        <f t="shared" si="25"/>
        <v>0.36475200000000002</v>
      </c>
      <c r="E111" s="430">
        <f t="shared" si="25"/>
        <v>0.71775000000000011</v>
      </c>
      <c r="F111" s="430">
        <f t="shared" si="25"/>
        <v>0.68991100000000005</v>
      </c>
      <c r="G111" s="430">
        <f t="shared" si="25"/>
        <v>5.4911909999999997</v>
      </c>
      <c r="H111" s="430">
        <f t="shared" si="25"/>
        <v>5.3583750000000006</v>
      </c>
      <c r="I111" s="430">
        <f t="shared" si="25"/>
        <v>5.2561979999999986</v>
      </c>
      <c r="J111" s="430">
        <f>(K110+J110)*(K109-J109)/2</f>
        <v>3.2135625000000001</v>
      </c>
      <c r="K111" s="430">
        <f t="shared" si="25"/>
        <v>1.4688125000000014</v>
      </c>
      <c r="L111" s="430">
        <f t="shared" si="25"/>
        <v>0.93123749999999939</v>
      </c>
      <c r="M111" s="430">
        <f t="shared" si="25"/>
        <v>0.14982850000000014</v>
      </c>
      <c r="N111" s="430">
        <f t="shared" si="25"/>
        <v>0.10819199999999986</v>
      </c>
      <c r="O111" s="430">
        <f t="shared" si="25"/>
        <v>1.191300000000001E-2</v>
      </c>
      <c r="P111" s="430">
        <f t="shared" si="25"/>
        <v>0</v>
      </c>
      <c r="Q111" s="430">
        <f t="shared" si="25"/>
        <v>0</v>
      </c>
      <c r="R111" s="430">
        <f t="shared" si="25"/>
        <v>0</v>
      </c>
      <c r="S111" s="430">
        <f>(T110+S110)*(T109-S109)/2</f>
        <v>0</v>
      </c>
      <c r="T111" s="430">
        <f t="shared" si="25"/>
        <v>0</v>
      </c>
      <c r="U111" s="430">
        <f t="shared" si="25"/>
        <v>0</v>
      </c>
      <c r="V111" s="430">
        <f t="shared" si="25"/>
        <v>0</v>
      </c>
      <c r="W111" s="430">
        <f>(X110+W110)*(X109-W109)/2</f>
        <v>0</v>
      </c>
      <c r="X111" s="430">
        <f>(Y110+X110)*(Y109-X109)/2</f>
        <v>0</v>
      </c>
      <c r="Y111" s="424"/>
    </row>
    <row r="112" spans="1:26" ht="13.8" thickBot="1" x14ac:dyDescent="0.3"/>
    <row r="113" spans="1:26" ht="13.8" thickBot="1" x14ac:dyDescent="0.3">
      <c r="A113" s="416" t="s">
        <v>419</v>
      </c>
      <c r="B113" s="414">
        <f>ROW(A113)</f>
        <v>113</v>
      </c>
      <c r="C113" s="418" t="s">
        <v>116</v>
      </c>
      <c r="D113" s="408">
        <f>SUM(B116:Y116)</f>
        <v>24.488898000000002</v>
      </c>
      <c r="E113" s="418" t="s">
        <v>115</v>
      </c>
      <c r="F113" s="409">
        <f>D113/g/J113</f>
        <v>121.771701350041</v>
      </c>
      <c r="G113" s="418" t="s">
        <v>57</v>
      </c>
      <c r="H113" s="86">
        <v>5.6500000000000002E-2</v>
      </c>
      <c r="I113" s="418" t="s">
        <v>272</v>
      </c>
      <c r="J113" s="410">
        <f>H113-L113</f>
        <v>2.0500000000000004E-2</v>
      </c>
      <c r="K113" s="418" t="s">
        <v>273</v>
      </c>
      <c r="L113" s="86">
        <v>3.5999999999999997E-2</v>
      </c>
      <c r="M113" s="418" t="s">
        <v>58</v>
      </c>
      <c r="N113" s="457">
        <v>35</v>
      </c>
      <c r="O113" s="418" t="s">
        <v>60</v>
      </c>
      <c r="P113" s="457">
        <v>35</v>
      </c>
      <c r="Q113" s="418" t="s">
        <v>61</v>
      </c>
      <c r="R113" s="87">
        <v>69</v>
      </c>
      <c r="S113" s="418" t="s">
        <v>62</v>
      </c>
      <c r="T113" s="87">
        <v>24</v>
      </c>
      <c r="U113" s="418" t="s">
        <v>55</v>
      </c>
      <c r="V113" s="88" t="s">
        <v>402</v>
      </c>
      <c r="W113" s="547" t="s">
        <v>396</v>
      </c>
      <c r="X113" s="549">
        <v>0.33</v>
      </c>
      <c r="Y113" s="547" t="s">
        <v>395</v>
      </c>
      <c r="Z113" s="413">
        <v>17</v>
      </c>
    </row>
    <row r="114" spans="1:26" x14ac:dyDescent="0.25">
      <c r="A114" s="417" t="s">
        <v>33</v>
      </c>
      <c r="B114" s="425">
        <v>0</v>
      </c>
      <c r="C114" s="426">
        <v>8.9999999999999993E-3</v>
      </c>
      <c r="D114" s="426">
        <v>1.2E-2</v>
      </c>
      <c r="E114" s="426">
        <v>2.3E-2</v>
      </c>
      <c r="F114" s="426">
        <v>2.7E-2</v>
      </c>
      <c r="G114" s="426">
        <v>4.7E-2</v>
      </c>
      <c r="H114" s="426">
        <v>9.1999999999999998E-2</v>
      </c>
      <c r="I114" s="426">
        <v>0.11799999999999999</v>
      </c>
      <c r="J114" s="426">
        <v>0.14099999999999999</v>
      </c>
      <c r="K114" s="426">
        <v>0.192</v>
      </c>
      <c r="L114" s="426">
        <v>0.222</v>
      </c>
      <c r="M114" s="426">
        <v>0.25</v>
      </c>
      <c r="N114" s="426">
        <v>0.26</v>
      </c>
      <c r="O114" s="426">
        <v>0.28100000000000003</v>
      </c>
      <c r="P114" s="426">
        <v>0.28699999999999998</v>
      </c>
      <c r="Q114" s="426">
        <v>0.30599999999999999</v>
      </c>
      <c r="R114" s="426">
        <v>0.314</v>
      </c>
      <c r="S114" s="426">
        <v>0.32600000000000001</v>
      </c>
      <c r="T114" s="426">
        <v>0.32900000000000001</v>
      </c>
      <c r="U114" s="442">
        <v>0.5</v>
      </c>
      <c r="V114" s="442">
        <v>1</v>
      </c>
      <c r="W114" s="442">
        <v>2</v>
      </c>
      <c r="X114" s="442">
        <v>2</v>
      </c>
      <c r="Y114" s="444">
        <v>1000</v>
      </c>
    </row>
    <row r="115" spans="1:26" x14ac:dyDescent="0.25">
      <c r="A115" s="434" t="s">
        <v>34</v>
      </c>
      <c r="B115" s="427">
        <v>0</v>
      </c>
      <c r="C115" s="428">
        <v>84.212999999999994</v>
      </c>
      <c r="D115" s="428">
        <v>95.099000000000004</v>
      </c>
      <c r="E115" s="428">
        <v>77.08</v>
      </c>
      <c r="F115" s="428">
        <v>68.697000000000003</v>
      </c>
      <c r="G115" s="428">
        <v>73.451999999999998</v>
      </c>
      <c r="H115" s="428">
        <v>81.834999999999994</v>
      </c>
      <c r="I115" s="428">
        <v>83.837000000000003</v>
      </c>
      <c r="J115" s="428">
        <v>86.465000000000003</v>
      </c>
      <c r="K115" s="428">
        <v>86.965999999999994</v>
      </c>
      <c r="L115" s="428">
        <v>85.338999999999999</v>
      </c>
      <c r="M115" s="428">
        <v>80.082999999999998</v>
      </c>
      <c r="N115" s="428">
        <v>78.331999999999994</v>
      </c>
      <c r="O115" s="428">
        <v>82.960999999999999</v>
      </c>
      <c r="P115" s="428">
        <v>78.206000000000003</v>
      </c>
      <c r="Q115" s="428">
        <v>24.776</v>
      </c>
      <c r="R115" s="428">
        <v>14.14</v>
      </c>
      <c r="S115" s="428">
        <v>8.5090000000000003</v>
      </c>
      <c r="T115" s="428">
        <v>0</v>
      </c>
      <c r="U115" s="433">
        <f>T115</f>
        <v>0</v>
      </c>
      <c r="V115" s="433">
        <f>U115</f>
        <v>0</v>
      </c>
      <c r="W115" s="433">
        <f>V115</f>
        <v>0</v>
      </c>
      <c r="X115" s="433">
        <f>W115</f>
        <v>0</v>
      </c>
      <c r="Y115" s="439">
        <v>0</v>
      </c>
    </row>
    <row r="116" spans="1:26" ht="13.8" thickBot="1" x14ac:dyDescent="0.3">
      <c r="A116" s="435" t="s">
        <v>117</v>
      </c>
      <c r="B116" s="429">
        <f t="shared" ref="B116:V116" si="26">(C115+B115)*(C114-B114)/2</f>
        <v>0.37895849999999992</v>
      </c>
      <c r="C116" s="430">
        <f t="shared" si="26"/>
        <v>0.2689680000000001</v>
      </c>
      <c r="D116" s="430">
        <f t="shared" si="26"/>
        <v>0.94698450000000001</v>
      </c>
      <c r="E116" s="430">
        <f t="shared" si="26"/>
        <v>0.29155399999999998</v>
      </c>
      <c r="F116" s="430">
        <f t="shared" si="26"/>
        <v>1.4214900000000001</v>
      </c>
      <c r="G116" s="430">
        <f t="shared" si="26"/>
        <v>3.4939574999999992</v>
      </c>
      <c r="H116" s="430">
        <f t="shared" si="26"/>
        <v>2.1537359999999994</v>
      </c>
      <c r="I116" s="430">
        <f t="shared" si="26"/>
        <v>1.9584729999999997</v>
      </c>
      <c r="J116" s="430">
        <f>(K115+J115)*(K114-J114)/2</f>
        <v>4.4224905000000012</v>
      </c>
      <c r="K116" s="430">
        <f t="shared" si="26"/>
        <v>2.5845750000000001</v>
      </c>
      <c r="L116" s="430">
        <f t="shared" si="26"/>
        <v>2.3159079999999999</v>
      </c>
      <c r="M116" s="430">
        <f t="shared" si="26"/>
        <v>0.79207500000000064</v>
      </c>
      <c r="N116" s="430">
        <f t="shared" si="26"/>
        <v>1.6935765000000016</v>
      </c>
      <c r="O116" s="430">
        <f t="shared" si="26"/>
        <v>0.48350099999999596</v>
      </c>
      <c r="P116" s="430">
        <f t="shared" si="26"/>
        <v>0.97832900000000089</v>
      </c>
      <c r="Q116" s="430">
        <f t="shared" si="26"/>
        <v>0.15566400000000014</v>
      </c>
      <c r="R116" s="430">
        <f t="shared" si="26"/>
        <v>0.13589400000000013</v>
      </c>
      <c r="S116" s="430">
        <f>(T115+S115)*(T114-S114)/2</f>
        <v>1.2763500000000013E-2</v>
      </c>
      <c r="T116" s="430">
        <f t="shared" si="26"/>
        <v>0</v>
      </c>
      <c r="U116" s="430">
        <f t="shared" si="26"/>
        <v>0</v>
      </c>
      <c r="V116" s="430">
        <f t="shared" si="26"/>
        <v>0</v>
      </c>
      <c r="W116" s="430">
        <f>(X115+W115)*(X114-W114)/2</f>
        <v>0</v>
      </c>
      <c r="X116" s="430">
        <f>(Y115+X115)*(Y114-X114)/2</f>
        <v>0</v>
      </c>
      <c r="Y116" s="424"/>
    </row>
    <row r="117" spans="1:26" ht="13.8" thickBot="1" x14ac:dyDescent="0.3"/>
    <row r="118" spans="1:26" ht="13.8" thickBot="1" x14ac:dyDescent="0.3">
      <c r="A118" s="416" t="s">
        <v>322</v>
      </c>
      <c r="B118" s="414">
        <f>ROW(A118)</f>
        <v>118</v>
      </c>
      <c r="C118" s="418" t="s">
        <v>116</v>
      </c>
      <c r="D118" s="408">
        <f>SUM(B121:Y121)</f>
        <v>26.083982500000001</v>
      </c>
      <c r="E118" s="418" t="s">
        <v>115</v>
      </c>
      <c r="F118" s="409">
        <f>D118/g/J118</f>
        <v>166.18235537716615</v>
      </c>
      <c r="G118" s="418" t="s">
        <v>57</v>
      </c>
      <c r="H118" s="86">
        <v>5.1999999999999998E-2</v>
      </c>
      <c r="I118" s="418" t="s">
        <v>272</v>
      </c>
      <c r="J118" s="410">
        <f>H118-L118</f>
        <v>1.6E-2</v>
      </c>
      <c r="K118" s="418" t="s">
        <v>273</v>
      </c>
      <c r="L118" s="86">
        <v>3.5999999999999997E-2</v>
      </c>
      <c r="M118" s="418" t="s">
        <v>58</v>
      </c>
      <c r="N118" s="457">
        <v>35</v>
      </c>
      <c r="O118" s="418" t="s">
        <v>60</v>
      </c>
      <c r="P118" s="457">
        <v>35</v>
      </c>
      <c r="Q118" s="418" t="s">
        <v>61</v>
      </c>
      <c r="R118" s="87">
        <v>69</v>
      </c>
      <c r="S118" s="418" t="s">
        <v>62</v>
      </c>
      <c r="T118" s="87">
        <v>24</v>
      </c>
      <c r="U118" s="418" t="s">
        <v>55</v>
      </c>
      <c r="V118" s="88" t="s">
        <v>401</v>
      </c>
      <c r="W118" s="547" t="s">
        <v>396</v>
      </c>
      <c r="X118" s="549">
        <v>0.85</v>
      </c>
      <c r="Y118" s="547" t="s">
        <v>395</v>
      </c>
      <c r="Z118" s="413">
        <v>15</v>
      </c>
    </row>
    <row r="119" spans="1:26" x14ac:dyDescent="0.25">
      <c r="A119" s="417" t="s">
        <v>33</v>
      </c>
      <c r="B119" s="425">
        <v>0</v>
      </c>
      <c r="C119" s="426">
        <v>0.02</v>
      </c>
      <c r="D119" s="426">
        <v>2.7E-2</v>
      </c>
      <c r="E119" s="426">
        <v>4.9000000000000002E-2</v>
      </c>
      <c r="F119" s="426">
        <v>0.113</v>
      </c>
      <c r="G119" s="426">
        <v>0.193</v>
      </c>
      <c r="H119" s="426">
        <v>0.28199999999999997</v>
      </c>
      <c r="I119" s="426">
        <v>0.5</v>
      </c>
      <c r="J119" s="426">
        <v>0.72699999999999998</v>
      </c>
      <c r="K119" s="426">
        <v>0.77100000000000002</v>
      </c>
      <c r="L119" s="426">
        <v>0.80700000000000005</v>
      </c>
      <c r="M119" s="426">
        <v>0.84</v>
      </c>
      <c r="N119" s="426">
        <v>0.87</v>
      </c>
      <c r="O119" s="442">
        <v>1</v>
      </c>
      <c r="P119" s="442">
        <v>1</v>
      </c>
      <c r="Q119" s="442">
        <v>1</v>
      </c>
      <c r="R119" s="442">
        <v>1</v>
      </c>
      <c r="S119" s="442">
        <v>1</v>
      </c>
      <c r="T119" s="442">
        <v>1</v>
      </c>
      <c r="U119" s="442">
        <v>1</v>
      </c>
      <c r="V119" s="442">
        <v>1</v>
      </c>
      <c r="W119" s="442">
        <v>1</v>
      </c>
      <c r="X119" s="442">
        <v>2</v>
      </c>
      <c r="Y119" s="444">
        <v>1000</v>
      </c>
    </row>
    <row r="120" spans="1:26" x14ac:dyDescent="0.25">
      <c r="A120" s="434" t="s">
        <v>34</v>
      </c>
      <c r="B120" s="427">
        <v>0</v>
      </c>
      <c r="C120" s="428">
        <v>43.823999999999998</v>
      </c>
      <c r="D120" s="428">
        <v>39.963999999999999</v>
      </c>
      <c r="E120" s="428">
        <v>26.780999999999999</v>
      </c>
      <c r="F120" s="428">
        <v>32.600999999999999</v>
      </c>
      <c r="G120" s="428">
        <v>34.738999999999997</v>
      </c>
      <c r="H120" s="428">
        <v>35.808</v>
      </c>
      <c r="I120" s="428">
        <v>34.442</v>
      </c>
      <c r="J120" s="428">
        <v>29.276</v>
      </c>
      <c r="K120" s="428">
        <v>22.742999999999999</v>
      </c>
      <c r="L120" s="428">
        <v>9.5609999999999999</v>
      </c>
      <c r="M120" s="428">
        <v>3.5630000000000002</v>
      </c>
      <c r="N120" s="428">
        <v>0</v>
      </c>
      <c r="O120" s="433">
        <v>0</v>
      </c>
      <c r="P120" s="433">
        <v>0</v>
      </c>
      <c r="Q120" s="433">
        <v>0</v>
      </c>
      <c r="R120" s="433">
        <v>0</v>
      </c>
      <c r="S120" s="433">
        <v>0</v>
      </c>
      <c r="T120" s="433">
        <f>S120</f>
        <v>0</v>
      </c>
      <c r="U120" s="433">
        <f>T120</f>
        <v>0</v>
      </c>
      <c r="V120" s="433">
        <f>U120</f>
        <v>0</v>
      </c>
      <c r="W120" s="433">
        <f>V120</f>
        <v>0</v>
      </c>
      <c r="X120" s="433">
        <f>W120</f>
        <v>0</v>
      </c>
      <c r="Y120" s="439">
        <v>0</v>
      </c>
    </row>
    <row r="121" spans="1:26" ht="13.8" thickBot="1" x14ac:dyDescent="0.3">
      <c r="A121" s="435" t="s">
        <v>117</v>
      </c>
      <c r="B121" s="429">
        <f t="shared" ref="B121:V121" si="27">(C120+B120)*(C119-B119)/2</f>
        <v>0.43823999999999996</v>
      </c>
      <c r="C121" s="430">
        <f t="shared" si="27"/>
        <v>0.29325799999999996</v>
      </c>
      <c r="D121" s="430">
        <f t="shared" si="27"/>
        <v>0.73419500000000015</v>
      </c>
      <c r="E121" s="430">
        <f t="shared" si="27"/>
        <v>1.9002239999999999</v>
      </c>
      <c r="F121" s="430">
        <f t="shared" si="27"/>
        <v>2.6936</v>
      </c>
      <c r="G121" s="430">
        <f t="shared" si="27"/>
        <v>3.1393414999999987</v>
      </c>
      <c r="H121" s="430">
        <f t="shared" si="27"/>
        <v>7.6572500000000012</v>
      </c>
      <c r="I121" s="430">
        <f t="shared" si="27"/>
        <v>7.2319930000000001</v>
      </c>
      <c r="J121" s="430">
        <f>(K120+J120)*(K119-J119)/2</f>
        <v>1.144418000000001</v>
      </c>
      <c r="K121" s="430">
        <f t="shared" si="27"/>
        <v>0.58147200000000054</v>
      </c>
      <c r="L121" s="430">
        <f t="shared" si="27"/>
        <v>0.21654599999999946</v>
      </c>
      <c r="M121" s="430">
        <f t="shared" si="27"/>
        <v>5.3445000000000048E-2</v>
      </c>
      <c r="N121" s="430">
        <f t="shared" si="27"/>
        <v>0</v>
      </c>
      <c r="O121" s="430">
        <f t="shared" si="27"/>
        <v>0</v>
      </c>
      <c r="P121" s="430">
        <f t="shared" si="27"/>
        <v>0</v>
      </c>
      <c r="Q121" s="430">
        <f t="shared" si="27"/>
        <v>0</v>
      </c>
      <c r="R121" s="430">
        <f t="shared" si="27"/>
        <v>0</v>
      </c>
      <c r="S121" s="430">
        <f>(T120+S120)*(T119-S119)/2</f>
        <v>0</v>
      </c>
      <c r="T121" s="430">
        <f t="shared" si="27"/>
        <v>0</v>
      </c>
      <c r="U121" s="430">
        <f t="shared" si="27"/>
        <v>0</v>
      </c>
      <c r="V121" s="430">
        <f t="shared" si="27"/>
        <v>0</v>
      </c>
      <c r="W121" s="430">
        <f>(X120+W120)*(X119-W119)/2</f>
        <v>0</v>
      </c>
      <c r="X121" s="430">
        <f>(Y120+X120)*(Y119-X119)/2</f>
        <v>0</v>
      </c>
      <c r="Y121" s="424"/>
    </row>
    <row r="122" spans="1:26" ht="13.8" thickBot="1" x14ac:dyDescent="0.3">
      <c r="A122" s="492" t="s">
        <v>391</v>
      </c>
    </row>
    <row r="123" spans="1:26" ht="13.8" thickBot="1" x14ac:dyDescent="0.3">
      <c r="A123" s="416" t="s">
        <v>392</v>
      </c>
      <c r="B123" s="414">
        <f>ROW(A123)</f>
        <v>123</v>
      </c>
      <c r="C123" s="418" t="s">
        <v>116</v>
      </c>
      <c r="D123" s="408">
        <f>SUM(B126:Y126)</f>
        <v>49.788765499999997</v>
      </c>
      <c r="E123" s="418" t="s">
        <v>115</v>
      </c>
      <c r="F123" s="409">
        <v>231</v>
      </c>
      <c r="G123" s="418" t="s">
        <v>57</v>
      </c>
      <c r="H123" s="86">
        <v>7.2999999999999995E-2</v>
      </c>
      <c r="I123" s="418" t="s">
        <v>272</v>
      </c>
      <c r="J123" s="410">
        <f>H123-L123</f>
        <v>2.7999999999999997E-2</v>
      </c>
      <c r="K123" s="418" t="s">
        <v>273</v>
      </c>
      <c r="L123" s="86">
        <v>4.4999999999999998E-2</v>
      </c>
      <c r="M123" s="418" t="s">
        <v>58</v>
      </c>
      <c r="N123" s="457">
        <v>50</v>
      </c>
      <c r="O123" s="418" t="s">
        <v>60</v>
      </c>
      <c r="P123" s="457">
        <v>50</v>
      </c>
      <c r="Q123" s="418" t="s">
        <v>61</v>
      </c>
      <c r="R123" s="87">
        <v>101</v>
      </c>
      <c r="S123" s="418" t="s">
        <v>62</v>
      </c>
      <c r="T123" s="87">
        <v>24</v>
      </c>
      <c r="U123" s="418" t="s">
        <v>55</v>
      </c>
      <c r="V123" s="88" t="s">
        <v>120</v>
      </c>
      <c r="W123" s="547" t="s">
        <v>396</v>
      </c>
      <c r="X123" s="549">
        <v>1</v>
      </c>
      <c r="Y123" s="547" t="s">
        <v>395</v>
      </c>
      <c r="Z123" s="413">
        <v>13</v>
      </c>
    </row>
    <row r="124" spans="1:26" x14ac:dyDescent="0.25">
      <c r="A124" s="417" t="s">
        <v>33</v>
      </c>
      <c r="B124" s="556">
        <v>0</v>
      </c>
      <c r="C124" s="556">
        <v>1E-3</v>
      </c>
      <c r="D124" s="556">
        <v>2.7E-2</v>
      </c>
      <c r="E124" s="556">
        <v>5.0999999999999997E-2</v>
      </c>
      <c r="F124" s="556">
        <v>0.06</v>
      </c>
      <c r="G124" s="556">
        <v>9.1999999999999998E-2</v>
      </c>
      <c r="H124" s="556">
        <v>0.11899999999999999</v>
      </c>
      <c r="I124" s="556">
        <v>0.17</v>
      </c>
      <c r="J124" s="556">
        <v>0.3</v>
      </c>
      <c r="K124" s="556">
        <v>0.46200000000000002</v>
      </c>
      <c r="L124" s="556">
        <v>0.56899999999999995</v>
      </c>
      <c r="M124" s="556">
        <v>0.67500000000000004</v>
      </c>
      <c r="N124" s="556">
        <v>0.77800000000000002</v>
      </c>
      <c r="O124" s="556">
        <v>0.84599999999999997</v>
      </c>
      <c r="P124" s="556">
        <v>0.91700000000000004</v>
      </c>
      <c r="Q124" s="556">
        <v>1.0089999999999999</v>
      </c>
      <c r="R124" s="556">
        <v>1.032</v>
      </c>
      <c r="S124" s="556">
        <v>1.0449999999999999</v>
      </c>
      <c r="T124" s="442">
        <v>2</v>
      </c>
      <c r="U124" s="442">
        <v>2</v>
      </c>
      <c r="V124" s="442">
        <v>2</v>
      </c>
      <c r="W124" s="442">
        <v>2</v>
      </c>
      <c r="X124" s="442">
        <v>2</v>
      </c>
      <c r="Y124" s="444">
        <v>1000</v>
      </c>
    </row>
    <row r="125" spans="1:26" x14ac:dyDescent="0.25">
      <c r="A125" s="434" t="s">
        <v>34</v>
      </c>
      <c r="B125" s="556">
        <v>0</v>
      </c>
      <c r="C125" s="556">
        <v>5.1449999999999996</v>
      </c>
      <c r="D125" s="556">
        <v>67.975999999999999</v>
      </c>
      <c r="E125" s="556">
        <v>53.807000000000002</v>
      </c>
      <c r="F125" s="556">
        <v>52.88</v>
      </c>
      <c r="G125" s="556">
        <v>55.915999999999997</v>
      </c>
      <c r="H125" s="556">
        <v>57.94</v>
      </c>
      <c r="I125" s="556">
        <v>59.710999999999999</v>
      </c>
      <c r="J125" s="556">
        <v>61.145000000000003</v>
      </c>
      <c r="K125" s="556">
        <v>58.951999999999998</v>
      </c>
      <c r="L125" s="556">
        <v>55.578000000000003</v>
      </c>
      <c r="M125" s="556">
        <v>52.204999999999998</v>
      </c>
      <c r="N125" s="556">
        <v>46.386000000000003</v>
      </c>
      <c r="O125" s="556">
        <v>38.119999999999997</v>
      </c>
      <c r="P125" s="556">
        <v>20.324999999999999</v>
      </c>
      <c r="Q125" s="556">
        <v>3.5419999999999998</v>
      </c>
      <c r="R125" s="556">
        <v>1.6020000000000001</v>
      </c>
      <c r="S125" s="556">
        <v>0</v>
      </c>
      <c r="T125" s="433">
        <f>S125</f>
        <v>0</v>
      </c>
      <c r="U125" s="433">
        <f>T125</f>
        <v>0</v>
      </c>
      <c r="V125" s="433">
        <f>U125</f>
        <v>0</v>
      </c>
      <c r="W125" s="433">
        <f>V125</f>
        <v>0</v>
      </c>
      <c r="X125" s="433">
        <f>W125</f>
        <v>0</v>
      </c>
      <c r="Y125" s="439">
        <v>0</v>
      </c>
    </row>
    <row r="126" spans="1:26" ht="13.8" thickBot="1" x14ac:dyDescent="0.3">
      <c r="A126" s="435" t="s">
        <v>117</v>
      </c>
      <c r="B126" s="429">
        <f t="shared" ref="B126:X126" si="28">(C125+B125)*(C124-B124)/2</f>
        <v>2.5724999999999997E-3</v>
      </c>
      <c r="C126" s="430">
        <f t="shared" si="28"/>
        <v>0.95057299999999989</v>
      </c>
      <c r="D126" s="430">
        <f t="shared" si="28"/>
        <v>1.4613959999999999</v>
      </c>
      <c r="E126" s="430">
        <f t="shared" si="28"/>
        <v>0.48009150000000012</v>
      </c>
      <c r="F126" s="430">
        <f t="shared" si="28"/>
        <v>1.7407359999999998</v>
      </c>
      <c r="G126" s="430">
        <f t="shared" si="28"/>
        <v>1.5370559999999998</v>
      </c>
      <c r="H126" s="430">
        <f t="shared" si="28"/>
        <v>3.0001005000000007</v>
      </c>
      <c r="I126" s="430">
        <f t="shared" si="28"/>
        <v>7.8556399999999984</v>
      </c>
      <c r="J126" s="430">
        <f t="shared" si="28"/>
        <v>9.727857000000002</v>
      </c>
      <c r="K126" s="430">
        <f t="shared" si="28"/>
        <v>6.1273549999999961</v>
      </c>
      <c r="L126" s="430">
        <f t="shared" si="28"/>
        <v>5.7124990000000055</v>
      </c>
      <c r="M126" s="430">
        <f t="shared" si="28"/>
        <v>5.0774364999999992</v>
      </c>
      <c r="N126" s="430">
        <f t="shared" si="28"/>
        <v>2.8732039999999976</v>
      </c>
      <c r="O126" s="430">
        <f t="shared" si="28"/>
        <v>2.0747975000000016</v>
      </c>
      <c r="P126" s="430">
        <f t="shared" si="28"/>
        <v>1.0978819999999982</v>
      </c>
      <c r="Q126" s="430">
        <f t="shared" si="28"/>
        <v>5.915600000000034E-2</v>
      </c>
      <c r="R126" s="430">
        <f t="shared" si="28"/>
        <v>1.0412999999999921E-2</v>
      </c>
      <c r="S126" s="430">
        <f t="shared" si="28"/>
        <v>0</v>
      </c>
      <c r="T126" s="430">
        <f t="shared" si="28"/>
        <v>0</v>
      </c>
      <c r="U126" s="430">
        <f t="shared" si="28"/>
        <v>0</v>
      </c>
      <c r="V126" s="430">
        <f t="shared" si="28"/>
        <v>0</v>
      </c>
      <c r="W126" s="430">
        <f t="shared" si="28"/>
        <v>0</v>
      </c>
      <c r="X126" s="430">
        <f t="shared" si="28"/>
        <v>0</v>
      </c>
      <c r="Y126" s="424"/>
    </row>
    <row r="127" spans="1:26" ht="13.8" thickBot="1" x14ac:dyDescent="0.3"/>
    <row r="128" spans="1:26" ht="13.8" thickBot="1" x14ac:dyDescent="0.3">
      <c r="A128" s="416" t="s">
        <v>393</v>
      </c>
      <c r="B128" s="414">
        <f>ROW(A128)</f>
        <v>128</v>
      </c>
      <c r="C128" s="418" t="s">
        <v>116</v>
      </c>
      <c r="D128" s="408">
        <f>SUM(B131:Y131)</f>
        <v>52.815674000000008</v>
      </c>
      <c r="E128" s="418" t="s">
        <v>115</v>
      </c>
      <c r="F128" s="409">
        <v>239</v>
      </c>
      <c r="G128" s="418" t="s">
        <v>57</v>
      </c>
      <c r="H128" s="86">
        <v>7.2999999999999995E-2</v>
      </c>
      <c r="I128" s="418" t="s">
        <v>272</v>
      </c>
      <c r="J128" s="410">
        <f>H128-L128</f>
        <v>2.8999999999999998E-2</v>
      </c>
      <c r="K128" s="418" t="s">
        <v>273</v>
      </c>
      <c r="L128" s="86">
        <v>4.3999999999999997E-2</v>
      </c>
      <c r="M128" s="418" t="s">
        <v>58</v>
      </c>
      <c r="N128" s="457">
        <v>50</v>
      </c>
      <c r="O128" s="418" t="s">
        <v>60</v>
      </c>
      <c r="P128" s="457">
        <v>50</v>
      </c>
      <c r="Q128" s="418" t="s">
        <v>61</v>
      </c>
      <c r="R128" s="87">
        <v>101</v>
      </c>
      <c r="S128" s="418" t="s">
        <v>62</v>
      </c>
      <c r="T128" s="87">
        <v>24</v>
      </c>
      <c r="U128" s="418" t="s">
        <v>55</v>
      </c>
      <c r="V128" s="88" t="s">
        <v>120</v>
      </c>
      <c r="W128" s="547" t="s">
        <v>396</v>
      </c>
      <c r="X128" s="549">
        <v>0.77</v>
      </c>
      <c r="Y128" s="547" t="s">
        <v>395</v>
      </c>
      <c r="Z128" s="413">
        <v>14</v>
      </c>
    </row>
    <row r="129" spans="1:26" x14ac:dyDescent="0.25">
      <c r="A129" s="417" t="s">
        <v>33</v>
      </c>
      <c r="B129" s="556">
        <v>0</v>
      </c>
      <c r="C129" s="556">
        <v>1E-3</v>
      </c>
      <c r="D129" s="556">
        <v>1.2999999999999999E-2</v>
      </c>
      <c r="E129" s="556">
        <v>2.3E-2</v>
      </c>
      <c r="F129" s="556">
        <v>5.1999999999999998E-2</v>
      </c>
      <c r="G129" s="556">
        <v>0.1</v>
      </c>
      <c r="H129" s="556">
        <v>0.379</v>
      </c>
      <c r="I129" s="556">
        <v>0.64100000000000001</v>
      </c>
      <c r="J129" s="556">
        <v>0.66500000000000004</v>
      </c>
      <c r="K129" s="556">
        <v>0.70599999999999996</v>
      </c>
      <c r="L129" s="556">
        <v>0.74399999999999999</v>
      </c>
      <c r="M129" s="556">
        <v>0.78700000000000003</v>
      </c>
      <c r="N129" s="556">
        <v>0.81599999999999995</v>
      </c>
      <c r="O129" s="426">
        <v>1</v>
      </c>
      <c r="P129" s="426">
        <v>1</v>
      </c>
      <c r="Q129" s="426">
        <v>1</v>
      </c>
      <c r="R129" s="426">
        <v>1</v>
      </c>
      <c r="S129" s="426">
        <v>1</v>
      </c>
      <c r="T129" s="426">
        <v>1</v>
      </c>
      <c r="U129" s="426">
        <v>1</v>
      </c>
      <c r="V129" s="442">
        <v>1</v>
      </c>
      <c r="W129" s="442">
        <v>2</v>
      </c>
      <c r="X129" s="442">
        <v>2</v>
      </c>
      <c r="Y129" s="444">
        <v>1000</v>
      </c>
    </row>
    <row r="130" spans="1:26" x14ac:dyDescent="0.25">
      <c r="A130" s="434" t="s">
        <v>34</v>
      </c>
      <c r="B130" s="556">
        <v>0</v>
      </c>
      <c r="C130" s="556">
        <v>8.3030000000000008</v>
      </c>
      <c r="D130" s="556">
        <v>85.68</v>
      </c>
      <c r="E130" s="556">
        <v>96.149000000000001</v>
      </c>
      <c r="F130" s="556">
        <v>78.820999999999998</v>
      </c>
      <c r="G130" s="556">
        <v>83.634</v>
      </c>
      <c r="H130" s="556">
        <v>77.858000000000004</v>
      </c>
      <c r="I130" s="556">
        <v>62.575000000000003</v>
      </c>
      <c r="J130" s="556">
        <v>55.716000000000001</v>
      </c>
      <c r="K130" s="556">
        <v>23.946999999999999</v>
      </c>
      <c r="L130" s="556">
        <v>9.1460000000000008</v>
      </c>
      <c r="M130" s="556">
        <v>2.7679999999999998</v>
      </c>
      <c r="N130" s="556">
        <v>0</v>
      </c>
      <c r="O130" s="428">
        <v>0</v>
      </c>
      <c r="P130" s="428">
        <v>0</v>
      </c>
      <c r="Q130" s="428">
        <v>0</v>
      </c>
      <c r="R130" s="428">
        <v>0</v>
      </c>
      <c r="S130" s="428">
        <v>0</v>
      </c>
      <c r="T130" s="428">
        <v>0</v>
      </c>
      <c r="U130" s="428">
        <v>0</v>
      </c>
      <c r="V130" s="433">
        <f>U130</f>
        <v>0</v>
      </c>
      <c r="W130" s="433">
        <f>V130</f>
        <v>0</v>
      </c>
      <c r="X130" s="433">
        <f>W130</f>
        <v>0</v>
      </c>
      <c r="Y130" s="439">
        <v>0</v>
      </c>
    </row>
    <row r="131" spans="1:26" ht="13.8" thickBot="1" x14ac:dyDescent="0.3">
      <c r="A131" s="435" t="s">
        <v>117</v>
      </c>
      <c r="B131" s="429">
        <f t="shared" ref="B131:X131" si="29">(C130+B130)*(C129-B129)/2</f>
        <v>4.1515000000000007E-3</v>
      </c>
      <c r="C131" s="430">
        <f t="shared" si="29"/>
        <v>0.56389800000000001</v>
      </c>
      <c r="D131" s="430">
        <f t="shared" si="29"/>
        <v>0.90914500000000009</v>
      </c>
      <c r="E131" s="430">
        <f t="shared" si="29"/>
        <v>2.5370649999999997</v>
      </c>
      <c r="F131" s="430">
        <f t="shared" si="29"/>
        <v>3.8989200000000004</v>
      </c>
      <c r="G131" s="430">
        <f t="shared" si="29"/>
        <v>22.528134000000005</v>
      </c>
      <c r="H131" s="430">
        <f t="shared" si="29"/>
        <v>18.396723000000001</v>
      </c>
      <c r="I131" s="430">
        <f t="shared" si="29"/>
        <v>1.4194920000000013</v>
      </c>
      <c r="J131" s="430">
        <f t="shared" si="29"/>
        <v>1.633091499999997</v>
      </c>
      <c r="K131" s="430">
        <f t="shared" si="29"/>
        <v>0.62876700000000063</v>
      </c>
      <c r="L131" s="430">
        <f t="shared" si="29"/>
        <v>0.25615100000000024</v>
      </c>
      <c r="M131" s="430">
        <f t="shared" si="29"/>
        <v>4.013599999999988E-2</v>
      </c>
      <c r="N131" s="430">
        <f t="shared" si="29"/>
        <v>0</v>
      </c>
      <c r="O131" s="430">
        <f t="shared" si="29"/>
        <v>0</v>
      </c>
      <c r="P131" s="430">
        <f t="shared" si="29"/>
        <v>0</v>
      </c>
      <c r="Q131" s="430">
        <f t="shared" si="29"/>
        <v>0</v>
      </c>
      <c r="R131" s="430">
        <f t="shared" si="29"/>
        <v>0</v>
      </c>
      <c r="S131" s="430">
        <f t="shared" si="29"/>
        <v>0</v>
      </c>
      <c r="T131" s="430">
        <f t="shared" si="29"/>
        <v>0</v>
      </c>
      <c r="U131" s="430">
        <f t="shared" si="29"/>
        <v>0</v>
      </c>
      <c r="V131" s="430">
        <f t="shared" si="29"/>
        <v>0</v>
      </c>
      <c r="W131" s="430">
        <f t="shared" si="29"/>
        <v>0</v>
      </c>
      <c r="X131" s="430">
        <f t="shared" si="29"/>
        <v>0</v>
      </c>
      <c r="Y131" s="424"/>
    </row>
    <row r="132" spans="1:26" ht="13.8" thickBot="1" x14ac:dyDescent="0.3">
      <c r="A132" s="492" t="s">
        <v>315</v>
      </c>
    </row>
    <row r="133" spans="1:26" ht="13.8" thickBot="1" x14ac:dyDescent="0.3">
      <c r="A133" s="416" t="s">
        <v>383</v>
      </c>
      <c r="B133" s="414">
        <f>ROW(A133)</f>
        <v>133</v>
      </c>
      <c r="C133" s="418" t="s">
        <v>116</v>
      </c>
      <c r="D133" s="408">
        <f>SUM(B136:Y136)</f>
        <v>41.835000000000015</v>
      </c>
      <c r="E133" s="418" t="s">
        <v>115</v>
      </c>
      <c r="F133" s="409">
        <f>D133/g/J133</f>
        <v>121.84359982525126</v>
      </c>
      <c r="G133" s="418" t="s">
        <v>57</v>
      </c>
      <c r="H133" s="86">
        <v>0.104</v>
      </c>
      <c r="I133" s="418" t="s">
        <v>272</v>
      </c>
      <c r="J133" s="410">
        <f>H133-L133</f>
        <v>3.4999999999999989E-2</v>
      </c>
      <c r="K133" s="418" t="s">
        <v>273</v>
      </c>
      <c r="L133" s="86">
        <v>6.9000000000000006E-2</v>
      </c>
      <c r="M133" s="418" t="s">
        <v>58</v>
      </c>
      <c r="N133" s="87">
        <v>49</v>
      </c>
      <c r="O133" s="418" t="s">
        <v>60</v>
      </c>
      <c r="P133" s="87">
        <v>49</v>
      </c>
      <c r="Q133" s="418" t="s">
        <v>61</v>
      </c>
      <c r="R133" s="87">
        <v>98</v>
      </c>
      <c r="S133" s="418" t="s">
        <v>62</v>
      </c>
      <c r="T133" s="87">
        <v>29</v>
      </c>
      <c r="U133" s="418" t="s">
        <v>55</v>
      </c>
      <c r="V133" s="88" t="s">
        <v>401</v>
      </c>
      <c r="W133" s="547" t="s">
        <v>396</v>
      </c>
      <c r="X133" s="549">
        <v>1.07</v>
      </c>
      <c r="Y133" s="547" t="s">
        <v>395</v>
      </c>
      <c r="Z133" s="413">
        <v>11</v>
      </c>
    </row>
    <row r="134" spans="1:26" x14ac:dyDescent="0.25">
      <c r="A134" s="417" t="s">
        <v>33</v>
      </c>
      <c r="B134" s="441">
        <v>0</v>
      </c>
      <c r="C134" s="442">
        <v>0.01</v>
      </c>
      <c r="D134" s="442">
        <v>0.02</v>
      </c>
      <c r="E134" s="442">
        <v>0.03</v>
      </c>
      <c r="F134" s="442">
        <v>0.04</v>
      </c>
      <c r="G134" s="442">
        <v>0.06</v>
      </c>
      <c r="H134" s="442">
        <v>7.0000000000000007E-2</v>
      </c>
      <c r="I134" s="442">
        <v>0.08</v>
      </c>
      <c r="J134" s="442">
        <v>0.1</v>
      </c>
      <c r="K134" s="442">
        <v>0.2</v>
      </c>
      <c r="L134" s="442">
        <v>0.3</v>
      </c>
      <c r="M134" s="442">
        <v>0.4</v>
      </c>
      <c r="N134" s="442">
        <v>0.5</v>
      </c>
      <c r="O134" s="442">
        <v>0.6</v>
      </c>
      <c r="P134" s="442">
        <v>0.7</v>
      </c>
      <c r="Q134" s="442">
        <v>0.8</v>
      </c>
      <c r="R134" s="442">
        <v>0.85</v>
      </c>
      <c r="S134" s="442">
        <v>0.92</v>
      </c>
      <c r="T134" s="442">
        <v>0.95</v>
      </c>
      <c r="U134" s="442">
        <v>0.99</v>
      </c>
      <c r="V134" s="442">
        <v>1.05</v>
      </c>
      <c r="W134" s="442">
        <v>1.05</v>
      </c>
      <c r="X134" s="442">
        <v>2</v>
      </c>
      <c r="Y134" s="444">
        <v>1000</v>
      </c>
    </row>
    <row r="135" spans="1:26" x14ac:dyDescent="0.25">
      <c r="A135" s="434" t="s">
        <v>34</v>
      </c>
      <c r="B135" s="443">
        <v>0</v>
      </c>
      <c r="C135" s="433">
        <v>12</v>
      </c>
      <c r="D135" s="433">
        <v>46</v>
      </c>
      <c r="E135" s="433">
        <v>75</v>
      </c>
      <c r="F135" s="433">
        <v>79</v>
      </c>
      <c r="G135" s="433">
        <v>77</v>
      </c>
      <c r="H135" s="433">
        <v>62</v>
      </c>
      <c r="I135" s="433">
        <v>32</v>
      </c>
      <c r="J135" s="433">
        <v>35</v>
      </c>
      <c r="K135" s="433">
        <v>38</v>
      </c>
      <c r="L135" s="433">
        <v>39</v>
      </c>
      <c r="M135" s="433">
        <v>41</v>
      </c>
      <c r="N135" s="433">
        <v>43</v>
      </c>
      <c r="O135" s="433">
        <v>43</v>
      </c>
      <c r="P135" s="433">
        <v>43</v>
      </c>
      <c r="Q135" s="433">
        <v>43</v>
      </c>
      <c r="R135" s="433">
        <v>47</v>
      </c>
      <c r="S135" s="433">
        <v>54</v>
      </c>
      <c r="T135" s="433">
        <v>32</v>
      </c>
      <c r="U135" s="433">
        <v>8</v>
      </c>
      <c r="V135" s="433">
        <v>0</v>
      </c>
      <c r="W135" s="433">
        <v>0</v>
      </c>
      <c r="X135" s="433">
        <v>0</v>
      </c>
      <c r="Y135" s="439">
        <v>0</v>
      </c>
    </row>
    <row r="136" spans="1:26" ht="13.8" thickBot="1" x14ac:dyDescent="0.3">
      <c r="A136" s="435" t="s">
        <v>117</v>
      </c>
      <c r="B136" s="429">
        <f t="shared" ref="B136:X136" si="30">(C135+B135)*(C134-B134)/2</f>
        <v>0.06</v>
      </c>
      <c r="C136" s="430">
        <f t="shared" si="30"/>
        <v>0.28999999999999998</v>
      </c>
      <c r="D136" s="430">
        <f t="shared" si="30"/>
        <v>0.60499999999999987</v>
      </c>
      <c r="E136" s="430">
        <f t="shared" si="30"/>
        <v>0.77000000000000013</v>
      </c>
      <c r="F136" s="430">
        <f t="shared" si="30"/>
        <v>1.5599999999999998</v>
      </c>
      <c r="G136" s="430">
        <f t="shared" si="30"/>
        <v>0.69500000000000062</v>
      </c>
      <c r="H136" s="430">
        <f t="shared" si="30"/>
        <v>0.46999999999999975</v>
      </c>
      <c r="I136" s="430">
        <f t="shared" si="30"/>
        <v>0.67000000000000015</v>
      </c>
      <c r="J136" s="430">
        <f t="shared" si="30"/>
        <v>3.6500000000000004</v>
      </c>
      <c r="K136" s="430">
        <f t="shared" si="30"/>
        <v>3.8499999999999992</v>
      </c>
      <c r="L136" s="430">
        <f t="shared" si="30"/>
        <v>4.0000000000000018</v>
      </c>
      <c r="M136" s="430">
        <f t="shared" si="30"/>
        <v>4.1999999999999993</v>
      </c>
      <c r="N136" s="430">
        <f t="shared" si="30"/>
        <v>4.2999999999999989</v>
      </c>
      <c r="O136" s="430">
        <f t="shared" si="30"/>
        <v>4.2999999999999989</v>
      </c>
      <c r="P136" s="430">
        <f t="shared" si="30"/>
        <v>4.3000000000000043</v>
      </c>
      <c r="Q136" s="430">
        <f t="shared" si="30"/>
        <v>2.2499999999999969</v>
      </c>
      <c r="R136" s="430">
        <f t="shared" si="30"/>
        <v>3.5350000000000033</v>
      </c>
      <c r="S136" s="430">
        <f t="shared" si="30"/>
        <v>1.2899999999999965</v>
      </c>
      <c r="T136" s="430">
        <f t="shared" si="30"/>
        <v>0.80000000000000071</v>
      </c>
      <c r="U136" s="430">
        <f t="shared" si="30"/>
        <v>0.24000000000000021</v>
      </c>
      <c r="V136" s="430">
        <f t="shared" si="30"/>
        <v>0</v>
      </c>
      <c r="W136" s="430">
        <f t="shared" si="30"/>
        <v>0</v>
      </c>
      <c r="X136" s="430">
        <f t="shared" si="30"/>
        <v>0</v>
      </c>
      <c r="Y136" s="424"/>
    </row>
    <row r="137" spans="1:26" ht="13.8" thickBot="1" x14ac:dyDescent="0.3">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row>
    <row r="138" spans="1:26" ht="13.8" thickBot="1" x14ac:dyDescent="0.3">
      <c r="A138" s="416" t="s">
        <v>384</v>
      </c>
      <c r="B138" s="414">
        <f>ROW(A138)</f>
        <v>138</v>
      </c>
      <c r="C138" s="418" t="s">
        <v>116</v>
      </c>
      <c r="D138" s="408">
        <f>SUM(B141:Y141)</f>
        <v>52.564999999999998</v>
      </c>
      <c r="E138" s="418" t="s">
        <v>115</v>
      </c>
      <c r="F138" s="409">
        <f>D138/g/J138</f>
        <v>167.44712028542301</v>
      </c>
      <c r="G138" s="418" t="s">
        <v>57</v>
      </c>
      <c r="H138" s="86">
        <v>0.10100000000000001</v>
      </c>
      <c r="I138" s="418" t="s">
        <v>272</v>
      </c>
      <c r="J138" s="410">
        <f>H138-L138</f>
        <v>3.2000000000000001E-2</v>
      </c>
      <c r="K138" s="418" t="s">
        <v>273</v>
      </c>
      <c r="L138" s="86">
        <v>6.9000000000000006E-2</v>
      </c>
      <c r="M138" s="418" t="s">
        <v>58</v>
      </c>
      <c r="N138" s="87">
        <v>49</v>
      </c>
      <c r="O138" s="418" t="s">
        <v>60</v>
      </c>
      <c r="P138" s="87">
        <v>49</v>
      </c>
      <c r="Q138" s="418" t="s">
        <v>61</v>
      </c>
      <c r="R138" s="87">
        <v>98</v>
      </c>
      <c r="S138" s="418" t="s">
        <v>62</v>
      </c>
      <c r="T138" s="87">
        <v>29</v>
      </c>
      <c r="U138" s="418" t="s">
        <v>55</v>
      </c>
      <c r="V138" s="88" t="s">
        <v>402</v>
      </c>
      <c r="W138" s="547" t="s">
        <v>396</v>
      </c>
      <c r="X138" s="549">
        <v>1.8</v>
      </c>
      <c r="Y138" s="547" t="s">
        <v>395</v>
      </c>
      <c r="Z138" s="413">
        <v>12</v>
      </c>
    </row>
    <row r="139" spans="1:26" x14ac:dyDescent="0.25">
      <c r="A139" s="417" t="s">
        <v>33</v>
      </c>
      <c r="B139" s="441">
        <v>0</v>
      </c>
      <c r="C139" s="442">
        <v>0.01</v>
      </c>
      <c r="D139" s="442">
        <v>0.03</v>
      </c>
      <c r="E139" s="442">
        <v>0.04</v>
      </c>
      <c r="F139" s="442">
        <v>0.05</v>
      </c>
      <c r="G139" s="442">
        <v>0.06</v>
      </c>
      <c r="H139" s="442">
        <v>7.0000000000000007E-2</v>
      </c>
      <c r="I139" s="442">
        <v>0.08</v>
      </c>
      <c r="J139" s="442">
        <v>0.09</v>
      </c>
      <c r="K139" s="442">
        <v>0.1</v>
      </c>
      <c r="L139" s="442">
        <v>0.2</v>
      </c>
      <c r="M139" s="442">
        <v>0.3</v>
      </c>
      <c r="N139" s="442">
        <v>0.4</v>
      </c>
      <c r="O139" s="442">
        <v>0.5</v>
      </c>
      <c r="P139" s="442">
        <v>0.7</v>
      </c>
      <c r="Q139" s="442">
        <v>0.8</v>
      </c>
      <c r="R139" s="442">
        <v>0.9</v>
      </c>
      <c r="S139" s="442">
        <v>1</v>
      </c>
      <c r="T139" s="442">
        <v>1.1000000000000001</v>
      </c>
      <c r="U139" s="442">
        <v>1.24</v>
      </c>
      <c r="V139" s="442">
        <v>1.3</v>
      </c>
      <c r="W139" s="442">
        <v>1.5</v>
      </c>
      <c r="X139" s="442">
        <v>2</v>
      </c>
      <c r="Y139" s="444">
        <v>1000</v>
      </c>
    </row>
    <row r="140" spans="1:26" x14ac:dyDescent="0.25">
      <c r="A140" s="434" t="s">
        <v>34</v>
      </c>
      <c r="B140" s="443">
        <v>0</v>
      </c>
      <c r="C140" s="433">
        <v>12</v>
      </c>
      <c r="D140" s="433">
        <v>41</v>
      </c>
      <c r="E140" s="433">
        <v>42</v>
      </c>
      <c r="F140" s="433">
        <v>42</v>
      </c>
      <c r="G140" s="433">
        <v>40</v>
      </c>
      <c r="H140" s="433">
        <v>34</v>
      </c>
      <c r="I140" s="433">
        <v>34</v>
      </c>
      <c r="J140" s="433">
        <v>35</v>
      </c>
      <c r="K140" s="433">
        <v>36</v>
      </c>
      <c r="L140" s="433">
        <v>40</v>
      </c>
      <c r="M140" s="433">
        <v>42</v>
      </c>
      <c r="N140" s="433">
        <v>43</v>
      </c>
      <c r="O140" s="433">
        <v>43</v>
      </c>
      <c r="P140" s="433">
        <v>43</v>
      </c>
      <c r="Q140" s="433">
        <v>42</v>
      </c>
      <c r="R140" s="433">
        <v>41</v>
      </c>
      <c r="S140" s="433">
        <v>40</v>
      </c>
      <c r="T140" s="433">
        <v>38</v>
      </c>
      <c r="U140" s="433">
        <v>37</v>
      </c>
      <c r="V140" s="433">
        <v>12</v>
      </c>
      <c r="W140" s="433">
        <v>0</v>
      </c>
      <c r="X140" s="433">
        <v>0</v>
      </c>
      <c r="Y140" s="439">
        <v>0</v>
      </c>
    </row>
    <row r="141" spans="1:26" ht="13.8" thickBot="1" x14ac:dyDescent="0.3">
      <c r="A141" s="435" t="s">
        <v>117</v>
      </c>
      <c r="B141" s="429">
        <f t="shared" ref="B141:X141" si="31">(C140+B140)*(C139-B139)/2</f>
        <v>0.06</v>
      </c>
      <c r="C141" s="430">
        <f t="shared" si="31"/>
        <v>0.52999999999999992</v>
      </c>
      <c r="D141" s="430">
        <f t="shared" si="31"/>
        <v>0.41500000000000009</v>
      </c>
      <c r="E141" s="430">
        <f t="shared" si="31"/>
        <v>0.4200000000000001</v>
      </c>
      <c r="F141" s="430">
        <f t="shared" si="31"/>
        <v>0.40999999999999981</v>
      </c>
      <c r="G141" s="430">
        <f t="shared" si="31"/>
        <v>0.37000000000000033</v>
      </c>
      <c r="H141" s="430">
        <f t="shared" si="31"/>
        <v>0.33999999999999986</v>
      </c>
      <c r="I141" s="430">
        <f t="shared" si="31"/>
        <v>0.34499999999999981</v>
      </c>
      <c r="J141" s="430">
        <f t="shared" si="31"/>
        <v>0.35500000000000032</v>
      </c>
      <c r="K141" s="430">
        <f t="shared" si="31"/>
        <v>3.8000000000000003</v>
      </c>
      <c r="L141" s="430">
        <f t="shared" si="31"/>
        <v>4.0999999999999988</v>
      </c>
      <c r="M141" s="430">
        <f t="shared" si="31"/>
        <v>4.2500000000000018</v>
      </c>
      <c r="N141" s="430">
        <f t="shared" si="31"/>
        <v>4.2999999999999989</v>
      </c>
      <c r="O141" s="430">
        <f t="shared" si="31"/>
        <v>8.5999999999999979</v>
      </c>
      <c r="P141" s="430">
        <f t="shared" si="31"/>
        <v>4.2500000000000036</v>
      </c>
      <c r="Q141" s="430">
        <f t="shared" si="31"/>
        <v>4.1499999999999995</v>
      </c>
      <c r="R141" s="430">
        <f t="shared" si="31"/>
        <v>4.0499999999999989</v>
      </c>
      <c r="S141" s="430">
        <f t="shared" si="31"/>
        <v>3.9000000000000035</v>
      </c>
      <c r="T141" s="430">
        <f t="shared" si="31"/>
        <v>5.2499999999999964</v>
      </c>
      <c r="U141" s="430">
        <f t="shared" si="31"/>
        <v>1.4700000000000013</v>
      </c>
      <c r="V141" s="430">
        <f t="shared" si="31"/>
        <v>1.1999999999999997</v>
      </c>
      <c r="W141" s="430">
        <f t="shared" si="31"/>
        <v>0</v>
      </c>
      <c r="X141" s="430">
        <f t="shared" si="31"/>
        <v>0</v>
      </c>
      <c r="Y141" s="424"/>
    </row>
    <row r="142" spans="1:26" ht="13.8" thickBot="1" x14ac:dyDescent="0.3">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row>
    <row r="143" spans="1:26" ht="13.8" thickBot="1" x14ac:dyDescent="0.3">
      <c r="A143" s="416" t="s">
        <v>385</v>
      </c>
      <c r="B143" s="414">
        <f>ROW(A143)</f>
        <v>143</v>
      </c>
      <c r="C143" s="418" t="s">
        <v>116</v>
      </c>
      <c r="D143" s="408">
        <f>SUM(B146:Y146)</f>
        <v>54.110016122119539</v>
      </c>
      <c r="E143" s="418" t="s">
        <v>115</v>
      </c>
      <c r="F143" s="409">
        <f>D143/g/J143</f>
        <v>146.69685764124625</v>
      </c>
      <c r="G143" s="418" t="s">
        <v>57</v>
      </c>
      <c r="H143" s="86">
        <v>0.10580000000000001</v>
      </c>
      <c r="I143" s="418" t="s">
        <v>272</v>
      </c>
      <c r="J143" s="410">
        <f>H143-L143</f>
        <v>3.7600000000000008E-2</v>
      </c>
      <c r="K143" s="418" t="s">
        <v>273</v>
      </c>
      <c r="L143" s="86">
        <v>6.8199999999999997E-2</v>
      </c>
      <c r="M143" s="418" t="s">
        <v>58</v>
      </c>
      <c r="N143" s="87">
        <v>49</v>
      </c>
      <c r="O143" s="418" t="s">
        <v>60</v>
      </c>
      <c r="P143" s="87">
        <v>49</v>
      </c>
      <c r="Q143" s="418" t="s">
        <v>61</v>
      </c>
      <c r="R143" s="87">
        <v>98</v>
      </c>
      <c r="S143" s="418" t="s">
        <v>62</v>
      </c>
      <c r="T143" s="87">
        <v>29</v>
      </c>
      <c r="U143" s="418" t="s">
        <v>55</v>
      </c>
      <c r="V143" s="88" t="s">
        <v>401</v>
      </c>
      <c r="W143" s="547" t="s">
        <v>396</v>
      </c>
      <c r="X143" s="549">
        <v>1.9</v>
      </c>
      <c r="Y143" s="547" t="s">
        <v>395</v>
      </c>
      <c r="Z143" s="413">
        <v>12</v>
      </c>
    </row>
    <row r="144" spans="1:26" x14ac:dyDescent="0.25">
      <c r="A144" s="417" t="s">
        <v>33</v>
      </c>
      <c r="B144" s="441">
        <v>0</v>
      </c>
      <c r="C144" s="442">
        <v>2.5000000000000001E-2</v>
      </c>
      <c r="D144" s="442">
        <v>0.05</v>
      </c>
      <c r="E144" s="442">
        <v>7.4999999999999997E-2</v>
      </c>
      <c r="F144" s="442">
        <v>0.1</v>
      </c>
      <c r="G144" s="442">
        <v>0.15</v>
      </c>
      <c r="H144" s="442">
        <v>0.17499999999999999</v>
      </c>
      <c r="I144" s="442">
        <v>0.2</v>
      </c>
      <c r="J144" s="442">
        <v>0.3</v>
      </c>
      <c r="K144" s="442">
        <v>0.4</v>
      </c>
      <c r="L144" s="442">
        <v>0.5</v>
      </c>
      <c r="M144" s="442">
        <v>0.6</v>
      </c>
      <c r="N144" s="442">
        <v>0.7</v>
      </c>
      <c r="O144" s="442">
        <v>0.8</v>
      </c>
      <c r="P144" s="442">
        <v>0.9</v>
      </c>
      <c r="Q144" s="442">
        <v>1.1000000000000001</v>
      </c>
      <c r="R144" s="442">
        <v>1.2</v>
      </c>
      <c r="S144" s="442">
        <v>1.6</v>
      </c>
      <c r="T144" s="442">
        <v>1.7</v>
      </c>
      <c r="U144" s="442">
        <v>1.8</v>
      </c>
      <c r="V144" s="442">
        <v>1.9</v>
      </c>
      <c r="W144" s="442">
        <v>1.9999</v>
      </c>
      <c r="X144" s="442">
        <v>2</v>
      </c>
      <c r="Y144" s="444">
        <v>1000</v>
      </c>
    </row>
    <row r="145" spans="1:26" x14ac:dyDescent="0.25">
      <c r="A145" s="434" t="s">
        <v>34</v>
      </c>
      <c r="B145" s="443">
        <v>0</v>
      </c>
      <c r="C145" s="431">
        <v>15.2574001848975</v>
      </c>
      <c r="D145" s="431">
        <v>26.377954255522496</v>
      </c>
      <c r="E145" s="431">
        <v>21.484910464447498</v>
      </c>
      <c r="F145" s="431">
        <v>24.020396792549999</v>
      </c>
      <c r="G145" s="431">
        <v>28.11276069054</v>
      </c>
      <c r="H145" s="431">
        <v>28.691029502212498</v>
      </c>
      <c r="I145" s="431">
        <v>29.180333881319996</v>
      </c>
      <c r="J145" s="431">
        <v>31.493409128009997</v>
      </c>
      <c r="K145" s="431">
        <v>32.560982318789996</v>
      </c>
      <c r="L145" s="431">
        <v>32.827875616484995</v>
      </c>
      <c r="M145" s="431">
        <v>32.649946751354996</v>
      </c>
      <c r="N145" s="431">
        <v>32.383053453659997</v>
      </c>
      <c r="O145" s="431">
        <v>32.249606804812501</v>
      </c>
      <c r="P145" s="431">
        <v>31.804784641987499</v>
      </c>
      <c r="Q145" s="431">
        <v>30.559282586077497</v>
      </c>
      <c r="R145" s="431">
        <v>30.069978206969999</v>
      </c>
      <c r="S145" s="431">
        <v>26.377954255522496</v>
      </c>
      <c r="T145" s="431">
        <v>24.865558901917499</v>
      </c>
      <c r="U145" s="431">
        <v>18.4601197572375</v>
      </c>
      <c r="V145" s="431">
        <v>7.5174945517424998</v>
      </c>
      <c r="W145" s="431">
        <v>1.3789487047575</v>
      </c>
      <c r="X145" s="433">
        <v>0</v>
      </c>
      <c r="Y145" s="439">
        <v>0</v>
      </c>
    </row>
    <row r="146" spans="1:26" ht="13.8" thickBot="1" x14ac:dyDescent="0.3">
      <c r="A146" s="435" t="s">
        <v>117</v>
      </c>
      <c r="B146" s="429">
        <f t="shared" ref="B146:V146" si="32">(C145+B145)*(C144-B144)/2</f>
        <v>0.19071750231121876</v>
      </c>
      <c r="C146" s="430">
        <f t="shared" si="32"/>
        <v>0.52044193050525001</v>
      </c>
      <c r="D146" s="430">
        <f t="shared" si="32"/>
        <v>0.5982858089996248</v>
      </c>
      <c r="E146" s="430">
        <f t="shared" si="32"/>
        <v>0.56881634071246889</v>
      </c>
      <c r="F146" s="430">
        <f t="shared" si="32"/>
        <v>1.3033289370772498</v>
      </c>
      <c r="G146" s="430">
        <f t="shared" si="32"/>
        <v>0.71004737740940616</v>
      </c>
      <c r="H146" s="430">
        <f t="shared" si="32"/>
        <v>0.72339204229415688</v>
      </c>
      <c r="I146" s="430">
        <f t="shared" si="32"/>
        <v>3.0336871504664993</v>
      </c>
      <c r="J146" s="430">
        <f>(K145+J145)*(K144-J144)/2</f>
        <v>3.2027195723400008</v>
      </c>
      <c r="K146" s="430">
        <f t="shared" si="32"/>
        <v>3.2694428967637483</v>
      </c>
      <c r="L146" s="430">
        <f t="shared" si="32"/>
        <v>3.2738911183919988</v>
      </c>
      <c r="M146" s="430">
        <f t="shared" si="32"/>
        <v>3.2516500102507484</v>
      </c>
      <c r="N146" s="430">
        <f t="shared" si="32"/>
        <v>3.2316330129236279</v>
      </c>
      <c r="O146" s="430">
        <f t="shared" si="32"/>
        <v>3.202719572339999</v>
      </c>
      <c r="P146" s="430">
        <f t="shared" si="32"/>
        <v>6.2364067228065014</v>
      </c>
      <c r="Q146" s="430">
        <f t="shared" si="32"/>
        <v>3.0314630396523707</v>
      </c>
      <c r="R146" s="430">
        <f t="shared" si="32"/>
        <v>11.289586492498502</v>
      </c>
      <c r="S146" s="430">
        <f>(T145+S145)*(T144-S144)/2</f>
        <v>2.5621756578719963</v>
      </c>
      <c r="T146" s="430">
        <f t="shared" si="32"/>
        <v>2.1662839329577519</v>
      </c>
      <c r="U146" s="430">
        <f t="shared" si="32"/>
        <v>1.2988807154489983</v>
      </c>
      <c r="V146" s="430">
        <f t="shared" si="32"/>
        <v>0.44437734066217544</v>
      </c>
      <c r="W146" s="430">
        <f>(X145+W145)*(X144-W144)/2</f>
        <v>6.894743523786741E-5</v>
      </c>
      <c r="X146" s="430">
        <f>(Y145+X145)*(Y144-X144)/2</f>
        <v>0</v>
      </c>
      <c r="Y146" s="424"/>
    </row>
    <row r="147" spans="1:26" ht="13.8" thickBot="1" x14ac:dyDescent="0.3">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row>
    <row r="148" spans="1:26" ht="13.8" thickBot="1" x14ac:dyDescent="0.3">
      <c r="A148" s="416" t="s">
        <v>547</v>
      </c>
      <c r="B148" s="414">
        <f>ROW(A148)</f>
        <v>148</v>
      </c>
      <c r="C148" s="418" t="s">
        <v>116</v>
      </c>
      <c r="D148" s="408">
        <f>SUM(B151:Y151)</f>
        <v>55.589492</v>
      </c>
      <c r="E148" s="418" t="s">
        <v>115</v>
      </c>
      <c r="F148" s="409">
        <f>D148/g/J148</f>
        <v>177.08171508664634</v>
      </c>
      <c r="G148" s="418" t="s">
        <v>57</v>
      </c>
      <c r="H148" s="86">
        <v>0.10199999999999999</v>
      </c>
      <c r="I148" s="418" t="s">
        <v>272</v>
      </c>
      <c r="J148" s="410">
        <f>H148-L148</f>
        <v>3.1999999999999987E-2</v>
      </c>
      <c r="K148" s="418" t="s">
        <v>273</v>
      </c>
      <c r="L148" s="86">
        <v>7.0000000000000007E-2</v>
      </c>
      <c r="M148" s="418" t="s">
        <v>58</v>
      </c>
      <c r="N148" s="87">
        <v>49</v>
      </c>
      <c r="O148" s="418" t="s">
        <v>60</v>
      </c>
      <c r="P148" s="87">
        <v>49</v>
      </c>
      <c r="Q148" s="418" t="s">
        <v>61</v>
      </c>
      <c r="R148" s="87">
        <v>98</v>
      </c>
      <c r="S148" s="418" t="s">
        <v>62</v>
      </c>
      <c r="T148" s="87">
        <v>29</v>
      </c>
      <c r="U148" s="418" t="s">
        <v>55</v>
      </c>
      <c r="V148" s="88" t="s">
        <v>402</v>
      </c>
      <c r="W148" s="547" t="s">
        <v>396</v>
      </c>
      <c r="X148" s="549">
        <v>0.45</v>
      </c>
      <c r="Y148" s="547" t="s">
        <v>395</v>
      </c>
      <c r="Z148" s="413">
        <v>12</v>
      </c>
    </row>
    <row r="149" spans="1:26" x14ac:dyDescent="0.25">
      <c r="A149" s="417" t="s">
        <v>33</v>
      </c>
      <c r="B149" s="441">
        <v>0</v>
      </c>
      <c r="C149" s="442">
        <v>1E-3</v>
      </c>
      <c r="D149" s="442">
        <v>2.3E-2</v>
      </c>
      <c r="E149" s="442">
        <v>0.05</v>
      </c>
      <c r="F149" s="442">
        <v>5.8999999999999997E-2</v>
      </c>
      <c r="G149" s="442">
        <v>9.5000000000000001E-2</v>
      </c>
      <c r="H149" s="442">
        <v>0.21199999999999999</v>
      </c>
      <c r="I149" s="442">
        <v>0.34399999999999997</v>
      </c>
      <c r="J149" s="442">
        <v>1.5669999999999999</v>
      </c>
      <c r="K149" s="442">
        <v>1.631</v>
      </c>
      <c r="L149" s="442">
        <v>1.663</v>
      </c>
      <c r="M149" s="442">
        <v>1.7849999999999999</v>
      </c>
      <c r="N149" s="442">
        <v>1.8280000000000001</v>
      </c>
      <c r="O149" s="442">
        <v>2</v>
      </c>
      <c r="P149" s="442">
        <v>2</v>
      </c>
      <c r="Q149" s="442">
        <v>2</v>
      </c>
      <c r="R149" s="442">
        <v>2</v>
      </c>
      <c r="S149" s="442">
        <v>2</v>
      </c>
      <c r="T149" s="442">
        <v>2</v>
      </c>
      <c r="U149" s="442">
        <v>2</v>
      </c>
      <c r="V149" s="442">
        <v>2</v>
      </c>
      <c r="W149" s="442">
        <v>2</v>
      </c>
      <c r="X149" s="442">
        <v>2</v>
      </c>
      <c r="Y149" s="444">
        <v>1000</v>
      </c>
    </row>
    <row r="150" spans="1:26" x14ac:dyDescent="0.25">
      <c r="A150" s="434" t="s">
        <v>34</v>
      </c>
      <c r="B150" s="443">
        <v>0</v>
      </c>
      <c r="C150" s="433">
        <v>3.4830000000000001</v>
      </c>
      <c r="D150" s="433">
        <v>64.052999999999997</v>
      </c>
      <c r="E150" s="433">
        <v>31.347000000000001</v>
      </c>
      <c r="F150" s="433">
        <v>28.459</v>
      </c>
      <c r="G150" s="433">
        <v>32.027000000000001</v>
      </c>
      <c r="H150" s="433">
        <v>36.189</v>
      </c>
      <c r="I150" s="433">
        <v>37.548999999999999</v>
      </c>
      <c r="J150" s="433">
        <v>26.164999999999999</v>
      </c>
      <c r="K150" s="433">
        <v>26.93</v>
      </c>
      <c r="L150" s="433">
        <v>25.315999999999999</v>
      </c>
      <c r="M150" s="433">
        <v>3.653</v>
      </c>
      <c r="N150" s="433">
        <v>0</v>
      </c>
      <c r="O150" s="433">
        <v>0</v>
      </c>
      <c r="P150" s="433">
        <v>0</v>
      </c>
      <c r="Q150" s="433">
        <v>0</v>
      </c>
      <c r="R150" s="433">
        <v>0</v>
      </c>
      <c r="S150" s="433">
        <v>0</v>
      </c>
      <c r="T150" s="433">
        <v>0</v>
      </c>
      <c r="U150" s="433">
        <v>0</v>
      </c>
      <c r="V150" s="433">
        <v>0</v>
      </c>
      <c r="W150" s="433">
        <v>0</v>
      </c>
      <c r="X150" s="433">
        <v>0</v>
      </c>
      <c r="Y150" s="439">
        <v>0</v>
      </c>
    </row>
    <row r="151" spans="1:26" ht="13.8" thickBot="1" x14ac:dyDescent="0.3">
      <c r="A151" s="435" t="s">
        <v>117</v>
      </c>
      <c r="B151" s="429">
        <f t="shared" ref="B151" si="33">(C150+B150)*(C149-B149)/2</f>
        <v>1.7415E-3</v>
      </c>
      <c r="C151" s="430">
        <f t="shared" ref="C151" si="34">(D150+C150)*(D149-C149)/2</f>
        <v>0.742896</v>
      </c>
      <c r="D151" s="430">
        <f t="shared" ref="D151" si="35">(E150+D150)*(E149-D149)/2</f>
        <v>1.2879000000000003</v>
      </c>
      <c r="E151" s="430">
        <f t="shared" ref="E151" si="36">(F150+E150)*(F149-E149)/2</f>
        <v>0.26912699999999984</v>
      </c>
      <c r="F151" s="430">
        <f t="shared" ref="F151" si="37">(G150+F150)*(G149-F149)/2</f>
        <v>1.0887480000000003</v>
      </c>
      <c r="G151" s="430">
        <f t="shared" ref="G151" si="38">(H150+G150)*(H149-G149)/2</f>
        <v>3.9906360000000003</v>
      </c>
      <c r="H151" s="430">
        <f t="shared" ref="H151" si="39">(I150+H150)*(I149-H149)/2</f>
        <v>4.8667079999999991</v>
      </c>
      <c r="I151" s="430">
        <f t="shared" ref="I151" si="40">(J150+I150)*(J149-I149)/2</f>
        <v>38.961110999999995</v>
      </c>
      <c r="J151" s="430">
        <f t="shared" ref="J151" si="41">(K150+J150)*(K149-J149)/2</f>
        <v>1.6990400000000014</v>
      </c>
      <c r="K151" s="430">
        <f t="shared" ref="K151" si="42">(L150+K150)*(L149-K149)/2</f>
        <v>0.83593600000000068</v>
      </c>
      <c r="L151" s="430">
        <f t="shared" ref="L151" si="43">(M150+L150)*(M149-L149)/2</f>
        <v>1.7671089999999983</v>
      </c>
      <c r="M151" s="430">
        <f t="shared" ref="M151" si="44">(N150+M150)*(N149-M149)/2</f>
        <v>7.8539500000000276E-2</v>
      </c>
      <c r="N151" s="430">
        <f t="shared" ref="N151" si="45">(O150+N150)*(O149-N149)/2</f>
        <v>0</v>
      </c>
      <c r="O151" s="430">
        <f t="shared" ref="O151" si="46">(P150+O150)*(P149-O149)/2</f>
        <v>0</v>
      </c>
      <c r="P151" s="430">
        <f t="shared" ref="P151" si="47">(Q150+P150)*(Q149-P149)/2</f>
        <v>0</v>
      </c>
      <c r="Q151" s="430">
        <f t="shared" ref="Q151" si="48">(R150+Q150)*(R149-Q149)/2</f>
        <v>0</v>
      </c>
      <c r="R151" s="430">
        <f t="shared" ref="R151" si="49">(S150+R150)*(S149-R149)/2</f>
        <v>0</v>
      </c>
      <c r="S151" s="430">
        <f t="shared" ref="S151" si="50">(T150+S150)*(T149-S149)/2</f>
        <v>0</v>
      </c>
      <c r="T151" s="430">
        <f t="shared" ref="T151" si="51">(U150+T150)*(U149-T149)/2</f>
        <v>0</v>
      </c>
      <c r="U151" s="430">
        <f t="shared" ref="U151" si="52">(V150+U150)*(V149-U149)/2</f>
        <v>0</v>
      </c>
      <c r="V151" s="430">
        <f t="shared" ref="V151" si="53">(W150+V150)*(W149-V149)/2</f>
        <v>0</v>
      </c>
      <c r="W151" s="430">
        <f t="shared" ref="W151" si="54">(X150+W150)*(X149-W149)/2</f>
        <v>0</v>
      </c>
      <c r="X151" s="430">
        <f t="shared" ref="X151" si="55">(Y150+X150)*(Y149-X149)/2</f>
        <v>0</v>
      </c>
      <c r="Y151" s="424"/>
    </row>
    <row r="152" spans="1:26" ht="13.8" thickBot="1" x14ac:dyDescent="0.3">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row>
    <row r="153" spans="1:26" ht="13.8" thickBot="1" x14ac:dyDescent="0.3">
      <c r="A153" s="416" t="s">
        <v>386</v>
      </c>
      <c r="B153" s="414">
        <f>ROW(A153)</f>
        <v>153</v>
      </c>
      <c r="C153" s="418" t="s">
        <v>116</v>
      </c>
      <c r="D153" s="408">
        <f>SUM(B156:Y156)</f>
        <v>55.705884500000003</v>
      </c>
      <c r="E153" s="418" t="s">
        <v>115</v>
      </c>
      <c r="F153" s="409">
        <f>D153/g/J153</f>
        <v>180.84329814241278</v>
      </c>
      <c r="G153" s="418" t="s">
        <v>57</v>
      </c>
      <c r="H153" s="86">
        <v>0.1062</v>
      </c>
      <c r="I153" s="418" t="s">
        <v>272</v>
      </c>
      <c r="J153" s="410">
        <f>H153-L153</f>
        <v>3.1400000000000011E-2</v>
      </c>
      <c r="K153" s="418" t="s">
        <v>273</v>
      </c>
      <c r="L153" s="86">
        <v>7.4799999999999991E-2</v>
      </c>
      <c r="M153" s="418" t="s">
        <v>58</v>
      </c>
      <c r="N153" s="87">
        <v>49</v>
      </c>
      <c r="O153" s="418" t="s">
        <v>60</v>
      </c>
      <c r="P153" s="87">
        <v>49</v>
      </c>
      <c r="Q153" s="418" t="s">
        <v>61</v>
      </c>
      <c r="R153" s="87">
        <v>98</v>
      </c>
      <c r="S153" s="418" t="s">
        <v>62</v>
      </c>
      <c r="T153" s="87">
        <v>29</v>
      </c>
      <c r="U153" s="418" t="s">
        <v>55</v>
      </c>
      <c r="V153" s="88" t="s">
        <v>402</v>
      </c>
      <c r="W153" s="547" t="s">
        <v>396</v>
      </c>
      <c r="X153" s="549">
        <v>0.45</v>
      </c>
      <c r="Y153" s="547" t="s">
        <v>395</v>
      </c>
      <c r="Z153" s="413">
        <v>14</v>
      </c>
    </row>
    <row r="154" spans="1:26" x14ac:dyDescent="0.25">
      <c r="A154" s="417" t="s">
        <v>33</v>
      </c>
      <c r="B154" s="441">
        <v>0</v>
      </c>
      <c r="C154" s="442">
        <v>1.2999999999999999E-2</v>
      </c>
      <c r="D154" s="442">
        <v>1.7000000000000001E-2</v>
      </c>
      <c r="E154" s="442">
        <v>0.04</v>
      </c>
      <c r="F154" s="442">
        <v>0.125</v>
      </c>
      <c r="G154" s="442">
        <v>0.17899999999999999</v>
      </c>
      <c r="H154" s="442">
        <v>0.222</v>
      </c>
      <c r="I154" s="442">
        <v>0.28899999999999998</v>
      </c>
      <c r="J154" s="442">
        <v>0.35399999999999998</v>
      </c>
      <c r="K154" s="442">
        <v>0.39400000000000002</v>
      </c>
      <c r="L154" s="442">
        <v>0.40600000000000003</v>
      </c>
      <c r="M154" s="442">
        <v>0.41599999999999998</v>
      </c>
      <c r="N154" s="442">
        <v>0.42299999999999999</v>
      </c>
      <c r="O154" s="442">
        <v>0.43099999999999999</v>
      </c>
      <c r="P154" s="442">
        <v>0.44700000000000001</v>
      </c>
      <c r="Q154" s="442">
        <v>0.45300000000000001</v>
      </c>
      <c r="R154" s="442">
        <v>0.45500000000000002</v>
      </c>
      <c r="S154" s="442">
        <v>0.45500000000000002</v>
      </c>
      <c r="T154" s="442">
        <v>0.45500000000000002</v>
      </c>
      <c r="U154" s="442">
        <v>0.45500000000000002</v>
      </c>
      <c r="V154" s="442">
        <v>0.45500000000000002</v>
      </c>
      <c r="W154" s="442">
        <v>0.45500000000000002</v>
      </c>
      <c r="X154" s="442">
        <v>2</v>
      </c>
      <c r="Y154" s="444">
        <v>1000</v>
      </c>
    </row>
    <row r="155" spans="1:26" x14ac:dyDescent="0.25">
      <c r="A155" s="434" t="s">
        <v>34</v>
      </c>
      <c r="B155" s="443">
        <v>0</v>
      </c>
      <c r="C155" s="433">
        <v>79.242000000000004</v>
      </c>
      <c r="D155" s="433">
        <v>90.427000000000007</v>
      </c>
      <c r="E155" s="433">
        <v>101.422</v>
      </c>
      <c r="F155" s="433">
        <v>127.583</v>
      </c>
      <c r="G155" s="433">
        <v>136.114</v>
      </c>
      <c r="H155" s="433">
        <v>139.905</v>
      </c>
      <c r="I155" s="433">
        <v>143.50700000000001</v>
      </c>
      <c r="J155" s="433">
        <v>138.578</v>
      </c>
      <c r="K155" s="433">
        <v>125.498</v>
      </c>
      <c r="L155" s="433">
        <v>123.602</v>
      </c>
      <c r="M155" s="433">
        <v>125.11799999999999</v>
      </c>
      <c r="N155" s="433">
        <v>130.047</v>
      </c>
      <c r="O155" s="433">
        <v>120.569</v>
      </c>
      <c r="P155" s="433">
        <v>25.591999999999999</v>
      </c>
      <c r="Q155" s="433">
        <v>8.7200000000000006</v>
      </c>
      <c r="R155" s="433">
        <v>0</v>
      </c>
      <c r="S155" s="433">
        <v>0</v>
      </c>
      <c r="T155" s="433">
        <v>0</v>
      </c>
      <c r="U155" s="433">
        <v>0</v>
      </c>
      <c r="V155" s="433">
        <v>0</v>
      </c>
      <c r="W155" s="433">
        <v>0</v>
      </c>
      <c r="X155" s="433">
        <v>0</v>
      </c>
      <c r="Y155" s="439">
        <v>0</v>
      </c>
    </row>
    <row r="156" spans="1:26" ht="13.8" thickBot="1" x14ac:dyDescent="0.3">
      <c r="A156" s="435" t="s">
        <v>117</v>
      </c>
      <c r="B156" s="429">
        <f t="shared" ref="B156:X156" si="56">(C155+B155)*(C154-B154)/2</f>
        <v>0.515073</v>
      </c>
      <c r="C156" s="430">
        <f t="shared" si="56"/>
        <v>0.3393380000000002</v>
      </c>
      <c r="D156" s="430">
        <f t="shared" si="56"/>
        <v>2.2062634999999999</v>
      </c>
      <c r="E156" s="430">
        <f t="shared" si="56"/>
        <v>9.7327124999999981</v>
      </c>
      <c r="F156" s="430">
        <f t="shared" si="56"/>
        <v>7.1198189999999988</v>
      </c>
      <c r="G156" s="430">
        <f t="shared" si="56"/>
        <v>5.9344085000000018</v>
      </c>
      <c r="H156" s="430">
        <f t="shared" si="56"/>
        <v>9.4943019999999976</v>
      </c>
      <c r="I156" s="430">
        <f t="shared" si="56"/>
        <v>9.167762500000002</v>
      </c>
      <c r="J156" s="430">
        <f t="shared" si="56"/>
        <v>5.2815200000000049</v>
      </c>
      <c r="K156" s="430">
        <f t="shared" si="56"/>
        <v>1.4946000000000015</v>
      </c>
      <c r="L156" s="430">
        <f t="shared" si="56"/>
        <v>1.2435999999999943</v>
      </c>
      <c r="M156" s="430">
        <f t="shared" si="56"/>
        <v>0.89307750000000075</v>
      </c>
      <c r="N156" s="430">
        <f t="shared" si="56"/>
        <v>1.0024640000000009</v>
      </c>
      <c r="O156" s="430">
        <f t="shared" si="56"/>
        <v>1.169288000000001</v>
      </c>
      <c r="P156" s="430">
        <f t="shared" si="56"/>
        <v>0.10293600000000008</v>
      </c>
      <c r="Q156" s="430">
        <f t="shared" si="56"/>
        <v>8.720000000000009E-3</v>
      </c>
      <c r="R156" s="430">
        <f t="shared" si="56"/>
        <v>0</v>
      </c>
      <c r="S156" s="430">
        <f t="shared" si="56"/>
        <v>0</v>
      </c>
      <c r="T156" s="430">
        <f t="shared" si="56"/>
        <v>0</v>
      </c>
      <c r="U156" s="430">
        <f t="shared" si="56"/>
        <v>0</v>
      </c>
      <c r="V156" s="430">
        <f t="shared" si="56"/>
        <v>0</v>
      </c>
      <c r="W156" s="430">
        <f t="shared" si="56"/>
        <v>0</v>
      </c>
      <c r="X156" s="430">
        <f t="shared" si="56"/>
        <v>0</v>
      </c>
      <c r="Y156" s="424"/>
    </row>
    <row r="157" spans="1:26" ht="13.8" thickBot="1" x14ac:dyDescent="0.3">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row>
    <row r="158" spans="1:26" ht="13.8" thickBot="1" x14ac:dyDescent="0.3">
      <c r="A158" s="416" t="s">
        <v>387</v>
      </c>
      <c r="B158" s="414">
        <f>ROW(A158)</f>
        <v>158</v>
      </c>
      <c r="C158" s="418" t="s">
        <v>116</v>
      </c>
      <c r="D158" s="408">
        <f>SUM(B161:Y161)</f>
        <v>57.190000000000005</v>
      </c>
      <c r="E158" s="418" t="s">
        <v>115</v>
      </c>
      <c r="F158" s="409">
        <f>D158/g/J158</f>
        <v>188.05695307618953</v>
      </c>
      <c r="G158" s="418" t="s">
        <v>57</v>
      </c>
      <c r="H158" s="86">
        <v>9.9000000000000005E-2</v>
      </c>
      <c r="I158" s="418" t="s">
        <v>272</v>
      </c>
      <c r="J158" s="410">
        <f>H158-L158</f>
        <v>3.1E-2</v>
      </c>
      <c r="K158" s="418" t="s">
        <v>273</v>
      </c>
      <c r="L158" s="86">
        <v>6.8000000000000005E-2</v>
      </c>
      <c r="M158" s="418" t="s">
        <v>58</v>
      </c>
      <c r="N158" s="87">
        <v>49</v>
      </c>
      <c r="O158" s="418" t="s">
        <v>60</v>
      </c>
      <c r="P158" s="87">
        <v>49</v>
      </c>
      <c r="Q158" s="418" t="s">
        <v>61</v>
      </c>
      <c r="R158" s="87">
        <v>98</v>
      </c>
      <c r="S158" s="418" t="s">
        <v>62</v>
      </c>
      <c r="T158" s="87">
        <v>29</v>
      </c>
      <c r="U158" s="418" t="s">
        <v>55</v>
      </c>
      <c r="V158" s="88" t="s">
        <v>402</v>
      </c>
      <c r="W158" s="547" t="s">
        <v>396</v>
      </c>
      <c r="X158" s="549">
        <v>0.96</v>
      </c>
      <c r="Y158" s="547" t="s">
        <v>395</v>
      </c>
      <c r="Z158" s="413">
        <v>12</v>
      </c>
    </row>
    <row r="159" spans="1:26" x14ac:dyDescent="0.25">
      <c r="A159" s="417" t="s">
        <v>33</v>
      </c>
      <c r="B159" s="441">
        <v>0</v>
      </c>
      <c r="C159" s="442">
        <v>0.01</v>
      </c>
      <c r="D159" s="442">
        <v>0.02</v>
      </c>
      <c r="E159" s="442">
        <v>0.03</v>
      </c>
      <c r="F159" s="442">
        <v>0.04</v>
      </c>
      <c r="G159" s="442">
        <v>7.0000000000000007E-2</v>
      </c>
      <c r="H159" s="442">
        <v>0.1</v>
      </c>
      <c r="I159" s="442">
        <v>0.2</v>
      </c>
      <c r="J159" s="442">
        <v>0.3</v>
      </c>
      <c r="K159" s="442">
        <v>0.4</v>
      </c>
      <c r="L159" s="442">
        <v>0.5</v>
      </c>
      <c r="M159" s="442">
        <v>0.6</v>
      </c>
      <c r="N159" s="442">
        <v>0.7</v>
      </c>
      <c r="O159" s="442">
        <v>0.87</v>
      </c>
      <c r="P159" s="442">
        <v>0.9</v>
      </c>
      <c r="Q159" s="442">
        <v>0.97</v>
      </c>
      <c r="R159" s="442">
        <v>0.97</v>
      </c>
      <c r="S159" s="442">
        <v>0.97</v>
      </c>
      <c r="T159" s="442">
        <v>0.97</v>
      </c>
      <c r="U159" s="442">
        <v>0.97</v>
      </c>
      <c r="V159" s="442">
        <v>0.97</v>
      </c>
      <c r="W159" s="442">
        <v>0.97</v>
      </c>
      <c r="X159" s="442">
        <v>2</v>
      </c>
      <c r="Y159" s="444">
        <v>1000</v>
      </c>
    </row>
    <row r="160" spans="1:26" x14ac:dyDescent="0.25">
      <c r="A160" s="434" t="s">
        <v>34</v>
      </c>
      <c r="B160" s="443">
        <v>0</v>
      </c>
      <c r="C160" s="433">
        <v>16</v>
      </c>
      <c r="D160" s="433">
        <v>62</v>
      </c>
      <c r="E160" s="433">
        <v>67</v>
      </c>
      <c r="F160" s="433">
        <v>71</v>
      </c>
      <c r="G160" s="433">
        <v>58</v>
      </c>
      <c r="H160" s="433">
        <v>63</v>
      </c>
      <c r="I160" s="433">
        <v>67</v>
      </c>
      <c r="J160" s="433">
        <v>69</v>
      </c>
      <c r="K160" s="433">
        <v>67</v>
      </c>
      <c r="L160" s="433">
        <v>65</v>
      </c>
      <c r="M160" s="433">
        <v>63</v>
      </c>
      <c r="N160" s="433">
        <v>61</v>
      </c>
      <c r="O160" s="433">
        <v>60</v>
      </c>
      <c r="P160" s="433">
        <v>23</v>
      </c>
      <c r="Q160" s="433">
        <v>0</v>
      </c>
      <c r="R160" s="433">
        <v>0</v>
      </c>
      <c r="S160" s="433">
        <v>0</v>
      </c>
      <c r="T160" s="433">
        <v>0</v>
      </c>
      <c r="U160" s="433">
        <v>0</v>
      </c>
      <c r="V160" s="433">
        <v>0</v>
      </c>
      <c r="W160" s="433">
        <v>0</v>
      </c>
      <c r="X160" s="433">
        <v>0</v>
      </c>
      <c r="Y160" s="439">
        <v>0</v>
      </c>
    </row>
    <row r="161" spans="1:26" ht="13.8" thickBot="1" x14ac:dyDescent="0.3">
      <c r="A161" s="435" t="s">
        <v>117</v>
      </c>
      <c r="B161" s="429">
        <f t="shared" ref="B161:X161" si="57">(C160+B160)*(C159-B159)/2</f>
        <v>0.08</v>
      </c>
      <c r="C161" s="430">
        <f t="shared" si="57"/>
        <v>0.39</v>
      </c>
      <c r="D161" s="430">
        <f t="shared" si="57"/>
        <v>0.64499999999999991</v>
      </c>
      <c r="E161" s="430">
        <f t="shared" si="57"/>
        <v>0.69000000000000017</v>
      </c>
      <c r="F161" s="430">
        <f t="shared" si="57"/>
        <v>1.9350000000000003</v>
      </c>
      <c r="G161" s="430">
        <f t="shared" si="57"/>
        <v>1.8149999999999999</v>
      </c>
      <c r="H161" s="430">
        <f t="shared" si="57"/>
        <v>6.5</v>
      </c>
      <c r="I161" s="430">
        <f t="shared" si="57"/>
        <v>6.7999999999999989</v>
      </c>
      <c r="J161" s="430">
        <f t="shared" si="57"/>
        <v>6.8000000000000025</v>
      </c>
      <c r="K161" s="430">
        <f t="shared" si="57"/>
        <v>6.5999999999999988</v>
      </c>
      <c r="L161" s="430">
        <f t="shared" si="57"/>
        <v>6.3999999999999986</v>
      </c>
      <c r="M161" s="430">
        <f t="shared" si="57"/>
        <v>6.1999999999999984</v>
      </c>
      <c r="N161" s="430">
        <f t="shared" si="57"/>
        <v>10.285000000000002</v>
      </c>
      <c r="O161" s="430">
        <f t="shared" si="57"/>
        <v>1.245000000000001</v>
      </c>
      <c r="P161" s="430">
        <f t="shared" si="57"/>
        <v>0.80499999999999949</v>
      </c>
      <c r="Q161" s="430">
        <f t="shared" si="57"/>
        <v>0</v>
      </c>
      <c r="R161" s="430">
        <f t="shared" si="57"/>
        <v>0</v>
      </c>
      <c r="S161" s="430">
        <f t="shared" si="57"/>
        <v>0</v>
      </c>
      <c r="T161" s="430">
        <f t="shared" si="57"/>
        <v>0</v>
      </c>
      <c r="U161" s="430">
        <f t="shared" si="57"/>
        <v>0</v>
      </c>
      <c r="V161" s="430">
        <f t="shared" si="57"/>
        <v>0</v>
      </c>
      <c r="W161" s="430">
        <f t="shared" si="57"/>
        <v>0</v>
      </c>
      <c r="X161" s="430">
        <f t="shared" si="57"/>
        <v>0</v>
      </c>
      <c r="Y161" s="424"/>
    </row>
    <row r="162" spans="1:26" ht="13.8" thickBot="1" x14ac:dyDescent="0.3">
      <c r="A162" s="492" t="s">
        <v>316</v>
      </c>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row>
    <row r="163" spans="1:26" ht="13.8" thickBot="1" x14ac:dyDescent="0.3">
      <c r="A163" s="416" t="s">
        <v>323</v>
      </c>
      <c r="B163" s="414">
        <f>ROW(A163)</f>
        <v>163</v>
      </c>
      <c r="C163" s="418" t="s">
        <v>116</v>
      </c>
      <c r="D163" s="408">
        <f>SUM(B166:Y166)</f>
        <v>59.702267000000006</v>
      </c>
      <c r="E163" s="418" t="s">
        <v>115</v>
      </c>
      <c r="F163" s="409">
        <f>D163/g/J163</f>
        <v>190.77924771281306</v>
      </c>
      <c r="G163" s="418" t="s">
        <v>57</v>
      </c>
      <c r="H163" s="86">
        <v>9.3899999999999997E-2</v>
      </c>
      <c r="I163" s="418" t="s">
        <v>272</v>
      </c>
      <c r="J163" s="410">
        <f>H163-L163</f>
        <v>3.1899999999999998E-2</v>
      </c>
      <c r="K163" s="418" t="s">
        <v>273</v>
      </c>
      <c r="L163" s="86">
        <f>0.095-0.033</f>
        <v>6.2E-2</v>
      </c>
      <c r="M163" s="418" t="s">
        <v>58</v>
      </c>
      <c r="N163" s="457">
        <v>66.5</v>
      </c>
      <c r="O163" s="418" t="s">
        <v>60</v>
      </c>
      <c r="P163" s="457">
        <v>66.5</v>
      </c>
      <c r="Q163" s="418" t="s">
        <v>61</v>
      </c>
      <c r="R163" s="87">
        <v>133</v>
      </c>
      <c r="S163" s="418" t="s">
        <v>62</v>
      </c>
      <c r="T163" s="87">
        <v>24</v>
      </c>
      <c r="U163" s="418" t="s">
        <v>55</v>
      </c>
      <c r="V163" s="88" t="s">
        <v>401</v>
      </c>
      <c r="W163" s="547" t="s">
        <v>396</v>
      </c>
      <c r="X163" s="549">
        <v>1.2</v>
      </c>
      <c r="Y163" s="547" t="s">
        <v>395</v>
      </c>
      <c r="Z163" s="413">
        <v>13</v>
      </c>
    </row>
    <row r="164" spans="1:26" x14ac:dyDescent="0.25">
      <c r="A164" s="417" t="s">
        <v>33</v>
      </c>
      <c r="B164" s="425">
        <v>0</v>
      </c>
      <c r="C164" s="426">
        <v>1.4999999999999999E-2</v>
      </c>
      <c r="D164" s="426">
        <v>2.1999999999999999E-2</v>
      </c>
      <c r="E164" s="426">
        <v>6.4000000000000001E-2</v>
      </c>
      <c r="F164" s="426">
        <v>0.11799999999999999</v>
      </c>
      <c r="G164" s="426">
        <v>0.34200000000000003</v>
      </c>
      <c r="H164" s="426">
        <v>0.53600000000000003</v>
      </c>
      <c r="I164" s="426">
        <v>0.74299999999999999</v>
      </c>
      <c r="J164" s="426">
        <v>0.88400000000000001</v>
      </c>
      <c r="K164" s="426">
        <v>0.97599999999999998</v>
      </c>
      <c r="L164" s="426">
        <v>1.0960000000000001</v>
      </c>
      <c r="M164" s="426">
        <v>1.246</v>
      </c>
      <c r="N164" s="426">
        <v>1.298</v>
      </c>
      <c r="O164" s="442">
        <v>2</v>
      </c>
      <c r="P164" s="442">
        <v>2</v>
      </c>
      <c r="Q164" s="442">
        <v>2</v>
      </c>
      <c r="R164" s="442">
        <v>2</v>
      </c>
      <c r="S164" s="442">
        <v>2</v>
      </c>
      <c r="T164" s="442">
        <v>2</v>
      </c>
      <c r="U164" s="442">
        <v>2</v>
      </c>
      <c r="V164" s="442">
        <v>2</v>
      </c>
      <c r="W164" s="442">
        <v>2</v>
      </c>
      <c r="X164" s="442">
        <f t="shared" ref="T164:X165" si="58">W164</f>
        <v>2</v>
      </c>
      <c r="Y164" s="444">
        <v>1000</v>
      </c>
    </row>
    <row r="165" spans="1:26" x14ac:dyDescent="0.25">
      <c r="A165" s="434" t="s">
        <v>34</v>
      </c>
      <c r="B165" s="427">
        <v>0</v>
      </c>
      <c r="C165" s="428">
        <v>64.981999999999999</v>
      </c>
      <c r="D165" s="428">
        <v>69.516000000000005</v>
      </c>
      <c r="E165" s="428">
        <v>55.536999999999999</v>
      </c>
      <c r="F165" s="428">
        <v>62.81</v>
      </c>
      <c r="G165" s="428">
        <v>62.149000000000001</v>
      </c>
      <c r="H165" s="428">
        <v>59.41</v>
      </c>
      <c r="I165" s="428">
        <v>53.837000000000003</v>
      </c>
      <c r="J165" s="428">
        <v>46.942</v>
      </c>
      <c r="K165" s="428">
        <v>40.046999999999997</v>
      </c>
      <c r="L165" s="428">
        <v>12.561999999999999</v>
      </c>
      <c r="M165" s="428">
        <v>2.0779999999999998</v>
      </c>
      <c r="N165" s="428">
        <v>0</v>
      </c>
      <c r="O165" s="433">
        <v>0</v>
      </c>
      <c r="P165" s="433">
        <v>0</v>
      </c>
      <c r="Q165" s="433">
        <v>0</v>
      </c>
      <c r="R165" s="433">
        <v>0</v>
      </c>
      <c r="S165" s="433">
        <v>0</v>
      </c>
      <c r="T165" s="433">
        <f t="shared" si="58"/>
        <v>0</v>
      </c>
      <c r="U165" s="433">
        <f t="shared" si="58"/>
        <v>0</v>
      </c>
      <c r="V165" s="433">
        <f t="shared" si="58"/>
        <v>0</v>
      </c>
      <c r="W165" s="433">
        <f t="shared" si="58"/>
        <v>0</v>
      </c>
      <c r="X165" s="433">
        <f t="shared" si="58"/>
        <v>0</v>
      </c>
      <c r="Y165" s="439">
        <v>0</v>
      </c>
    </row>
    <row r="166" spans="1:26" ht="13.8" thickBot="1" x14ac:dyDescent="0.3">
      <c r="A166" s="435" t="s">
        <v>117</v>
      </c>
      <c r="B166" s="429">
        <f t="shared" ref="B166:V166" si="59">(C165+B165)*(C164-B164)/2</f>
        <v>0.48736499999999999</v>
      </c>
      <c r="C166" s="430">
        <f t="shared" si="59"/>
        <v>0.47074299999999991</v>
      </c>
      <c r="D166" s="430">
        <f t="shared" si="59"/>
        <v>2.6261130000000001</v>
      </c>
      <c r="E166" s="430">
        <f t="shared" si="59"/>
        <v>3.1953689999999999</v>
      </c>
      <c r="F166" s="430">
        <f t="shared" si="59"/>
        <v>13.995408000000003</v>
      </c>
      <c r="G166" s="430">
        <f t="shared" si="59"/>
        <v>11.791223</v>
      </c>
      <c r="H166" s="430">
        <f t="shared" si="59"/>
        <v>11.721064499999997</v>
      </c>
      <c r="I166" s="430">
        <f t="shared" si="59"/>
        <v>7.1049195000000003</v>
      </c>
      <c r="J166" s="430">
        <f>(K165+J165)*(K164-J164)/2</f>
        <v>4.0014939999999992</v>
      </c>
      <c r="K166" s="430">
        <f t="shared" si="59"/>
        <v>3.1565400000000023</v>
      </c>
      <c r="L166" s="430">
        <f t="shared" si="59"/>
        <v>1.0979999999999992</v>
      </c>
      <c r="M166" s="430">
        <f t="shared" si="59"/>
        <v>5.4028000000000041E-2</v>
      </c>
      <c r="N166" s="430">
        <f t="shared" si="59"/>
        <v>0</v>
      </c>
      <c r="O166" s="430">
        <f t="shared" si="59"/>
        <v>0</v>
      </c>
      <c r="P166" s="430">
        <f t="shared" si="59"/>
        <v>0</v>
      </c>
      <c r="Q166" s="430">
        <f t="shared" si="59"/>
        <v>0</v>
      </c>
      <c r="R166" s="430">
        <f t="shared" si="59"/>
        <v>0</v>
      </c>
      <c r="S166" s="430">
        <f>(T165+S165)*(T164-S164)/2</f>
        <v>0</v>
      </c>
      <c r="T166" s="430">
        <f t="shared" si="59"/>
        <v>0</v>
      </c>
      <c r="U166" s="430">
        <f t="shared" si="59"/>
        <v>0</v>
      </c>
      <c r="V166" s="430">
        <f t="shared" si="59"/>
        <v>0</v>
      </c>
      <c r="W166" s="430">
        <f>(X165+W165)*(X164-W164)/2</f>
        <v>0</v>
      </c>
      <c r="X166" s="430">
        <f>(Y165+X165)*(Y164-X164)/2</f>
        <v>0</v>
      </c>
      <c r="Y166" s="424"/>
    </row>
    <row r="167" spans="1:26" ht="13.8" thickBot="1" x14ac:dyDescent="0.3"/>
    <row r="168" spans="1:26" ht="13.8" thickBot="1" x14ac:dyDescent="0.3">
      <c r="A168" s="416" t="s">
        <v>324</v>
      </c>
      <c r="B168" s="414">
        <f>ROW(A168)</f>
        <v>168</v>
      </c>
      <c r="C168" s="418" t="s">
        <v>116</v>
      </c>
      <c r="D168" s="408">
        <f>SUM(B171:Y171)</f>
        <v>68.380602999999994</v>
      </c>
      <c r="E168" s="418" t="s">
        <v>115</v>
      </c>
      <c r="F168" s="409">
        <f>D168/g/J168</f>
        <v>134.04807300243078</v>
      </c>
      <c r="G168" s="418" t="s">
        <v>57</v>
      </c>
      <c r="H168" s="86">
        <v>0.1075</v>
      </c>
      <c r="I168" s="418" t="s">
        <v>272</v>
      </c>
      <c r="J168" s="410">
        <f>H168-L168</f>
        <v>5.1999999999999998E-2</v>
      </c>
      <c r="K168" s="418" t="s">
        <v>273</v>
      </c>
      <c r="L168" s="86">
        <v>5.5500000000000001E-2</v>
      </c>
      <c r="M168" s="418" t="s">
        <v>58</v>
      </c>
      <c r="N168" s="457">
        <v>66.5</v>
      </c>
      <c r="O168" s="418" t="s">
        <v>60</v>
      </c>
      <c r="P168" s="457">
        <v>66.5</v>
      </c>
      <c r="Q168" s="418" t="s">
        <v>61</v>
      </c>
      <c r="R168" s="87">
        <v>133</v>
      </c>
      <c r="S168" s="418" t="s">
        <v>62</v>
      </c>
      <c r="T168" s="87">
        <v>24</v>
      </c>
      <c r="U168" s="418" t="s">
        <v>55</v>
      </c>
      <c r="V168" s="88" t="s">
        <v>401</v>
      </c>
      <c r="W168" s="547" t="s">
        <v>396</v>
      </c>
      <c r="X168" s="549">
        <v>0.86</v>
      </c>
      <c r="Y168" s="547" t="s">
        <v>395</v>
      </c>
      <c r="Z168" s="413">
        <v>13</v>
      </c>
    </row>
    <row r="169" spans="1:26" x14ac:dyDescent="0.25">
      <c r="A169" s="417" t="s">
        <v>33</v>
      </c>
      <c r="B169" s="441">
        <v>0</v>
      </c>
      <c r="C169" s="442">
        <v>5.0000000000000001E-3</v>
      </c>
      <c r="D169" s="442">
        <v>1.2999999999999999E-2</v>
      </c>
      <c r="E169" s="442">
        <v>2.1999999999999999E-2</v>
      </c>
      <c r="F169" s="442">
        <v>4.2999999999999997E-2</v>
      </c>
      <c r="G169" s="442">
        <v>0.11899999999999999</v>
      </c>
      <c r="H169" s="442">
        <v>0.19800000000000001</v>
      </c>
      <c r="I169" s="442">
        <v>0.26700000000000002</v>
      </c>
      <c r="J169" s="442">
        <v>0.34300000000000003</v>
      </c>
      <c r="K169" s="442">
        <v>0.40400000000000003</v>
      </c>
      <c r="L169" s="442">
        <v>0.498</v>
      </c>
      <c r="M169" s="442">
        <v>0.55500000000000005</v>
      </c>
      <c r="N169" s="442">
        <v>0.622</v>
      </c>
      <c r="O169" s="442">
        <v>0.66300000000000003</v>
      </c>
      <c r="P169" s="442">
        <v>0.70399999999999996</v>
      </c>
      <c r="Q169" s="442">
        <v>0.72899999999999998</v>
      </c>
      <c r="R169" s="442">
        <v>0.747</v>
      </c>
      <c r="S169" s="442">
        <v>0.76800000000000002</v>
      </c>
      <c r="T169" s="442">
        <v>0.82099999999999995</v>
      </c>
      <c r="U169" s="442">
        <v>0.85199999999999998</v>
      </c>
      <c r="V169" s="442">
        <v>0.89200000000000002</v>
      </c>
      <c r="W169" s="442">
        <v>1</v>
      </c>
      <c r="X169" s="442">
        <v>2</v>
      </c>
      <c r="Y169" s="444">
        <v>1000</v>
      </c>
    </row>
    <row r="170" spans="1:26" x14ac:dyDescent="0.25">
      <c r="A170" s="434" t="s">
        <v>34</v>
      </c>
      <c r="B170" s="443">
        <v>0</v>
      </c>
      <c r="C170" s="433">
        <v>60</v>
      </c>
      <c r="D170" s="433">
        <v>89.007000000000005</v>
      </c>
      <c r="E170" s="433">
        <v>96.290999999999997</v>
      </c>
      <c r="F170" s="433">
        <v>81.721999999999994</v>
      </c>
      <c r="G170" s="433">
        <v>85.563000000000002</v>
      </c>
      <c r="H170" s="433">
        <v>87.947000000000003</v>
      </c>
      <c r="I170" s="433">
        <v>89.272000000000006</v>
      </c>
      <c r="J170" s="433">
        <v>89.933999999999997</v>
      </c>
      <c r="K170" s="433">
        <v>90.861000000000004</v>
      </c>
      <c r="L170" s="433">
        <v>91.522999999999996</v>
      </c>
      <c r="M170" s="433">
        <v>89.668999999999997</v>
      </c>
      <c r="N170" s="433">
        <v>83.974000000000004</v>
      </c>
      <c r="O170" s="433">
        <v>80.53</v>
      </c>
      <c r="P170" s="433">
        <v>78.94</v>
      </c>
      <c r="Q170" s="433">
        <v>74.171999999999997</v>
      </c>
      <c r="R170" s="433">
        <v>66.887</v>
      </c>
      <c r="S170" s="433">
        <v>53.774999999999999</v>
      </c>
      <c r="T170" s="433">
        <v>18.542999999999999</v>
      </c>
      <c r="U170" s="433">
        <v>7.8150000000000004</v>
      </c>
      <c r="V170" s="433">
        <v>2.1190000000000002</v>
      </c>
      <c r="W170" s="433">
        <v>0</v>
      </c>
      <c r="X170" s="433">
        <v>0</v>
      </c>
      <c r="Y170" s="439">
        <v>0</v>
      </c>
    </row>
    <row r="171" spans="1:26" ht="13.8" thickBot="1" x14ac:dyDescent="0.3">
      <c r="A171" s="435" t="s">
        <v>117</v>
      </c>
      <c r="B171" s="429">
        <f t="shared" ref="B171:X171" si="60">(C170+B170)*(C169-B169)/2</f>
        <v>0.15</v>
      </c>
      <c r="C171" s="430">
        <f t="shared" si="60"/>
        <v>0.596028</v>
      </c>
      <c r="D171" s="430">
        <f t="shared" si="60"/>
        <v>0.83384099999999994</v>
      </c>
      <c r="E171" s="430">
        <f t="shared" si="60"/>
        <v>1.8691364999999995</v>
      </c>
      <c r="F171" s="430">
        <f t="shared" si="60"/>
        <v>6.3568299999999995</v>
      </c>
      <c r="G171" s="430">
        <f t="shared" si="60"/>
        <v>6.8536450000000011</v>
      </c>
      <c r="H171" s="430">
        <f t="shared" si="60"/>
        <v>6.1140555000000001</v>
      </c>
      <c r="I171" s="430">
        <f t="shared" si="60"/>
        <v>6.8098280000000013</v>
      </c>
      <c r="J171" s="430">
        <f t="shared" si="60"/>
        <v>5.5142475000000006</v>
      </c>
      <c r="K171" s="430">
        <f t="shared" si="60"/>
        <v>8.5720479999999988</v>
      </c>
      <c r="L171" s="430">
        <f t="shared" si="60"/>
        <v>5.1639720000000047</v>
      </c>
      <c r="M171" s="430">
        <f t="shared" si="60"/>
        <v>5.8170404999999956</v>
      </c>
      <c r="N171" s="430">
        <f t="shared" si="60"/>
        <v>3.3723320000000032</v>
      </c>
      <c r="O171" s="430">
        <f t="shared" si="60"/>
        <v>3.2691349999999941</v>
      </c>
      <c r="P171" s="430">
        <f t="shared" si="60"/>
        <v>1.9139000000000017</v>
      </c>
      <c r="Q171" s="430">
        <f t="shared" si="60"/>
        <v>1.2695310000000011</v>
      </c>
      <c r="R171" s="430">
        <f t="shared" si="60"/>
        <v>1.2669510000000013</v>
      </c>
      <c r="S171" s="430">
        <f t="shared" si="60"/>
        <v>1.9164269999999977</v>
      </c>
      <c r="T171" s="430">
        <f t="shared" si="60"/>
        <v>0.40854900000000038</v>
      </c>
      <c r="U171" s="430">
        <f t="shared" si="60"/>
        <v>0.19868000000000019</v>
      </c>
      <c r="V171" s="430">
        <f t="shared" si="60"/>
        <v>0.114426</v>
      </c>
      <c r="W171" s="430">
        <f t="shared" si="60"/>
        <v>0</v>
      </c>
      <c r="X171" s="430">
        <f t="shared" si="60"/>
        <v>0</v>
      </c>
      <c r="Y171" s="424"/>
    </row>
    <row r="172" spans="1:26" ht="13.8" thickBot="1" x14ac:dyDescent="0.3">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row>
    <row r="173" spans="1:26" ht="13.8" thickBot="1" x14ac:dyDescent="0.3">
      <c r="A173" s="416" t="s">
        <v>325</v>
      </c>
      <c r="B173" s="414">
        <f>ROW(A173)</f>
        <v>173</v>
      </c>
      <c r="C173" s="418" t="s">
        <v>116</v>
      </c>
      <c r="D173" s="408">
        <f>SUM(B176:Y176)</f>
        <v>67.985428500000012</v>
      </c>
      <c r="E173" s="418" t="s">
        <v>115</v>
      </c>
      <c r="F173" s="409">
        <f>D173/g/J173</f>
        <v>181.89545859519862</v>
      </c>
      <c r="G173" s="418" t="s">
        <v>57</v>
      </c>
      <c r="H173" s="86">
        <v>9.1799999999999993E-2</v>
      </c>
      <c r="I173" s="418" t="s">
        <v>272</v>
      </c>
      <c r="J173" s="410">
        <f>H173-L173</f>
        <v>3.8099999999999988E-2</v>
      </c>
      <c r="K173" s="418" t="s">
        <v>273</v>
      </c>
      <c r="L173" s="86">
        <v>5.3700000000000005E-2</v>
      </c>
      <c r="M173" s="418" t="s">
        <v>58</v>
      </c>
      <c r="N173" s="457">
        <v>66.5</v>
      </c>
      <c r="O173" s="418" t="s">
        <v>60</v>
      </c>
      <c r="P173" s="457">
        <v>66.5</v>
      </c>
      <c r="Q173" s="418" t="s">
        <v>61</v>
      </c>
      <c r="R173" s="87">
        <v>133</v>
      </c>
      <c r="S173" s="418" t="s">
        <v>62</v>
      </c>
      <c r="T173" s="87">
        <v>24</v>
      </c>
      <c r="U173" s="418" t="s">
        <v>55</v>
      </c>
      <c r="V173" s="88" t="s">
        <v>401</v>
      </c>
      <c r="W173" s="547" t="s">
        <v>396</v>
      </c>
      <c r="X173" s="549">
        <v>0.33</v>
      </c>
      <c r="Y173" s="547" t="s">
        <v>395</v>
      </c>
      <c r="Z173" s="413">
        <v>15</v>
      </c>
    </row>
    <row r="174" spans="1:26" x14ac:dyDescent="0.25">
      <c r="A174" s="417" t="s">
        <v>33</v>
      </c>
      <c r="B174" s="441">
        <v>0</v>
      </c>
      <c r="C174" s="442">
        <v>4.0000000000000001E-3</v>
      </c>
      <c r="D174" s="442">
        <v>7.0000000000000001E-3</v>
      </c>
      <c r="E174" s="442">
        <v>0.01</v>
      </c>
      <c r="F174" s="442">
        <v>2.1999999999999999E-2</v>
      </c>
      <c r="G174" s="442">
        <v>2.8000000000000001E-2</v>
      </c>
      <c r="H174" s="442">
        <v>4.1000000000000002E-2</v>
      </c>
      <c r="I174" s="442">
        <v>5.8000000000000003E-2</v>
      </c>
      <c r="J174" s="442">
        <v>7.6999999999999999E-2</v>
      </c>
      <c r="K174" s="442">
        <v>8.8999999999999996E-2</v>
      </c>
      <c r="L174" s="442">
        <v>9.7000000000000003E-2</v>
      </c>
      <c r="M174" s="442">
        <v>0.11899999999999999</v>
      </c>
      <c r="N174" s="442">
        <v>0.14699999999999999</v>
      </c>
      <c r="O174" s="442">
        <v>0.17699999999999999</v>
      </c>
      <c r="P174" s="442">
        <v>0.20699999999999999</v>
      </c>
      <c r="Q174" s="442">
        <v>0.253</v>
      </c>
      <c r="R174" s="442">
        <v>0.25900000000000001</v>
      </c>
      <c r="S174" s="442">
        <v>0.27200000000000002</v>
      </c>
      <c r="T174" s="442">
        <v>0.28000000000000003</v>
      </c>
      <c r="U174" s="442">
        <v>0.28599999999999998</v>
      </c>
      <c r="V174" s="442">
        <v>0.29399999999999998</v>
      </c>
      <c r="W174" s="442">
        <v>0.32800000000000001</v>
      </c>
      <c r="X174" s="442">
        <v>2</v>
      </c>
      <c r="Y174" s="444">
        <v>1000</v>
      </c>
    </row>
    <row r="175" spans="1:26" x14ac:dyDescent="0.25">
      <c r="A175" s="434" t="s">
        <v>34</v>
      </c>
      <c r="B175" s="443">
        <v>0</v>
      </c>
      <c r="C175" s="431">
        <v>100.52800000000001</v>
      </c>
      <c r="D175" s="431">
        <v>197.49299999999999</v>
      </c>
      <c r="E175" s="431">
        <v>222.03200000000001</v>
      </c>
      <c r="F175" s="431">
        <v>241.42500000000001</v>
      </c>
      <c r="G175" s="431">
        <v>237.863</v>
      </c>
      <c r="H175" s="431">
        <v>239.446</v>
      </c>
      <c r="I175" s="431">
        <v>252.50700000000001</v>
      </c>
      <c r="J175" s="431">
        <v>263.98399999999998</v>
      </c>
      <c r="K175" s="431">
        <v>275.46199999999999</v>
      </c>
      <c r="L175" s="431">
        <v>271.50400000000002</v>
      </c>
      <c r="M175" s="431">
        <v>278.62799999999999</v>
      </c>
      <c r="N175" s="431">
        <v>281.39800000000002</v>
      </c>
      <c r="O175" s="431">
        <v>272.29599999999999</v>
      </c>
      <c r="P175" s="431">
        <v>258.44299999999998</v>
      </c>
      <c r="Q175" s="431">
        <v>218.47</v>
      </c>
      <c r="R175" s="431">
        <v>188.786</v>
      </c>
      <c r="S175" s="431">
        <v>74.802000000000007</v>
      </c>
      <c r="T175" s="431">
        <v>31.265999999999998</v>
      </c>
      <c r="U175" s="431">
        <v>15.831</v>
      </c>
      <c r="V175" s="431">
        <v>8.7070000000000007</v>
      </c>
      <c r="W175" s="431">
        <v>0</v>
      </c>
      <c r="X175" s="433">
        <v>0</v>
      </c>
      <c r="Y175" s="439">
        <v>0</v>
      </c>
    </row>
    <row r="176" spans="1:26" ht="13.8" thickBot="1" x14ac:dyDescent="0.3">
      <c r="A176" s="435" t="s">
        <v>117</v>
      </c>
      <c r="B176" s="429">
        <f t="shared" ref="B176:X176" si="61">(C175+B175)*(C174-B174)/2</f>
        <v>0.20105600000000001</v>
      </c>
      <c r="C176" s="430">
        <f t="shared" si="61"/>
        <v>0.44703150000000003</v>
      </c>
      <c r="D176" s="430">
        <f t="shared" si="61"/>
        <v>0.6292875</v>
      </c>
      <c r="E176" s="430">
        <f t="shared" si="61"/>
        <v>2.7807419999999996</v>
      </c>
      <c r="F176" s="430">
        <f t="shared" si="61"/>
        <v>1.4378640000000005</v>
      </c>
      <c r="G176" s="430">
        <f t="shared" si="61"/>
        <v>3.1025084999999999</v>
      </c>
      <c r="H176" s="430">
        <f t="shared" si="61"/>
        <v>4.1816005000000001</v>
      </c>
      <c r="I176" s="430">
        <f t="shared" si="61"/>
        <v>4.9066644999999989</v>
      </c>
      <c r="J176" s="430">
        <f t="shared" si="61"/>
        <v>3.2366759999999988</v>
      </c>
      <c r="K176" s="430">
        <f t="shared" si="61"/>
        <v>2.187864000000002</v>
      </c>
      <c r="L176" s="430">
        <f t="shared" si="61"/>
        <v>6.0514519999999985</v>
      </c>
      <c r="M176" s="430">
        <f t="shared" si="61"/>
        <v>7.8403640000000001</v>
      </c>
      <c r="N176" s="430">
        <f t="shared" si="61"/>
        <v>8.3054099999999984</v>
      </c>
      <c r="O176" s="430">
        <f t="shared" si="61"/>
        <v>7.9610850000000006</v>
      </c>
      <c r="P176" s="430">
        <f t="shared" si="61"/>
        <v>10.968999000000004</v>
      </c>
      <c r="Q176" s="430">
        <f t="shared" si="61"/>
        <v>1.2217680000000011</v>
      </c>
      <c r="R176" s="430">
        <f t="shared" si="61"/>
        <v>1.7133220000000016</v>
      </c>
      <c r="S176" s="430">
        <f t="shared" si="61"/>
        <v>0.42427200000000043</v>
      </c>
      <c r="T176" s="430">
        <f t="shared" si="61"/>
        <v>0.14129099999999881</v>
      </c>
      <c r="U176" s="430">
        <f t="shared" si="61"/>
        <v>9.8152000000000086E-2</v>
      </c>
      <c r="V176" s="430">
        <f t="shared" si="61"/>
        <v>0.14801900000000015</v>
      </c>
      <c r="W176" s="430">
        <f t="shared" si="61"/>
        <v>0</v>
      </c>
      <c r="X176" s="430">
        <f t="shared" si="61"/>
        <v>0</v>
      </c>
      <c r="Y176" s="424"/>
    </row>
    <row r="177" spans="1:26" ht="13.8" thickBot="1" x14ac:dyDescent="0.3">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row>
    <row r="178" spans="1:26" ht="13.8" thickBot="1" x14ac:dyDescent="0.3">
      <c r="A178" s="416" t="s">
        <v>326</v>
      </c>
      <c r="B178" s="414">
        <f>ROW(A178)</f>
        <v>178</v>
      </c>
      <c r="C178" s="418" t="s">
        <v>116</v>
      </c>
      <c r="D178" s="408">
        <f>SUM(B181:Y181)</f>
        <v>73.557381500000005</v>
      </c>
      <c r="E178" s="418" t="s">
        <v>115</v>
      </c>
      <c r="F178" s="409">
        <f>D178/g/J178</f>
        <v>156.86619302308719</v>
      </c>
      <c r="G178" s="418" t="s">
        <v>57</v>
      </c>
      <c r="H178" s="86">
        <v>0.1022</v>
      </c>
      <c r="I178" s="418" t="s">
        <v>272</v>
      </c>
      <c r="J178" s="410">
        <f>H178-L178</f>
        <v>4.7800000000000002E-2</v>
      </c>
      <c r="K178" s="418" t="s">
        <v>273</v>
      </c>
      <c r="L178" s="86">
        <v>5.4399999999999997E-2</v>
      </c>
      <c r="M178" s="418" t="s">
        <v>58</v>
      </c>
      <c r="N178" s="457">
        <v>66.5</v>
      </c>
      <c r="O178" s="418" t="s">
        <v>60</v>
      </c>
      <c r="P178" s="457">
        <v>66.5</v>
      </c>
      <c r="Q178" s="418" t="s">
        <v>61</v>
      </c>
      <c r="R178" s="87">
        <v>133</v>
      </c>
      <c r="S178" s="418" t="s">
        <v>62</v>
      </c>
      <c r="T178" s="87">
        <v>24</v>
      </c>
      <c r="U178" s="418" t="s">
        <v>55</v>
      </c>
      <c r="V178" s="88" t="s">
        <v>401</v>
      </c>
      <c r="W178" s="547" t="s">
        <v>396</v>
      </c>
      <c r="X178" s="549">
        <v>2.36</v>
      </c>
      <c r="Y178" s="547" t="s">
        <v>395</v>
      </c>
      <c r="Z178" s="413">
        <v>6</v>
      </c>
    </row>
    <row r="179" spans="1:26" x14ac:dyDescent="0.25">
      <c r="A179" s="417" t="s">
        <v>33</v>
      </c>
      <c r="B179" s="441">
        <v>0</v>
      </c>
      <c r="C179" s="442">
        <v>1.4E-2</v>
      </c>
      <c r="D179" s="442">
        <v>5.6000000000000001E-2</v>
      </c>
      <c r="E179" s="442">
        <v>9.1999999999999998E-2</v>
      </c>
      <c r="F179" s="442">
        <v>0.16</v>
      </c>
      <c r="G179" s="442">
        <v>0.23200000000000001</v>
      </c>
      <c r="H179" s="442">
        <v>0.36299999999999999</v>
      </c>
      <c r="I179" s="442">
        <v>0.499</v>
      </c>
      <c r="J179" s="442">
        <v>0.65500000000000003</v>
      </c>
      <c r="K179" s="442">
        <v>0.84299999999999997</v>
      </c>
      <c r="L179" s="442">
        <v>1.216</v>
      </c>
      <c r="M179" s="442">
        <v>1.3680000000000001</v>
      </c>
      <c r="N179" s="442">
        <v>1.54</v>
      </c>
      <c r="O179" s="442">
        <v>1.675</v>
      </c>
      <c r="P179" s="442">
        <v>1.861</v>
      </c>
      <c r="Q179" s="442">
        <v>2.0129999999999999</v>
      </c>
      <c r="R179" s="442">
        <v>2.1589999999999998</v>
      </c>
      <c r="S179" s="442">
        <v>2.302</v>
      </c>
      <c r="T179" s="442">
        <v>2.4620000000000002</v>
      </c>
      <c r="U179" s="442">
        <v>2.5979999999999999</v>
      </c>
      <c r="V179" s="442">
        <v>2.5979999999999999</v>
      </c>
      <c r="W179" s="442">
        <v>2.5979999999999999</v>
      </c>
      <c r="X179" s="442">
        <v>2.5979999999999999</v>
      </c>
      <c r="Y179" s="444">
        <v>1000</v>
      </c>
    </row>
    <row r="180" spans="1:26" x14ac:dyDescent="0.25">
      <c r="A180" s="434" t="s">
        <v>34</v>
      </c>
      <c r="B180" s="443">
        <v>0</v>
      </c>
      <c r="C180" s="431">
        <v>54.222000000000001</v>
      </c>
      <c r="D180" s="431">
        <v>43.456000000000003</v>
      </c>
      <c r="E180" s="431">
        <v>50.185000000000002</v>
      </c>
      <c r="F180" s="431">
        <v>54.063000000000002</v>
      </c>
      <c r="G180" s="431">
        <v>48.363999999999997</v>
      </c>
      <c r="H180" s="431">
        <v>45.752000000000002</v>
      </c>
      <c r="I180" s="431">
        <v>43.14</v>
      </c>
      <c r="J180" s="431">
        <v>40.29</v>
      </c>
      <c r="K180" s="431">
        <v>37.835999999999999</v>
      </c>
      <c r="L180" s="431">
        <v>32.612000000000002</v>
      </c>
      <c r="M180" s="431">
        <v>30.317</v>
      </c>
      <c r="N180" s="431">
        <v>26.359000000000002</v>
      </c>
      <c r="O180" s="431">
        <v>23.509</v>
      </c>
      <c r="P180" s="431">
        <v>19.077000000000002</v>
      </c>
      <c r="Q180" s="431">
        <v>14.565</v>
      </c>
      <c r="R180" s="431">
        <v>10.053000000000001</v>
      </c>
      <c r="S180" s="431">
        <v>4.8280000000000003</v>
      </c>
      <c r="T180" s="431">
        <v>1.504</v>
      </c>
      <c r="U180" s="433">
        <v>0</v>
      </c>
      <c r="V180" s="433">
        <v>0</v>
      </c>
      <c r="W180" s="433">
        <v>0</v>
      </c>
      <c r="X180" s="433">
        <v>0</v>
      </c>
      <c r="Y180" s="439">
        <v>0</v>
      </c>
    </row>
    <row r="181" spans="1:26" ht="13.8" thickBot="1" x14ac:dyDescent="0.3">
      <c r="A181" s="435" t="s">
        <v>117</v>
      </c>
      <c r="B181" s="429">
        <f t="shared" ref="B181:X181" si="62">(C180+B180)*(C179-B179)/2</f>
        <v>0.379554</v>
      </c>
      <c r="C181" s="430">
        <f t="shared" si="62"/>
        <v>2.0512380000000001</v>
      </c>
      <c r="D181" s="430">
        <f t="shared" si="62"/>
        <v>1.685538</v>
      </c>
      <c r="E181" s="430">
        <f t="shared" si="62"/>
        <v>3.5444320000000005</v>
      </c>
      <c r="F181" s="430">
        <f t="shared" si="62"/>
        <v>3.6873720000000003</v>
      </c>
      <c r="G181" s="430">
        <f t="shared" si="62"/>
        <v>6.1645979999999989</v>
      </c>
      <c r="H181" s="430">
        <f t="shared" si="62"/>
        <v>6.0446559999999998</v>
      </c>
      <c r="I181" s="430">
        <f t="shared" si="62"/>
        <v>6.5075400000000014</v>
      </c>
      <c r="J181" s="430">
        <f t="shared" si="62"/>
        <v>7.343843999999998</v>
      </c>
      <c r="K181" s="430">
        <f t="shared" si="62"/>
        <v>13.138552000000001</v>
      </c>
      <c r="L181" s="430">
        <f t="shared" si="62"/>
        <v>4.7826040000000045</v>
      </c>
      <c r="M181" s="430">
        <f t="shared" si="62"/>
        <v>4.8741359999999982</v>
      </c>
      <c r="N181" s="430">
        <f t="shared" si="62"/>
        <v>3.3660900000000002</v>
      </c>
      <c r="O181" s="430">
        <f t="shared" si="62"/>
        <v>3.9604979999999985</v>
      </c>
      <c r="P181" s="430">
        <f t="shared" si="62"/>
        <v>2.5567919999999988</v>
      </c>
      <c r="Q181" s="430">
        <f t="shared" si="62"/>
        <v>1.797113999999999</v>
      </c>
      <c r="R181" s="430">
        <f t="shared" si="62"/>
        <v>1.0639915000000018</v>
      </c>
      <c r="S181" s="430">
        <f t="shared" si="62"/>
        <v>0.50656000000000045</v>
      </c>
      <c r="T181" s="430">
        <f t="shared" si="62"/>
        <v>0.10227199999999975</v>
      </c>
      <c r="U181" s="430">
        <f t="shared" si="62"/>
        <v>0</v>
      </c>
      <c r="V181" s="430">
        <f t="shared" si="62"/>
        <v>0</v>
      </c>
      <c r="W181" s="430">
        <f t="shared" si="62"/>
        <v>0</v>
      </c>
      <c r="X181" s="430">
        <f t="shared" si="62"/>
        <v>0</v>
      </c>
      <c r="Y181" s="424"/>
    </row>
    <row r="182" spans="1:26" ht="13.8" thickBot="1" x14ac:dyDescent="0.3">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row>
    <row r="183" spans="1:26" ht="13.8" thickBot="1" x14ac:dyDescent="0.3">
      <c r="A183" s="416" t="s">
        <v>327</v>
      </c>
      <c r="B183" s="414">
        <f>ROW(A183)</f>
        <v>183</v>
      </c>
      <c r="C183" s="418" t="s">
        <v>116</v>
      </c>
      <c r="D183" s="408">
        <f>SUM(B186:Y186)</f>
        <v>73.169517999999997</v>
      </c>
      <c r="E183" s="418" t="s">
        <v>115</v>
      </c>
      <c r="F183" s="409">
        <f>D183/g/J183</f>
        <v>177.58729673316827</v>
      </c>
      <c r="G183" s="418" t="s">
        <v>57</v>
      </c>
      <c r="H183" s="86">
        <v>9.6000000000000002E-2</v>
      </c>
      <c r="I183" s="418" t="s">
        <v>272</v>
      </c>
      <c r="J183" s="410">
        <f>H183-L183</f>
        <v>4.2000000000000003E-2</v>
      </c>
      <c r="K183" s="418" t="s">
        <v>273</v>
      </c>
      <c r="L183" s="86">
        <v>5.3999999999999999E-2</v>
      </c>
      <c r="M183" s="418" t="s">
        <v>58</v>
      </c>
      <c r="N183" s="457">
        <v>66.5</v>
      </c>
      <c r="O183" s="418" t="s">
        <v>60</v>
      </c>
      <c r="P183" s="457">
        <v>66.5</v>
      </c>
      <c r="Q183" s="418" t="s">
        <v>61</v>
      </c>
      <c r="R183" s="87">
        <v>133</v>
      </c>
      <c r="S183" s="418" t="s">
        <v>62</v>
      </c>
      <c r="T183" s="87">
        <v>24</v>
      </c>
      <c r="U183" s="418" t="s">
        <v>55</v>
      </c>
      <c r="V183" s="88" t="s">
        <v>401</v>
      </c>
      <c r="W183" s="547" t="s">
        <v>396</v>
      </c>
      <c r="X183" s="549">
        <v>0.87</v>
      </c>
      <c r="Y183" s="547" t="s">
        <v>395</v>
      </c>
      <c r="Z183" s="413">
        <v>15</v>
      </c>
    </row>
    <row r="184" spans="1:26" x14ac:dyDescent="0.25">
      <c r="A184" s="417" t="s">
        <v>33</v>
      </c>
      <c r="B184" s="441">
        <v>0</v>
      </c>
      <c r="C184" s="442">
        <v>0.01</v>
      </c>
      <c r="D184" s="442">
        <v>2.3E-2</v>
      </c>
      <c r="E184" s="442">
        <v>0.04</v>
      </c>
      <c r="F184" s="442">
        <v>0.11799999999999999</v>
      </c>
      <c r="G184" s="442">
        <v>0.28299999999999997</v>
      </c>
      <c r="H184" s="442">
        <v>0.51</v>
      </c>
      <c r="I184" s="442">
        <v>0.68799999999999994</v>
      </c>
      <c r="J184" s="442">
        <v>0.78700000000000003</v>
      </c>
      <c r="K184" s="442">
        <v>0.85199999999999998</v>
      </c>
      <c r="L184" s="442">
        <v>0.873</v>
      </c>
      <c r="M184" s="442">
        <v>0.873</v>
      </c>
      <c r="N184" s="442">
        <v>0.873</v>
      </c>
      <c r="O184" s="442">
        <v>0.873</v>
      </c>
      <c r="P184" s="442">
        <v>0.873</v>
      </c>
      <c r="Q184" s="442">
        <v>0.873</v>
      </c>
      <c r="R184" s="442">
        <v>0.873</v>
      </c>
      <c r="S184" s="442">
        <v>0.873</v>
      </c>
      <c r="T184" s="442">
        <v>0.873</v>
      </c>
      <c r="U184" s="442">
        <v>0.873</v>
      </c>
      <c r="V184" s="442">
        <v>0.873</v>
      </c>
      <c r="W184" s="442">
        <v>0.873</v>
      </c>
      <c r="X184" s="442">
        <v>2</v>
      </c>
      <c r="Y184" s="444">
        <v>1000</v>
      </c>
    </row>
    <row r="185" spans="1:26" x14ac:dyDescent="0.25">
      <c r="A185" s="434" t="s">
        <v>34</v>
      </c>
      <c r="B185" s="443">
        <v>0</v>
      </c>
      <c r="C185" s="431">
        <v>76.073999999999998</v>
      </c>
      <c r="D185" s="431">
        <v>100.185</v>
      </c>
      <c r="E185" s="431">
        <v>92.424999999999997</v>
      </c>
      <c r="F185" s="431">
        <v>100.878</v>
      </c>
      <c r="G185" s="431">
        <v>102.402</v>
      </c>
      <c r="H185" s="431">
        <v>96.442999999999998</v>
      </c>
      <c r="I185" s="431">
        <v>87.436000000000007</v>
      </c>
      <c r="J185" s="431">
        <v>25.911999999999999</v>
      </c>
      <c r="K185" s="431">
        <v>7.2060000000000004</v>
      </c>
      <c r="L185" s="433">
        <v>0</v>
      </c>
      <c r="M185" s="433">
        <v>0</v>
      </c>
      <c r="N185" s="433">
        <v>0</v>
      </c>
      <c r="O185" s="433">
        <v>0</v>
      </c>
      <c r="P185" s="433">
        <v>0</v>
      </c>
      <c r="Q185" s="433">
        <v>0</v>
      </c>
      <c r="R185" s="433">
        <v>0</v>
      </c>
      <c r="S185" s="433">
        <v>0</v>
      </c>
      <c r="T185" s="433">
        <v>0</v>
      </c>
      <c r="U185" s="433">
        <v>0</v>
      </c>
      <c r="V185" s="433">
        <v>0</v>
      </c>
      <c r="W185" s="433">
        <v>0</v>
      </c>
      <c r="X185" s="433">
        <v>0</v>
      </c>
      <c r="Y185" s="439">
        <v>0</v>
      </c>
    </row>
    <row r="186" spans="1:26" ht="13.8" thickBot="1" x14ac:dyDescent="0.3">
      <c r="A186" s="435" t="s">
        <v>117</v>
      </c>
      <c r="B186" s="429">
        <f t="shared" ref="B186:X186" si="63">(C185+B185)*(C184-B184)/2</f>
        <v>0.38036999999999999</v>
      </c>
      <c r="C186" s="430">
        <f t="shared" si="63"/>
        <v>1.1456835000000001</v>
      </c>
      <c r="D186" s="430">
        <f t="shared" si="63"/>
        <v>1.6371850000000003</v>
      </c>
      <c r="E186" s="430">
        <f t="shared" si="63"/>
        <v>7.5388169999999981</v>
      </c>
      <c r="F186" s="430">
        <f t="shared" si="63"/>
        <v>16.770599999999998</v>
      </c>
      <c r="G186" s="430">
        <f t="shared" si="63"/>
        <v>22.568907500000002</v>
      </c>
      <c r="H186" s="430">
        <f t="shared" si="63"/>
        <v>16.365230999999994</v>
      </c>
      <c r="I186" s="430">
        <f t="shared" si="63"/>
        <v>5.6107260000000059</v>
      </c>
      <c r="J186" s="430">
        <f t="shared" si="63"/>
        <v>1.0763349999999992</v>
      </c>
      <c r="K186" s="430">
        <f t="shared" si="63"/>
        <v>7.5663000000000077E-2</v>
      </c>
      <c r="L186" s="430">
        <f t="shared" si="63"/>
        <v>0</v>
      </c>
      <c r="M186" s="430">
        <f t="shared" si="63"/>
        <v>0</v>
      </c>
      <c r="N186" s="430">
        <f t="shared" si="63"/>
        <v>0</v>
      </c>
      <c r="O186" s="430">
        <f t="shared" si="63"/>
        <v>0</v>
      </c>
      <c r="P186" s="430">
        <f t="shared" si="63"/>
        <v>0</v>
      </c>
      <c r="Q186" s="430">
        <f t="shared" si="63"/>
        <v>0</v>
      </c>
      <c r="R186" s="430">
        <f t="shared" si="63"/>
        <v>0</v>
      </c>
      <c r="S186" s="430">
        <f t="shared" si="63"/>
        <v>0</v>
      </c>
      <c r="T186" s="430">
        <f t="shared" si="63"/>
        <v>0</v>
      </c>
      <c r="U186" s="430">
        <f t="shared" si="63"/>
        <v>0</v>
      </c>
      <c r="V186" s="430">
        <f t="shared" si="63"/>
        <v>0</v>
      </c>
      <c r="W186" s="430">
        <f t="shared" si="63"/>
        <v>0</v>
      </c>
      <c r="X186" s="430">
        <f t="shared" si="63"/>
        <v>0</v>
      </c>
      <c r="Y186" s="424"/>
    </row>
    <row r="187" spans="1:26" ht="13.8" thickBot="1" x14ac:dyDescent="0.3">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row>
    <row r="188" spans="1:26" ht="13.8" thickBot="1" x14ac:dyDescent="0.3">
      <c r="A188" s="416" t="s">
        <v>328</v>
      </c>
      <c r="B188" s="414">
        <f>ROW(A188)</f>
        <v>188</v>
      </c>
      <c r="C188" s="418" t="s">
        <v>116</v>
      </c>
      <c r="D188" s="408">
        <f>SUM(B191:Y191)</f>
        <v>75.254384000000016</v>
      </c>
      <c r="E188" s="418" t="s">
        <v>115</v>
      </c>
      <c r="F188" s="409">
        <f>D188/g/J188</f>
        <v>232.46033422914161</v>
      </c>
      <c r="G188" s="418" t="s">
        <v>57</v>
      </c>
      <c r="H188" s="86">
        <v>9.5000000000000001E-2</v>
      </c>
      <c r="I188" s="418" t="s">
        <v>272</v>
      </c>
      <c r="J188" s="410">
        <f>H188-L188</f>
        <v>3.3000000000000002E-2</v>
      </c>
      <c r="K188" s="418" t="s">
        <v>273</v>
      </c>
      <c r="L188" s="86">
        <f>0.095-0.033</f>
        <v>6.2E-2</v>
      </c>
      <c r="M188" s="418" t="s">
        <v>58</v>
      </c>
      <c r="N188" s="457">
        <v>66.5</v>
      </c>
      <c r="O188" s="418" t="s">
        <v>60</v>
      </c>
      <c r="P188" s="457">
        <v>66.5</v>
      </c>
      <c r="Q188" s="418" t="s">
        <v>61</v>
      </c>
      <c r="R188" s="87">
        <v>133</v>
      </c>
      <c r="S188" s="418" t="s">
        <v>62</v>
      </c>
      <c r="T188" s="87">
        <v>24</v>
      </c>
      <c r="U188" s="418" t="s">
        <v>55</v>
      </c>
      <c r="V188" s="88" t="s">
        <v>401</v>
      </c>
      <c r="W188" s="547" t="s">
        <v>396</v>
      </c>
      <c r="X188" s="549">
        <v>1.5</v>
      </c>
      <c r="Y188" s="547" t="s">
        <v>395</v>
      </c>
      <c r="Z188" s="413">
        <v>12</v>
      </c>
    </row>
    <row r="189" spans="1:26" x14ac:dyDescent="0.25">
      <c r="A189" s="417" t="s">
        <v>33</v>
      </c>
      <c r="B189" s="425">
        <v>0</v>
      </c>
      <c r="C189" s="426">
        <v>0.02</v>
      </c>
      <c r="D189" s="426">
        <v>3.1E-2</v>
      </c>
      <c r="E189" s="426">
        <v>6.2E-2</v>
      </c>
      <c r="F189" s="426">
        <v>0.11700000000000001</v>
      </c>
      <c r="G189" s="426">
        <v>1.2110000000000001</v>
      </c>
      <c r="H189" s="426">
        <v>1.3759999999999999</v>
      </c>
      <c r="I189" s="426">
        <v>1.456</v>
      </c>
      <c r="J189" s="426">
        <v>1.532</v>
      </c>
      <c r="K189" s="426">
        <v>1.577</v>
      </c>
      <c r="L189" s="442">
        <v>2</v>
      </c>
      <c r="M189" s="442">
        <v>2</v>
      </c>
      <c r="N189" s="442">
        <v>2</v>
      </c>
      <c r="O189" s="442">
        <v>2</v>
      </c>
      <c r="P189" s="442">
        <v>2</v>
      </c>
      <c r="Q189" s="442">
        <v>2</v>
      </c>
      <c r="R189" s="442">
        <v>2</v>
      </c>
      <c r="S189" s="442">
        <v>2</v>
      </c>
      <c r="T189" s="442">
        <v>2</v>
      </c>
      <c r="U189" s="442">
        <v>2</v>
      </c>
      <c r="V189" s="442">
        <v>2</v>
      </c>
      <c r="W189" s="442">
        <v>2</v>
      </c>
      <c r="X189" s="442">
        <f t="shared" ref="T189:X190" si="64">W189</f>
        <v>2</v>
      </c>
      <c r="Y189" s="444">
        <v>1000</v>
      </c>
    </row>
    <row r="190" spans="1:26" x14ac:dyDescent="0.25">
      <c r="A190" s="434" t="s">
        <v>34</v>
      </c>
      <c r="B190" s="427">
        <v>0</v>
      </c>
      <c r="C190" s="428">
        <v>75.924000000000007</v>
      </c>
      <c r="D190" s="428">
        <v>84.147999999999996</v>
      </c>
      <c r="E190" s="428">
        <v>70.441000000000003</v>
      </c>
      <c r="F190" s="428">
        <v>73.659000000000006</v>
      </c>
      <c r="G190" s="428">
        <v>38.737000000000002</v>
      </c>
      <c r="H190" s="428">
        <v>14.779</v>
      </c>
      <c r="I190" s="428">
        <v>7.2709999999999999</v>
      </c>
      <c r="J190" s="428">
        <v>3.3370000000000002</v>
      </c>
      <c r="K190" s="428">
        <v>0</v>
      </c>
      <c r="L190" s="433">
        <v>0</v>
      </c>
      <c r="M190" s="433">
        <v>0</v>
      </c>
      <c r="N190" s="433">
        <v>0</v>
      </c>
      <c r="O190" s="433">
        <v>0</v>
      </c>
      <c r="P190" s="433">
        <v>0</v>
      </c>
      <c r="Q190" s="433">
        <v>0</v>
      </c>
      <c r="R190" s="433">
        <v>0</v>
      </c>
      <c r="S190" s="433">
        <v>0</v>
      </c>
      <c r="T190" s="433">
        <f t="shared" si="64"/>
        <v>0</v>
      </c>
      <c r="U190" s="433">
        <f t="shared" si="64"/>
        <v>0</v>
      </c>
      <c r="V190" s="433">
        <f t="shared" si="64"/>
        <v>0</v>
      </c>
      <c r="W190" s="433">
        <f t="shared" si="64"/>
        <v>0</v>
      </c>
      <c r="X190" s="433">
        <f t="shared" si="64"/>
        <v>0</v>
      </c>
      <c r="Y190" s="439">
        <v>0</v>
      </c>
    </row>
    <row r="191" spans="1:26" ht="13.8" thickBot="1" x14ac:dyDescent="0.3">
      <c r="A191" s="435" t="s">
        <v>117</v>
      </c>
      <c r="B191" s="429">
        <f t="shared" ref="B191:V191" si="65">(C190+B190)*(C189-B189)/2</f>
        <v>0.75924000000000014</v>
      </c>
      <c r="C191" s="430">
        <f t="shared" si="65"/>
        <v>0.88039599999999996</v>
      </c>
      <c r="D191" s="430">
        <f t="shared" si="65"/>
        <v>2.3961294999999998</v>
      </c>
      <c r="E191" s="430">
        <f t="shared" si="65"/>
        <v>3.9627500000000011</v>
      </c>
      <c r="F191" s="430">
        <f t="shared" si="65"/>
        <v>61.480612000000015</v>
      </c>
      <c r="G191" s="430">
        <f t="shared" si="65"/>
        <v>4.4150699999999956</v>
      </c>
      <c r="H191" s="430">
        <f t="shared" si="65"/>
        <v>0.88200000000000078</v>
      </c>
      <c r="I191" s="430">
        <f t="shared" si="65"/>
        <v>0.40310400000000035</v>
      </c>
      <c r="J191" s="430">
        <f>(K190+J190)*(K189-J189)/2</f>
        <v>7.5082499999999885E-2</v>
      </c>
      <c r="K191" s="430">
        <f t="shared" si="65"/>
        <v>0</v>
      </c>
      <c r="L191" s="430">
        <f t="shared" si="65"/>
        <v>0</v>
      </c>
      <c r="M191" s="430">
        <f t="shared" si="65"/>
        <v>0</v>
      </c>
      <c r="N191" s="430">
        <f t="shared" si="65"/>
        <v>0</v>
      </c>
      <c r="O191" s="430">
        <f t="shared" si="65"/>
        <v>0</v>
      </c>
      <c r="P191" s="430">
        <f t="shared" si="65"/>
        <v>0</v>
      </c>
      <c r="Q191" s="430">
        <f t="shared" si="65"/>
        <v>0</v>
      </c>
      <c r="R191" s="430">
        <f t="shared" si="65"/>
        <v>0</v>
      </c>
      <c r="S191" s="430">
        <f>(T190+S190)*(T189-S189)/2</f>
        <v>0</v>
      </c>
      <c r="T191" s="430">
        <f t="shared" si="65"/>
        <v>0</v>
      </c>
      <c r="U191" s="430">
        <f t="shared" si="65"/>
        <v>0</v>
      </c>
      <c r="V191" s="430">
        <f t="shared" si="65"/>
        <v>0</v>
      </c>
      <c r="W191" s="430">
        <f>(X190+W190)*(X189-W189)/2</f>
        <v>0</v>
      </c>
      <c r="X191" s="430">
        <f>(Y190+X190)*(Y189-X189)/2</f>
        <v>0</v>
      </c>
      <c r="Y191" s="424"/>
    </row>
    <row r="192" spans="1:26" ht="13.8" thickBot="1" x14ac:dyDescent="0.3">
      <c r="A192" s="492" t="s">
        <v>375</v>
      </c>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row>
    <row r="193" spans="1:26" ht="13.8" thickBot="1" x14ac:dyDescent="0.3">
      <c r="A193" s="416" t="s">
        <v>538</v>
      </c>
      <c r="B193" s="414">
        <f>ROW(A193)</f>
        <v>193</v>
      </c>
      <c r="C193" s="418" t="s">
        <v>116</v>
      </c>
      <c r="D193" s="408">
        <f>SUM(B196:Y196)</f>
        <v>141.04999999999998</v>
      </c>
      <c r="E193" s="418" t="s">
        <v>115</v>
      </c>
      <c r="F193" s="409">
        <f>D193/g/J193</f>
        <v>186.24592648930721</v>
      </c>
      <c r="G193" s="418" t="s">
        <v>57</v>
      </c>
      <c r="H193" s="86">
        <v>0.16189999999999999</v>
      </c>
      <c r="I193" s="418" t="s">
        <v>272</v>
      </c>
      <c r="J193" s="410">
        <f>H193-L193</f>
        <v>7.7199999999999991E-2</v>
      </c>
      <c r="K193" s="418" t="s">
        <v>273</v>
      </c>
      <c r="L193" s="86">
        <v>8.4699999999999998E-2</v>
      </c>
      <c r="M193" s="418" t="s">
        <v>58</v>
      </c>
      <c r="N193" s="87">
        <v>114</v>
      </c>
      <c r="O193" s="418" t="s">
        <v>60</v>
      </c>
      <c r="P193" s="87">
        <v>114</v>
      </c>
      <c r="Q193" s="418" t="s">
        <v>61</v>
      </c>
      <c r="R193" s="87">
        <v>228</v>
      </c>
      <c r="S193" s="418" t="s">
        <v>62</v>
      </c>
      <c r="T193" s="87">
        <v>24</v>
      </c>
      <c r="U193" s="418" t="s">
        <v>55</v>
      </c>
      <c r="V193" s="88" t="s">
        <v>120</v>
      </c>
      <c r="W193" s="547" t="s">
        <v>396</v>
      </c>
      <c r="X193" s="549">
        <v>0.96</v>
      </c>
      <c r="Y193" s="547" t="s">
        <v>395</v>
      </c>
      <c r="Z193" s="413">
        <v>15</v>
      </c>
    </row>
    <row r="194" spans="1:26" x14ac:dyDescent="0.25">
      <c r="A194" s="417" t="s">
        <v>33</v>
      </c>
      <c r="B194" s="441">
        <v>0</v>
      </c>
      <c r="C194" s="442">
        <v>0.02</v>
      </c>
      <c r="D194" s="442">
        <v>0.03</v>
      </c>
      <c r="E194" s="442">
        <v>0.05</v>
      </c>
      <c r="F194" s="442">
        <v>0.6</v>
      </c>
      <c r="G194" s="442">
        <v>0.67</v>
      </c>
      <c r="H194" s="442">
        <v>0.7</v>
      </c>
      <c r="I194" s="442">
        <v>0.8</v>
      </c>
      <c r="J194" s="442">
        <v>0.9</v>
      </c>
      <c r="K194" s="442">
        <v>1.05</v>
      </c>
      <c r="L194" s="442">
        <f t="shared" ref="L194:W194" si="66">K194</f>
        <v>1.05</v>
      </c>
      <c r="M194" s="442">
        <f t="shared" si="66"/>
        <v>1.05</v>
      </c>
      <c r="N194" s="442">
        <f t="shared" si="66"/>
        <v>1.05</v>
      </c>
      <c r="O194" s="442">
        <f t="shared" si="66"/>
        <v>1.05</v>
      </c>
      <c r="P194" s="442">
        <f t="shared" si="66"/>
        <v>1.05</v>
      </c>
      <c r="Q194" s="442">
        <f t="shared" si="66"/>
        <v>1.05</v>
      </c>
      <c r="R194" s="442">
        <f t="shared" si="66"/>
        <v>1.05</v>
      </c>
      <c r="S194" s="442">
        <f t="shared" si="66"/>
        <v>1.05</v>
      </c>
      <c r="T194" s="442">
        <f t="shared" si="66"/>
        <v>1.05</v>
      </c>
      <c r="U194" s="442">
        <f t="shared" si="66"/>
        <v>1.05</v>
      </c>
      <c r="V194" s="442">
        <f t="shared" si="66"/>
        <v>1.05</v>
      </c>
      <c r="W194" s="442">
        <f t="shared" si="66"/>
        <v>1.05</v>
      </c>
      <c r="X194" s="442">
        <v>2</v>
      </c>
      <c r="Y194" s="444">
        <v>1000</v>
      </c>
    </row>
    <row r="195" spans="1:26" x14ac:dyDescent="0.25">
      <c r="A195" s="434" t="s">
        <v>34</v>
      </c>
      <c r="B195" s="443">
        <v>0</v>
      </c>
      <c r="C195" s="433">
        <v>350</v>
      </c>
      <c r="D195" s="433">
        <v>250</v>
      </c>
      <c r="E195" s="433">
        <v>210</v>
      </c>
      <c r="F195" s="433">
        <v>150</v>
      </c>
      <c r="G195" s="433">
        <v>140</v>
      </c>
      <c r="H195" s="433">
        <v>130</v>
      </c>
      <c r="I195" s="433">
        <v>65</v>
      </c>
      <c r="J195" s="433">
        <v>30</v>
      </c>
      <c r="K195" s="433">
        <v>0</v>
      </c>
      <c r="L195" s="433">
        <v>0</v>
      </c>
      <c r="M195" s="433">
        <v>0</v>
      </c>
      <c r="N195" s="433">
        <v>0</v>
      </c>
      <c r="O195" s="433">
        <v>0</v>
      </c>
      <c r="P195" s="433">
        <v>0</v>
      </c>
      <c r="Q195" s="433">
        <v>0</v>
      </c>
      <c r="R195" s="433">
        <v>0</v>
      </c>
      <c r="S195" s="433">
        <f t="shared" ref="S195:X195" si="67">R195</f>
        <v>0</v>
      </c>
      <c r="T195" s="433">
        <f t="shared" si="67"/>
        <v>0</v>
      </c>
      <c r="U195" s="433">
        <f t="shared" si="67"/>
        <v>0</v>
      </c>
      <c r="V195" s="433">
        <f t="shared" si="67"/>
        <v>0</v>
      </c>
      <c r="W195" s="433">
        <f t="shared" si="67"/>
        <v>0</v>
      </c>
      <c r="X195" s="433">
        <f t="shared" si="67"/>
        <v>0</v>
      </c>
      <c r="Y195" s="439">
        <v>0</v>
      </c>
    </row>
    <row r="196" spans="1:26" ht="13.8" thickBot="1" x14ac:dyDescent="0.3">
      <c r="A196" s="435" t="s">
        <v>117</v>
      </c>
      <c r="B196" s="429">
        <f t="shared" ref="B196:X196" si="68">(C195+B195)*(C194-B194)/2</f>
        <v>3.5</v>
      </c>
      <c r="C196" s="430">
        <f t="shared" si="68"/>
        <v>2.9999999999999996</v>
      </c>
      <c r="D196" s="430">
        <f t="shared" si="68"/>
        <v>4.6000000000000005</v>
      </c>
      <c r="E196" s="430">
        <f t="shared" si="68"/>
        <v>98.999999999999986</v>
      </c>
      <c r="F196" s="430">
        <f t="shared" si="68"/>
        <v>10.150000000000009</v>
      </c>
      <c r="G196" s="430">
        <f t="shared" si="68"/>
        <v>4.0499999999999883</v>
      </c>
      <c r="H196" s="430">
        <f t="shared" si="68"/>
        <v>9.7500000000000089</v>
      </c>
      <c r="I196" s="430">
        <f t="shared" si="68"/>
        <v>4.7499999999999991</v>
      </c>
      <c r="J196" s="430">
        <f t="shared" si="68"/>
        <v>2.2500000000000004</v>
      </c>
      <c r="K196" s="430">
        <f t="shared" si="68"/>
        <v>0</v>
      </c>
      <c r="L196" s="430">
        <f t="shared" si="68"/>
        <v>0</v>
      </c>
      <c r="M196" s="430">
        <f t="shared" si="68"/>
        <v>0</v>
      </c>
      <c r="N196" s="430">
        <f t="shared" si="68"/>
        <v>0</v>
      </c>
      <c r="O196" s="430">
        <f t="shared" si="68"/>
        <v>0</v>
      </c>
      <c r="P196" s="430">
        <f t="shared" si="68"/>
        <v>0</v>
      </c>
      <c r="Q196" s="430">
        <f t="shared" si="68"/>
        <v>0</v>
      </c>
      <c r="R196" s="430">
        <f t="shared" si="68"/>
        <v>0</v>
      </c>
      <c r="S196" s="430">
        <f t="shared" si="68"/>
        <v>0</v>
      </c>
      <c r="T196" s="430">
        <f t="shared" si="68"/>
        <v>0</v>
      </c>
      <c r="U196" s="430">
        <f t="shared" si="68"/>
        <v>0</v>
      </c>
      <c r="V196" s="430">
        <f t="shared" si="68"/>
        <v>0</v>
      </c>
      <c r="W196" s="430">
        <f t="shared" si="68"/>
        <v>0</v>
      </c>
      <c r="X196" s="430">
        <f t="shared" si="68"/>
        <v>0</v>
      </c>
      <c r="Y196" s="424"/>
    </row>
    <row r="197" spans="1:26" ht="13.8" thickBot="1" x14ac:dyDescent="0.3">
      <c r="A197" s="17" t="s">
        <v>548</v>
      </c>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row>
    <row r="198" spans="1:26" ht="13.8" thickBot="1" x14ac:dyDescent="0.3">
      <c r="A198" s="416" t="s">
        <v>553</v>
      </c>
      <c r="B198" s="414">
        <f>ROW(A198)</f>
        <v>198</v>
      </c>
      <c r="C198" s="418" t="s">
        <v>116</v>
      </c>
      <c r="D198" s="408">
        <f>SUM(B201:Y201)</f>
        <v>142.44</v>
      </c>
      <c r="E198" s="418" t="s">
        <v>115</v>
      </c>
      <c r="F198" s="409">
        <f>D198/g/J198</f>
        <v>192.06187401906058</v>
      </c>
      <c r="G198" s="418" t="s">
        <v>57</v>
      </c>
      <c r="H198" s="86">
        <v>0.15989999999999999</v>
      </c>
      <c r="I198" s="418" t="s">
        <v>272</v>
      </c>
      <c r="J198" s="410">
        <f>H198-L198</f>
        <v>7.5599999999999987E-2</v>
      </c>
      <c r="K198" s="418" t="s">
        <v>273</v>
      </c>
      <c r="L198" s="86">
        <v>8.43E-2</v>
      </c>
      <c r="M198" s="418" t="s">
        <v>58</v>
      </c>
      <c r="N198" s="87">
        <v>114</v>
      </c>
      <c r="O198" s="418" t="s">
        <v>60</v>
      </c>
      <c r="P198" s="87">
        <v>114</v>
      </c>
      <c r="Q198" s="418" t="s">
        <v>61</v>
      </c>
      <c r="R198" s="87">
        <v>228</v>
      </c>
      <c r="S198" s="418" t="s">
        <v>62</v>
      </c>
      <c r="T198" s="87">
        <v>24</v>
      </c>
      <c r="U198" s="418" t="s">
        <v>55</v>
      </c>
      <c r="V198" s="88" t="s">
        <v>403</v>
      </c>
      <c r="W198" s="547" t="s">
        <v>396</v>
      </c>
      <c r="X198" s="549">
        <v>0.97</v>
      </c>
      <c r="Y198" s="547" t="s">
        <v>395</v>
      </c>
      <c r="Z198" s="413"/>
    </row>
    <row r="199" spans="1:26" x14ac:dyDescent="0.25">
      <c r="A199" s="417" t="s">
        <v>33</v>
      </c>
      <c r="B199" s="441">
        <v>0</v>
      </c>
      <c r="C199" s="442">
        <v>0.02</v>
      </c>
      <c r="D199" s="442">
        <v>0.04</v>
      </c>
      <c r="E199" s="442">
        <v>0.62</v>
      </c>
      <c r="F199" s="442">
        <v>0.66</v>
      </c>
      <c r="G199" s="442">
        <v>0.68</v>
      </c>
      <c r="H199" s="442">
        <v>0.8</v>
      </c>
      <c r="I199" s="442">
        <v>0.84</v>
      </c>
      <c r="J199" s="442">
        <v>0.88</v>
      </c>
      <c r="K199" s="442">
        <v>0.92</v>
      </c>
      <c r="L199" s="442">
        <v>0.96</v>
      </c>
      <c r="M199" s="442">
        <v>1</v>
      </c>
      <c r="N199" s="442">
        <v>1.08</v>
      </c>
      <c r="O199" s="442">
        <v>2</v>
      </c>
      <c r="P199" s="442">
        <v>2</v>
      </c>
      <c r="Q199" s="442">
        <v>2</v>
      </c>
      <c r="R199" s="442">
        <v>2</v>
      </c>
      <c r="S199" s="442">
        <f t="shared" ref="S199:X200" si="69">R199</f>
        <v>2</v>
      </c>
      <c r="T199" s="442">
        <f t="shared" si="69"/>
        <v>2</v>
      </c>
      <c r="U199" s="442">
        <f t="shared" si="69"/>
        <v>2</v>
      </c>
      <c r="V199" s="442">
        <f t="shared" si="69"/>
        <v>2</v>
      </c>
      <c r="W199" s="442">
        <f t="shared" si="69"/>
        <v>2</v>
      </c>
      <c r="X199" s="442">
        <f t="shared" si="69"/>
        <v>2</v>
      </c>
      <c r="Y199" s="444">
        <v>1000</v>
      </c>
    </row>
    <row r="200" spans="1:26" x14ac:dyDescent="0.25">
      <c r="A200" s="434" t="s">
        <v>34</v>
      </c>
      <c r="B200" s="443">
        <v>0</v>
      </c>
      <c r="C200" s="433">
        <v>250</v>
      </c>
      <c r="D200" s="433">
        <v>210</v>
      </c>
      <c r="E200" s="433">
        <v>160</v>
      </c>
      <c r="F200" s="433">
        <v>150</v>
      </c>
      <c r="G200" s="433">
        <v>142</v>
      </c>
      <c r="H200" s="433">
        <v>62</v>
      </c>
      <c r="I200" s="433">
        <v>48</v>
      </c>
      <c r="J200" s="433">
        <v>34</v>
      </c>
      <c r="K200" s="433">
        <v>24</v>
      </c>
      <c r="L200" s="433">
        <v>15</v>
      </c>
      <c r="M200" s="433">
        <v>10</v>
      </c>
      <c r="N200" s="433">
        <v>0</v>
      </c>
      <c r="O200" s="433">
        <v>0</v>
      </c>
      <c r="P200" s="433">
        <v>0</v>
      </c>
      <c r="Q200" s="433">
        <v>0</v>
      </c>
      <c r="R200" s="433">
        <v>0</v>
      </c>
      <c r="S200" s="433">
        <f t="shared" si="69"/>
        <v>0</v>
      </c>
      <c r="T200" s="433">
        <f t="shared" si="69"/>
        <v>0</v>
      </c>
      <c r="U200" s="433">
        <f t="shared" si="69"/>
        <v>0</v>
      </c>
      <c r="V200" s="433">
        <f t="shared" si="69"/>
        <v>0</v>
      </c>
      <c r="W200" s="433">
        <f t="shared" si="69"/>
        <v>0</v>
      </c>
      <c r="X200" s="433">
        <f t="shared" si="69"/>
        <v>0</v>
      </c>
      <c r="Y200" s="439">
        <v>0</v>
      </c>
    </row>
    <row r="201" spans="1:26" ht="13.8" thickBot="1" x14ac:dyDescent="0.3">
      <c r="A201" s="435" t="s">
        <v>117</v>
      </c>
      <c r="B201" s="429">
        <f t="shared" ref="B201:X201" si="70">(C200+B200)*(C199-B199)/2</f>
        <v>2.5</v>
      </c>
      <c r="C201" s="430">
        <f t="shared" si="70"/>
        <v>4.6000000000000005</v>
      </c>
      <c r="D201" s="430">
        <f t="shared" si="70"/>
        <v>107.3</v>
      </c>
      <c r="E201" s="430">
        <f t="shared" si="70"/>
        <v>6.2000000000000055</v>
      </c>
      <c r="F201" s="430">
        <f t="shared" si="70"/>
        <v>2.9200000000000026</v>
      </c>
      <c r="G201" s="430">
        <f t="shared" si="70"/>
        <v>12.24</v>
      </c>
      <c r="H201" s="430">
        <f t="shared" si="70"/>
        <v>2.1999999999999957</v>
      </c>
      <c r="I201" s="430">
        <f t="shared" si="70"/>
        <v>1.6400000000000015</v>
      </c>
      <c r="J201" s="430">
        <f t="shared" si="70"/>
        <v>1.160000000000001</v>
      </c>
      <c r="K201" s="430">
        <f t="shared" si="70"/>
        <v>0.77999999999999847</v>
      </c>
      <c r="L201" s="430">
        <f t="shared" si="70"/>
        <v>0.50000000000000044</v>
      </c>
      <c r="M201" s="430">
        <f t="shared" si="70"/>
        <v>0.40000000000000036</v>
      </c>
      <c r="N201" s="430">
        <f t="shared" si="70"/>
        <v>0</v>
      </c>
      <c r="O201" s="430">
        <f t="shared" si="70"/>
        <v>0</v>
      </c>
      <c r="P201" s="430">
        <f t="shared" si="70"/>
        <v>0</v>
      </c>
      <c r="Q201" s="430">
        <f t="shared" si="70"/>
        <v>0</v>
      </c>
      <c r="R201" s="430">
        <f t="shared" si="70"/>
        <v>0</v>
      </c>
      <c r="S201" s="430">
        <f t="shared" si="70"/>
        <v>0</v>
      </c>
      <c r="T201" s="430">
        <f t="shared" si="70"/>
        <v>0</v>
      </c>
      <c r="U201" s="430">
        <f t="shared" si="70"/>
        <v>0</v>
      </c>
      <c r="V201" s="430">
        <f t="shared" si="70"/>
        <v>0</v>
      </c>
      <c r="W201" s="430">
        <f t="shared" si="70"/>
        <v>0</v>
      </c>
      <c r="X201" s="430">
        <f t="shared" si="70"/>
        <v>0</v>
      </c>
      <c r="Y201" s="424"/>
    </row>
    <row r="202" spans="1:26" ht="13.8" thickBot="1" x14ac:dyDescent="0.3">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row>
    <row r="203" spans="1:26" ht="13.8" thickBot="1" x14ac:dyDescent="0.3">
      <c r="A203" s="416" t="s">
        <v>540</v>
      </c>
      <c r="B203" s="414">
        <f>ROW(A203)</f>
        <v>203</v>
      </c>
      <c r="C203" s="418" t="s">
        <v>116</v>
      </c>
      <c r="D203" s="408">
        <f>SUM(B206:Y206)</f>
        <v>143.08845000000002</v>
      </c>
      <c r="E203" s="418" t="s">
        <v>115</v>
      </c>
      <c r="F203" s="409">
        <f>D203/g/J203</f>
        <v>168.23504721190514</v>
      </c>
      <c r="G203" s="418" t="s">
        <v>57</v>
      </c>
      <c r="H203" s="86">
        <v>0.17249999999999999</v>
      </c>
      <c r="I203" s="418" t="s">
        <v>272</v>
      </c>
      <c r="J203" s="410">
        <f>H203-L203</f>
        <v>8.6699999999999985E-2</v>
      </c>
      <c r="K203" s="418" t="s">
        <v>273</v>
      </c>
      <c r="L203" s="86">
        <v>8.5800000000000001E-2</v>
      </c>
      <c r="M203" s="418" t="s">
        <v>58</v>
      </c>
      <c r="N203" s="87">
        <v>114</v>
      </c>
      <c r="O203" s="418" t="s">
        <v>60</v>
      </c>
      <c r="P203" s="87">
        <v>114</v>
      </c>
      <c r="Q203" s="418" t="s">
        <v>61</v>
      </c>
      <c r="R203" s="87">
        <v>228</v>
      </c>
      <c r="S203" s="418" t="s">
        <v>62</v>
      </c>
      <c r="T203" s="87">
        <v>24</v>
      </c>
      <c r="U203" s="418" t="s">
        <v>55</v>
      </c>
      <c r="V203" s="88" t="s">
        <v>120</v>
      </c>
      <c r="W203" s="547" t="s">
        <v>396</v>
      </c>
      <c r="X203" s="549">
        <v>0.97</v>
      </c>
      <c r="Y203" s="547" t="s">
        <v>395</v>
      </c>
      <c r="Z203" s="413">
        <v>11</v>
      </c>
    </row>
    <row r="204" spans="1:26" x14ac:dyDescent="0.25">
      <c r="A204" s="417" t="s">
        <v>33</v>
      </c>
      <c r="B204" s="441">
        <v>0</v>
      </c>
      <c r="C204" s="442">
        <v>8.0000000000000002E-3</v>
      </c>
      <c r="D204" s="442">
        <v>1.2999999999999999E-2</v>
      </c>
      <c r="E204" s="442">
        <v>2.1999999999999999E-2</v>
      </c>
      <c r="F204" s="442">
        <v>3.5000000000000003E-2</v>
      </c>
      <c r="G204" s="442">
        <v>6.3E-2</v>
      </c>
      <c r="H204" s="442">
        <v>0.10299999999999999</v>
      </c>
      <c r="I204" s="442">
        <v>0.19600000000000001</v>
      </c>
      <c r="J204" s="442">
        <v>0.311</v>
      </c>
      <c r="K204" s="442">
        <v>0.47399999999999998</v>
      </c>
      <c r="L204" s="442">
        <v>0.56399999999999995</v>
      </c>
      <c r="M204" s="442">
        <v>0.76200000000000001</v>
      </c>
      <c r="N204" s="442">
        <v>0.85799999999999998</v>
      </c>
      <c r="O204" s="442">
        <v>0.92800000000000005</v>
      </c>
      <c r="P204" s="442">
        <v>1.038</v>
      </c>
      <c r="Q204" s="442">
        <v>1.08</v>
      </c>
      <c r="R204" s="442">
        <v>1.131</v>
      </c>
      <c r="S204" s="442">
        <v>1.1850000000000001</v>
      </c>
      <c r="T204" s="442">
        <v>1.224</v>
      </c>
      <c r="U204" s="442">
        <v>1.258</v>
      </c>
      <c r="V204" s="442">
        <v>1.4</v>
      </c>
      <c r="W204" s="442">
        <v>1.4410000000000001</v>
      </c>
      <c r="X204" s="442">
        <v>2</v>
      </c>
      <c r="Y204" s="444">
        <v>1000</v>
      </c>
    </row>
    <row r="205" spans="1:26" x14ac:dyDescent="0.25">
      <c r="A205" s="434" t="s">
        <v>34</v>
      </c>
      <c r="B205" s="443">
        <v>0</v>
      </c>
      <c r="C205" s="433">
        <v>168.643</v>
      </c>
      <c r="D205" s="433">
        <v>177.339</v>
      </c>
      <c r="E205" s="433">
        <v>177.86600000000001</v>
      </c>
      <c r="F205" s="433">
        <v>171.27799999999999</v>
      </c>
      <c r="G205" s="433">
        <v>157.839</v>
      </c>
      <c r="H205" s="433">
        <v>154.941</v>
      </c>
      <c r="I205" s="433">
        <v>148.88</v>
      </c>
      <c r="J205" s="433">
        <v>144.137</v>
      </c>
      <c r="K205" s="433">
        <v>138.07599999999999</v>
      </c>
      <c r="L205" s="433">
        <v>135.70500000000001</v>
      </c>
      <c r="M205" s="433">
        <v>125.955</v>
      </c>
      <c r="N205" s="433">
        <v>116.733</v>
      </c>
      <c r="O205" s="433">
        <v>101.71299999999999</v>
      </c>
      <c r="P205" s="433">
        <v>57.444000000000003</v>
      </c>
      <c r="Q205" s="433">
        <v>42.688000000000002</v>
      </c>
      <c r="R205" s="433">
        <v>31.884</v>
      </c>
      <c r="S205" s="433">
        <v>17.655000000000001</v>
      </c>
      <c r="T205" s="433">
        <v>9.4860000000000007</v>
      </c>
      <c r="U205" s="433">
        <v>5.27</v>
      </c>
      <c r="V205" s="433">
        <v>0.79100000000000004</v>
      </c>
      <c r="W205" s="433">
        <v>0</v>
      </c>
      <c r="X205" s="433">
        <f>W205</f>
        <v>0</v>
      </c>
      <c r="Y205" s="439">
        <v>0</v>
      </c>
    </row>
    <row r="206" spans="1:26" ht="13.8" thickBot="1" x14ac:dyDescent="0.3">
      <c r="A206" s="435" t="s">
        <v>117</v>
      </c>
      <c r="B206" s="429">
        <f t="shared" ref="B206:X206" si="71">(C205+B205)*(C204-B204)/2</f>
        <v>0.67457200000000006</v>
      </c>
      <c r="C206" s="430">
        <f t="shared" si="71"/>
        <v>0.86495499999999981</v>
      </c>
      <c r="D206" s="430">
        <f t="shared" si="71"/>
        <v>1.5984225000000001</v>
      </c>
      <c r="E206" s="430">
        <f t="shared" si="71"/>
        <v>2.2694360000000007</v>
      </c>
      <c r="F206" s="430">
        <f t="shared" si="71"/>
        <v>4.6076379999999988</v>
      </c>
      <c r="G206" s="430">
        <f t="shared" si="71"/>
        <v>6.2555999999999985</v>
      </c>
      <c r="H206" s="430">
        <f t="shared" si="71"/>
        <v>14.127676500000003</v>
      </c>
      <c r="I206" s="430">
        <f t="shared" si="71"/>
        <v>16.848477499999998</v>
      </c>
      <c r="J206" s="430">
        <f t="shared" si="71"/>
        <v>23.000359499999995</v>
      </c>
      <c r="K206" s="430">
        <f t="shared" si="71"/>
        <v>12.320144999999997</v>
      </c>
      <c r="L206" s="430">
        <f t="shared" si="71"/>
        <v>25.904340000000012</v>
      </c>
      <c r="M206" s="430">
        <f t="shared" si="71"/>
        <v>11.649023999999997</v>
      </c>
      <c r="N206" s="430">
        <f t="shared" si="71"/>
        <v>7.6456100000000067</v>
      </c>
      <c r="O206" s="430">
        <f t="shared" si="71"/>
        <v>8.7536349999999974</v>
      </c>
      <c r="P206" s="430">
        <f t="shared" si="71"/>
        <v>2.1027720000000021</v>
      </c>
      <c r="Q206" s="430">
        <f t="shared" si="71"/>
        <v>1.9015859999999976</v>
      </c>
      <c r="R206" s="430">
        <f t="shared" si="71"/>
        <v>1.3375530000000013</v>
      </c>
      <c r="S206" s="430">
        <f t="shared" si="71"/>
        <v>0.52924949999999904</v>
      </c>
      <c r="T206" s="430">
        <f t="shared" si="71"/>
        <v>0.25085200000000024</v>
      </c>
      <c r="U206" s="430">
        <f t="shared" si="71"/>
        <v>0.43033099999999969</v>
      </c>
      <c r="V206" s="430">
        <f t="shared" si="71"/>
        <v>1.621550000000006E-2</v>
      </c>
      <c r="W206" s="430">
        <f t="shared" si="71"/>
        <v>0</v>
      </c>
      <c r="X206" s="430">
        <f t="shared" si="71"/>
        <v>0</v>
      </c>
      <c r="Y206" s="424"/>
    </row>
    <row r="207" spans="1:26" ht="13.8" thickBot="1" x14ac:dyDescent="0.3">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row>
    <row r="208" spans="1:26" ht="13.8" thickBot="1" x14ac:dyDescent="0.3">
      <c r="A208" s="416" t="s">
        <v>539</v>
      </c>
      <c r="B208" s="414">
        <f>ROW(A208)</f>
        <v>208</v>
      </c>
      <c r="C208" s="418" t="s">
        <v>116</v>
      </c>
      <c r="D208" s="408">
        <f>SUM(B211:Y211)</f>
        <v>139.423417</v>
      </c>
      <c r="E208" s="418" t="s">
        <v>115</v>
      </c>
      <c r="F208" s="409">
        <f>D208/g/J208</f>
        <v>158.62027745922524</v>
      </c>
      <c r="G208" s="418" t="s">
        <v>57</v>
      </c>
      <c r="H208" s="86">
        <v>0.19450000000000001</v>
      </c>
      <c r="I208" s="418" t="s">
        <v>272</v>
      </c>
      <c r="J208" s="410">
        <f>H208-L208</f>
        <v>8.9600000000000013E-2</v>
      </c>
      <c r="K208" s="418" t="s">
        <v>273</v>
      </c>
      <c r="L208" s="86">
        <v>0.10489999999999999</v>
      </c>
      <c r="M208" s="418" t="s">
        <v>58</v>
      </c>
      <c r="N208" s="87">
        <v>114</v>
      </c>
      <c r="O208" s="418" t="s">
        <v>60</v>
      </c>
      <c r="P208" s="87">
        <v>144</v>
      </c>
      <c r="Q208" s="418" t="s">
        <v>61</v>
      </c>
      <c r="R208" s="87">
        <v>228</v>
      </c>
      <c r="S208" s="418" t="s">
        <v>62</v>
      </c>
      <c r="T208" s="87">
        <v>24</v>
      </c>
      <c r="U208" s="418" t="s">
        <v>55</v>
      </c>
      <c r="V208" s="88" t="s">
        <v>120</v>
      </c>
      <c r="W208" s="547" t="s">
        <v>396</v>
      </c>
      <c r="X208" s="549">
        <v>1.3</v>
      </c>
      <c r="Y208" s="547" t="s">
        <v>395</v>
      </c>
      <c r="Z208" s="413">
        <v>12</v>
      </c>
    </row>
    <row r="209" spans="1:26" x14ac:dyDescent="0.25">
      <c r="A209" s="417" t="s">
        <v>33</v>
      </c>
      <c r="B209" s="441">
        <v>0</v>
      </c>
      <c r="C209" s="442">
        <v>1.0999999999999999E-2</v>
      </c>
      <c r="D209" s="442">
        <v>2.1999999999999999E-2</v>
      </c>
      <c r="E209" s="442">
        <v>4.5999999999999999E-2</v>
      </c>
      <c r="F209" s="442">
        <v>8.1000000000000003E-2</v>
      </c>
      <c r="G209" s="442">
        <v>0.219</v>
      </c>
      <c r="H209" s="442">
        <v>0.253</v>
      </c>
      <c r="I209" s="442">
        <v>0.27400000000000002</v>
      </c>
      <c r="J209" s="442">
        <v>0.30499999999999999</v>
      </c>
      <c r="K209" s="442">
        <v>0.41199999999999998</v>
      </c>
      <c r="L209" s="442">
        <v>0.78900000000000003</v>
      </c>
      <c r="M209" s="442">
        <v>0.89900000000000002</v>
      </c>
      <c r="N209" s="442">
        <v>0.95299999999999996</v>
      </c>
      <c r="O209" s="442">
        <v>0.999</v>
      </c>
      <c r="P209" s="442">
        <v>1.03</v>
      </c>
      <c r="Q209" s="442">
        <v>1.0569999999999999</v>
      </c>
      <c r="R209" s="442">
        <v>1.1020000000000001</v>
      </c>
      <c r="S209" s="442">
        <v>1.1539999999999999</v>
      </c>
      <c r="T209" s="442">
        <v>1.1970000000000001</v>
      </c>
      <c r="U209" s="442">
        <v>1.2769999999999999</v>
      </c>
      <c r="V209" s="442">
        <v>1.335</v>
      </c>
      <c r="W209" s="442">
        <v>1.4510000000000001</v>
      </c>
      <c r="X209" s="442">
        <v>2</v>
      </c>
      <c r="Y209" s="444">
        <v>1000</v>
      </c>
    </row>
    <row r="210" spans="1:26" x14ac:dyDescent="0.25">
      <c r="A210" s="434" t="s">
        <v>34</v>
      </c>
      <c r="B210" s="443">
        <v>0</v>
      </c>
      <c r="C210" s="433">
        <v>198.41800000000001</v>
      </c>
      <c r="D210" s="433">
        <v>221.83500000000001</v>
      </c>
      <c r="E210" s="433">
        <v>212.65799999999999</v>
      </c>
      <c r="F210" s="433">
        <v>218.35400000000001</v>
      </c>
      <c r="G210" s="433">
        <v>204.43</v>
      </c>
      <c r="H210" s="433">
        <v>195.886</v>
      </c>
      <c r="I210" s="433">
        <v>183.54400000000001</v>
      </c>
      <c r="J210" s="433">
        <v>88.290999999999997</v>
      </c>
      <c r="K210" s="433">
        <v>93.671000000000006</v>
      </c>
      <c r="L210" s="433">
        <v>93.986999999999995</v>
      </c>
      <c r="M210" s="433">
        <v>91.138999999999996</v>
      </c>
      <c r="N210" s="433">
        <v>89.873000000000005</v>
      </c>
      <c r="O210" s="433">
        <v>87.025000000000006</v>
      </c>
      <c r="P210" s="433">
        <v>81.328999999999994</v>
      </c>
      <c r="Q210" s="433">
        <v>69.936999999999998</v>
      </c>
      <c r="R210" s="433">
        <v>54.113999999999997</v>
      </c>
      <c r="S210" s="433">
        <v>42.405000000000001</v>
      </c>
      <c r="T210" s="433">
        <v>31.646000000000001</v>
      </c>
      <c r="U210" s="433">
        <v>17.088999999999999</v>
      </c>
      <c r="V210" s="433">
        <v>9.81</v>
      </c>
      <c r="W210" s="433">
        <v>0</v>
      </c>
      <c r="X210" s="433">
        <v>0</v>
      </c>
      <c r="Y210" s="439">
        <v>0</v>
      </c>
    </row>
    <row r="211" spans="1:26" ht="13.8" thickBot="1" x14ac:dyDescent="0.3">
      <c r="A211" s="435" t="s">
        <v>117</v>
      </c>
      <c r="B211" s="429">
        <f t="shared" ref="B211:X211" si="72">(C210+B210)*(C209-B209)/2</f>
        <v>1.091299</v>
      </c>
      <c r="C211" s="430">
        <f t="shared" si="72"/>
        <v>2.3113915</v>
      </c>
      <c r="D211" s="430">
        <f t="shared" si="72"/>
        <v>5.2139160000000002</v>
      </c>
      <c r="E211" s="430">
        <f t="shared" si="72"/>
        <v>7.5427100000000005</v>
      </c>
      <c r="F211" s="430">
        <f t="shared" si="72"/>
        <v>29.172096000000003</v>
      </c>
      <c r="G211" s="430">
        <f t="shared" si="72"/>
        <v>6.8053720000000011</v>
      </c>
      <c r="H211" s="430">
        <f t="shared" si="72"/>
        <v>3.9840150000000034</v>
      </c>
      <c r="I211" s="430">
        <f t="shared" si="72"/>
        <v>4.2134424999999966</v>
      </c>
      <c r="J211" s="430">
        <f t="shared" si="72"/>
        <v>9.7349669999999975</v>
      </c>
      <c r="K211" s="430">
        <f t="shared" si="72"/>
        <v>35.373533000000009</v>
      </c>
      <c r="L211" s="430">
        <f t="shared" si="72"/>
        <v>10.181929999999998</v>
      </c>
      <c r="M211" s="430">
        <f t="shared" si="72"/>
        <v>4.8873239999999942</v>
      </c>
      <c r="N211" s="430">
        <f t="shared" si="72"/>
        <v>4.068654000000004</v>
      </c>
      <c r="O211" s="430">
        <f t="shared" si="72"/>
        <v>2.6094870000000019</v>
      </c>
      <c r="P211" s="430">
        <f t="shared" si="72"/>
        <v>2.0420909999999934</v>
      </c>
      <c r="Q211" s="430">
        <f t="shared" si="72"/>
        <v>2.791147500000009</v>
      </c>
      <c r="R211" s="430">
        <f t="shared" si="72"/>
        <v>2.5094939999999917</v>
      </c>
      <c r="S211" s="430">
        <f t="shared" si="72"/>
        <v>1.5920965000000056</v>
      </c>
      <c r="T211" s="430">
        <f t="shared" si="72"/>
        <v>1.9493999999999962</v>
      </c>
      <c r="U211" s="430">
        <f t="shared" si="72"/>
        <v>0.78007100000000074</v>
      </c>
      <c r="V211" s="430">
        <f t="shared" si="72"/>
        <v>0.56898000000000049</v>
      </c>
      <c r="W211" s="430">
        <f t="shared" si="72"/>
        <v>0</v>
      </c>
      <c r="X211" s="430">
        <f t="shared" si="72"/>
        <v>0</v>
      </c>
      <c r="Y211" s="424"/>
    </row>
    <row r="212" spans="1:26" ht="13.8" thickBot="1" x14ac:dyDescent="0.3">
      <c r="A212" s="492" t="s">
        <v>317</v>
      </c>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row>
    <row r="213" spans="1:26" ht="13.8" thickBot="1" x14ac:dyDescent="0.3">
      <c r="A213" s="416" t="s">
        <v>377</v>
      </c>
      <c r="B213" s="414">
        <f>ROW(A213)</f>
        <v>213</v>
      </c>
      <c r="C213" s="418" t="s">
        <v>116</v>
      </c>
      <c r="D213" s="408">
        <f>SUM(B216:Y216)</f>
        <v>82.798500000000018</v>
      </c>
      <c r="E213" s="418" t="s">
        <v>115</v>
      </c>
      <c r="F213" s="409">
        <f>D213/g/J213</f>
        <v>131.87834480122325</v>
      </c>
      <c r="G213" s="418" t="s">
        <v>57</v>
      </c>
      <c r="H213" s="86">
        <v>0.152</v>
      </c>
      <c r="I213" s="418" t="s">
        <v>272</v>
      </c>
      <c r="J213" s="410">
        <f>H213-L213</f>
        <v>6.4000000000000001E-2</v>
      </c>
      <c r="K213" s="418" t="s">
        <v>273</v>
      </c>
      <c r="L213" s="86">
        <v>8.7999999999999995E-2</v>
      </c>
      <c r="M213" s="418" t="s">
        <v>58</v>
      </c>
      <c r="N213" s="87">
        <v>71</v>
      </c>
      <c r="O213" s="418" t="s">
        <v>60</v>
      </c>
      <c r="P213" s="87">
        <v>71</v>
      </c>
      <c r="Q213" s="418" t="s">
        <v>61</v>
      </c>
      <c r="R213" s="87">
        <v>142</v>
      </c>
      <c r="S213" s="418" t="s">
        <v>62</v>
      </c>
      <c r="T213" s="87">
        <v>29</v>
      </c>
      <c r="U213" s="418" t="s">
        <v>55</v>
      </c>
      <c r="V213" s="88" t="s">
        <v>120</v>
      </c>
      <c r="W213" s="547" t="s">
        <v>396</v>
      </c>
      <c r="X213" s="549">
        <v>0.96</v>
      </c>
      <c r="Y213" s="547" t="s">
        <v>395</v>
      </c>
      <c r="Z213" s="413">
        <v>11</v>
      </c>
    </row>
    <row r="214" spans="1:26" x14ac:dyDescent="0.25">
      <c r="A214" s="417" t="s">
        <v>33</v>
      </c>
      <c r="B214" s="441">
        <v>0</v>
      </c>
      <c r="C214" s="442">
        <v>0.02</v>
      </c>
      <c r="D214" s="442">
        <v>0.03</v>
      </c>
      <c r="E214" s="442">
        <v>0.04</v>
      </c>
      <c r="F214" s="442">
        <v>0.06</v>
      </c>
      <c r="G214" s="442">
        <v>0.08</v>
      </c>
      <c r="H214" s="442">
        <v>0.15</v>
      </c>
      <c r="I214" s="442">
        <v>0.18</v>
      </c>
      <c r="J214" s="442">
        <v>0.2</v>
      </c>
      <c r="K214" s="442">
        <v>0.3</v>
      </c>
      <c r="L214" s="442">
        <v>0.4</v>
      </c>
      <c r="M214" s="442">
        <v>0.5</v>
      </c>
      <c r="N214" s="442">
        <v>0.6</v>
      </c>
      <c r="O214" s="442">
        <v>0.7</v>
      </c>
      <c r="P214" s="442">
        <v>0.82</v>
      </c>
      <c r="Q214" s="442">
        <v>0.93</v>
      </c>
      <c r="R214" s="442">
        <v>1</v>
      </c>
      <c r="S214" s="442">
        <f t="shared" ref="S214:X215" si="73">R214</f>
        <v>1</v>
      </c>
      <c r="T214" s="442">
        <f t="shared" si="73"/>
        <v>1</v>
      </c>
      <c r="U214" s="442">
        <f t="shared" si="73"/>
        <v>1</v>
      </c>
      <c r="V214" s="442">
        <f t="shared" si="73"/>
        <v>1</v>
      </c>
      <c r="W214" s="442">
        <f t="shared" si="73"/>
        <v>1</v>
      </c>
      <c r="X214" s="442">
        <v>2</v>
      </c>
      <c r="Y214" s="444">
        <v>1000</v>
      </c>
    </row>
    <row r="215" spans="1:26" x14ac:dyDescent="0.25">
      <c r="A215" s="434" t="s">
        <v>34</v>
      </c>
      <c r="B215" s="443">
        <v>0</v>
      </c>
      <c r="C215" s="433">
        <v>41.9</v>
      </c>
      <c r="D215" s="433">
        <v>92.1</v>
      </c>
      <c r="E215" s="433">
        <v>116.7</v>
      </c>
      <c r="F215" s="433">
        <v>112.7</v>
      </c>
      <c r="G215" s="433">
        <v>82.7</v>
      </c>
      <c r="H215" s="433">
        <v>84.7</v>
      </c>
      <c r="I215" s="433">
        <v>86.2</v>
      </c>
      <c r="J215" s="433">
        <v>87.9</v>
      </c>
      <c r="K215" s="433">
        <v>90.9</v>
      </c>
      <c r="L215" s="433">
        <v>93.9</v>
      </c>
      <c r="M215" s="433">
        <v>95.3</v>
      </c>
      <c r="N215" s="433">
        <v>96.8</v>
      </c>
      <c r="O215" s="433">
        <v>97.6</v>
      </c>
      <c r="P215" s="433">
        <v>108.2</v>
      </c>
      <c r="Q215" s="433">
        <v>11</v>
      </c>
      <c r="R215" s="433">
        <v>0</v>
      </c>
      <c r="S215" s="433">
        <f t="shared" si="73"/>
        <v>0</v>
      </c>
      <c r="T215" s="433">
        <f t="shared" si="73"/>
        <v>0</v>
      </c>
      <c r="U215" s="433">
        <f t="shared" si="73"/>
        <v>0</v>
      </c>
      <c r="V215" s="433">
        <f t="shared" si="73"/>
        <v>0</v>
      </c>
      <c r="W215" s="433">
        <f t="shared" si="73"/>
        <v>0</v>
      </c>
      <c r="X215" s="433">
        <f t="shared" si="73"/>
        <v>0</v>
      </c>
      <c r="Y215" s="439">
        <v>0</v>
      </c>
    </row>
    <row r="216" spans="1:26" ht="13.8" thickBot="1" x14ac:dyDescent="0.3">
      <c r="A216" s="435" t="s">
        <v>117</v>
      </c>
      <c r="B216" s="429">
        <f t="shared" ref="B216:V216" si="74">(C215+B215)*(C214-B214)/2</f>
        <v>0.41899999999999998</v>
      </c>
      <c r="C216" s="430">
        <f t="shared" si="74"/>
        <v>0.66999999999999993</v>
      </c>
      <c r="D216" s="430">
        <f t="shared" si="74"/>
        <v>1.0440000000000003</v>
      </c>
      <c r="E216" s="430">
        <f t="shared" si="74"/>
        <v>2.2939999999999996</v>
      </c>
      <c r="F216" s="430">
        <f t="shared" si="74"/>
        <v>1.9540000000000004</v>
      </c>
      <c r="G216" s="430">
        <f t="shared" si="74"/>
        <v>5.859</v>
      </c>
      <c r="H216" s="430">
        <f t="shared" si="74"/>
        <v>2.5634999999999999</v>
      </c>
      <c r="I216" s="430">
        <f t="shared" si="74"/>
        <v>1.7410000000000019</v>
      </c>
      <c r="J216" s="430">
        <f>(K215+J215)*(K214-J214)/2</f>
        <v>8.9399999999999977</v>
      </c>
      <c r="K216" s="430">
        <f t="shared" si="74"/>
        <v>9.2400000000000038</v>
      </c>
      <c r="L216" s="430">
        <f t="shared" si="74"/>
        <v>9.4599999999999973</v>
      </c>
      <c r="M216" s="430">
        <f t="shared" si="74"/>
        <v>9.6049999999999969</v>
      </c>
      <c r="N216" s="430">
        <f t="shared" si="74"/>
        <v>9.7199999999999971</v>
      </c>
      <c r="O216" s="430">
        <f t="shared" si="74"/>
        <v>12.348000000000001</v>
      </c>
      <c r="P216" s="430">
        <f t="shared" si="74"/>
        <v>6.5560000000000063</v>
      </c>
      <c r="Q216" s="430">
        <f t="shared" si="74"/>
        <v>0.38499999999999973</v>
      </c>
      <c r="R216" s="430">
        <f t="shared" si="74"/>
        <v>0</v>
      </c>
      <c r="S216" s="430">
        <f>(T215+S215)*(T214-S214)/2</f>
        <v>0</v>
      </c>
      <c r="T216" s="430">
        <f t="shared" si="74"/>
        <v>0</v>
      </c>
      <c r="U216" s="430">
        <f t="shared" si="74"/>
        <v>0</v>
      </c>
      <c r="V216" s="430">
        <f t="shared" si="74"/>
        <v>0</v>
      </c>
      <c r="W216" s="430">
        <f>(X215+W215)*(X214-W214)/2</f>
        <v>0</v>
      </c>
      <c r="X216" s="430">
        <f>(Y215+X215)*(Y214-X214)/2</f>
        <v>0</v>
      </c>
      <c r="Y216" s="424"/>
    </row>
    <row r="217" spans="1:26" ht="13.8" thickBot="1" x14ac:dyDescent="0.3">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row>
    <row r="218" spans="1:26" ht="13.8" thickBot="1" x14ac:dyDescent="0.3">
      <c r="A218" s="416" t="s">
        <v>378</v>
      </c>
      <c r="B218" s="414">
        <f>ROW(A218)</f>
        <v>218</v>
      </c>
      <c r="C218" s="418" t="s">
        <v>116</v>
      </c>
      <c r="D218" s="408">
        <f>SUM(B221:Y221)</f>
        <v>98.257101163036367</v>
      </c>
      <c r="E218" s="418" t="s">
        <v>115</v>
      </c>
      <c r="F218" s="409">
        <f>D218/g/J218</f>
        <v>177.58890761893778</v>
      </c>
      <c r="G218" s="418" t="s">
        <v>57</v>
      </c>
      <c r="H218" s="86">
        <v>0.14319999999999999</v>
      </c>
      <c r="I218" s="418" t="s">
        <v>272</v>
      </c>
      <c r="J218" s="410">
        <f>H218-L218</f>
        <v>5.6399999999999992E-2</v>
      </c>
      <c r="K218" s="418" t="s">
        <v>273</v>
      </c>
      <c r="L218" s="86">
        <v>8.6800000000000002E-2</v>
      </c>
      <c r="M218" s="418" t="s">
        <v>58</v>
      </c>
      <c r="N218" s="87">
        <v>71</v>
      </c>
      <c r="O218" s="418" t="s">
        <v>60</v>
      </c>
      <c r="P218" s="87">
        <v>71</v>
      </c>
      <c r="Q218" s="418" t="s">
        <v>61</v>
      </c>
      <c r="R218" s="87">
        <v>142</v>
      </c>
      <c r="S218" s="418" t="s">
        <v>62</v>
      </c>
      <c r="T218" s="87">
        <v>29</v>
      </c>
      <c r="U218" s="418" t="s">
        <v>55</v>
      </c>
      <c r="V218" s="88" t="s">
        <v>120</v>
      </c>
      <c r="W218" s="547" t="s">
        <v>396</v>
      </c>
      <c r="X218" s="549">
        <v>1.1499999999999999</v>
      </c>
      <c r="Y218" s="547" t="s">
        <v>395</v>
      </c>
      <c r="Z218" s="413">
        <v>14</v>
      </c>
    </row>
    <row r="219" spans="1:26" x14ac:dyDescent="0.25">
      <c r="A219" s="417" t="s">
        <v>33</v>
      </c>
      <c r="B219" s="441">
        <v>0</v>
      </c>
      <c r="C219" s="442">
        <v>1.4999999999999999E-2</v>
      </c>
      <c r="D219" s="442">
        <v>0.03</v>
      </c>
      <c r="E219" s="442">
        <v>4.4999999999999998E-2</v>
      </c>
      <c r="F219" s="442">
        <v>0.06</v>
      </c>
      <c r="G219" s="442">
        <v>7.4999999999999997E-2</v>
      </c>
      <c r="H219" s="442">
        <v>0.09</v>
      </c>
      <c r="I219" s="442">
        <v>0.105</v>
      </c>
      <c r="J219" s="442">
        <v>0.12</v>
      </c>
      <c r="K219" s="442">
        <v>0.18</v>
      </c>
      <c r="L219" s="442">
        <v>0.24</v>
      </c>
      <c r="M219" s="442">
        <v>0.3</v>
      </c>
      <c r="N219" s="442">
        <v>0.48</v>
      </c>
      <c r="O219" s="442">
        <v>0.6</v>
      </c>
      <c r="P219" s="442">
        <v>0.66</v>
      </c>
      <c r="Q219" s="442">
        <v>0.72</v>
      </c>
      <c r="R219" s="442">
        <v>0.78</v>
      </c>
      <c r="S219" s="442">
        <v>0.84</v>
      </c>
      <c r="T219" s="442">
        <v>0.9</v>
      </c>
      <c r="U219" s="442">
        <v>0.96</v>
      </c>
      <c r="V219" s="442">
        <v>1.0349999999999999</v>
      </c>
      <c r="W219" s="442">
        <v>1.2</v>
      </c>
      <c r="X219" s="442">
        <v>2</v>
      </c>
      <c r="Y219" s="444">
        <v>1000</v>
      </c>
    </row>
    <row r="220" spans="1:26" x14ac:dyDescent="0.25">
      <c r="A220" s="434" t="s">
        <v>34</v>
      </c>
      <c r="B220" s="443">
        <v>0</v>
      </c>
      <c r="C220" s="431">
        <v>99.328788958822486</v>
      </c>
      <c r="D220" s="431">
        <v>109.07039432469</v>
      </c>
      <c r="E220" s="431">
        <v>65.255411286427503</v>
      </c>
      <c r="F220" s="431">
        <v>67.568486533117493</v>
      </c>
      <c r="G220" s="431">
        <v>73.929443461515007</v>
      </c>
      <c r="H220" s="431">
        <v>74.329783408057494</v>
      </c>
      <c r="I220" s="431">
        <v>78.1552540083525</v>
      </c>
      <c r="J220" s="431">
        <v>78.600076171177506</v>
      </c>
      <c r="K220" s="431">
        <v>82.203135690059995</v>
      </c>
      <c r="L220" s="431">
        <v>84.516210936749999</v>
      </c>
      <c r="M220" s="431">
        <v>88.51961040217499</v>
      </c>
      <c r="N220" s="431">
        <v>95.102978411984992</v>
      </c>
      <c r="O220" s="431">
        <v>95.547800574809997</v>
      </c>
      <c r="P220" s="431">
        <v>94.480227384029988</v>
      </c>
      <c r="Q220" s="431">
        <v>92.122669921057494</v>
      </c>
      <c r="R220" s="431">
        <v>90.743721216299988</v>
      </c>
      <c r="S220" s="431">
        <v>88.964432564999996</v>
      </c>
      <c r="T220" s="431">
        <v>85.405855262399996</v>
      </c>
      <c r="U220" s="431">
        <v>83.448637745970004</v>
      </c>
      <c r="V220" s="431">
        <v>88.074788239349999</v>
      </c>
      <c r="W220" s="431">
        <v>0</v>
      </c>
      <c r="X220" s="433">
        <v>0</v>
      </c>
      <c r="Y220" s="439">
        <v>0</v>
      </c>
    </row>
    <row r="221" spans="1:26" ht="13.8" thickBot="1" x14ac:dyDescent="0.3">
      <c r="A221" s="435" t="s">
        <v>117</v>
      </c>
      <c r="B221" s="429">
        <f t="shared" ref="B221:V221" si="75">(C220+B220)*(C219-B219)/2</f>
        <v>0.74496591719116867</v>
      </c>
      <c r="C221" s="430">
        <f t="shared" si="75"/>
        <v>1.5629938746263436</v>
      </c>
      <c r="D221" s="430">
        <f t="shared" si="75"/>
        <v>1.3074435420833814</v>
      </c>
      <c r="E221" s="430">
        <f t="shared" si="75"/>
        <v>0.99617923364658734</v>
      </c>
      <c r="F221" s="430">
        <f t="shared" si="75"/>
        <v>1.0612344749597438</v>
      </c>
      <c r="G221" s="430">
        <f t="shared" si="75"/>
        <v>1.1119442015217937</v>
      </c>
      <c r="H221" s="430">
        <f t="shared" si="75"/>
        <v>1.1436377806230749</v>
      </c>
      <c r="I221" s="430">
        <f t="shared" si="75"/>
        <v>1.175664976346475</v>
      </c>
      <c r="J221" s="430">
        <f>(K220+J220)*(K219-J219)/2</f>
        <v>4.824096355837125</v>
      </c>
      <c r="K221" s="430">
        <f t="shared" si="75"/>
        <v>5.0015803988042995</v>
      </c>
      <c r="L221" s="430">
        <f t="shared" si="75"/>
        <v>5.1910746401677494</v>
      </c>
      <c r="M221" s="430">
        <f t="shared" si="75"/>
        <v>16.526032993274399</v>
      </c>
      <c r="N221" s="430">
        <f t="shared" si="75"/>
        <v>11.439046739207699</v>
      </c>
      <c r="O221" s="430">
        <f t="shared" si="75"/>
        <v>5.7008408387652043</v>
      </c>
      <c r="P221" s="430">
        <f t="shared" si="75"/>
        <v>5.5980869191526192</v>
      </c>
      <c r="Q221" s="430">
        <f t="shared" si="75"/>
        <v>5.4859917341207289</v>
      </c>
      <c r="R221" s="430">
        <f t="shared" si="75"/>
        <v>5.3912446134389942</v>
      </c>
      <c r="S221" s="430">
        <f>(T220+S220)*(T219-S219)/2</f>
        <v>5.2311086348220037</v>
      </c>
      <c r="T221" s="430">
        <f t="shared" si="75"/>
        <v>5.0656347902510959</v>
      </c>
      <c r="U221" s="430">
        <f t="shared" si="75"/>
        <v>6.4321284744494962</v>
      </c>
      <c r="V221" s="430">
        <f t="shared" si="75"/>
        <v>7.2661700297463767</v>
      </c>
      <c r="W221" s="430">
        <f>(X220+W220)*(X219-W219)/2</f>
        <v>0</v>
      </c>
      <c r="X221" s="430">
        <f>(Y220+X220)*(Y219-X219)/2</f>
        <v>0</v>
      </c>
      <c r="Y221" s="424"/>
    </row>
    <row r="222" spans="1:26" ht="13.8" thickBot="1" x14ac:dyDescent="0.3">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row>
    <row r="223" spans="1:26" ht="13.8" thickBot="1" x14ac:dyDescent="0.3">
      <c r="A223" s="416" t="s">
        <v>379</v>
      </c>
      <c r="B223" s="414">
        <f>ROW(A223)</f>
        <v>223</v>
      </c>
      <c r="C223" s="418" t="s">
        <v>116</v>
      </c>
      <c r="D223" s="408">
        <f>SUM(B226:Y226)</f>
        <v>109.60639850000001</v>
      </c>
      <c r="E223" s="418" t="s">
        <v>115</v>
      </c>
      <c r="F223" s="409">
        <f>D223/g/J223</f>
        <v>194.31174666489383</v>
      </c>
      <c r="G223" s="418" t="s">
        <v>57</v>
      </c>
      <c r="H223" s="86">
        <v>0.14130000000000001</v>
      </c>
      <c r="I223" s="418" t="s">
        <v>272</v>
      </c>
      <c r="J223" s="410">
        <f>H223-L223</f>
        <v>5.7500000000000009E-2</v>
      </c>
      <c r="K223" s="418" t="s">
        <v>273</v>
      </c>
      <c r="L223" s="86">
        <v>8.3799999999999999E-2</v>
      </c>
      <c r="M223" s="418" t="s">
        <v>58</v>
      </c>
      <c r="N223" s="87">
        <v>71</v>
      </c>
      <c r="O223" s="418" t="s">
        <v>60</v>
      </c>
      <c r="P223" s="87">
        <v>71</v>
      </c>
      <c r="Q223" s="418" t="s">
        <v>61</v>
      </c>
      <c r="R223" s="87">
        <v>142</v>
      </c>
      <c r="S223" s="418" t="s">
        <v>62</v>
      </c>
      <c r="T223" s="87">
        <v>29</v>
      </c>
      <c r="U223" s="418" t="s">
        <v>55</v>
      </c>
      <c r="V223" s="88" t="s">
        <v>403</v>
      </c>
      <c r="W223" s="547" t="s">
        <v>396</v>
      </c>
      <c r="X223" s="549">
        <v>0.45</v>
      </c>
      <c r="Y223" s="547" t="s">
        <v>395</v>
      </c>
      <c r="Z223" s="413">
        <v>14</v>
      </c>
    </row>
    <row r="224" spans="1:26" x14ac:dyDescent="0.25">
      <c r="A224" s="417" t="s">
        <v>33</v>
      </c>
      <c r="B224" s="441">
        <v>0</v>
      </c>
      <c r="C224" s="442">
        <v>6.0000000000000001E-3</v>
      </c>
      <c r="D224" s="442">
        <v>1.0999999999999999E-2</v>
      </c>
      <c r="E224" s="442">
        <v>1.6E-2</v>
      </c>
      <c r="F224" s="442">
        <v>3.1E-2</v>
      </c>
      <c r="G224" s="442">
        <v>7.4999999999999997E-2</v>
      </c>
      <c r="H224" s="442">
        <v>0.122</v>
      </c>
      <c r="I224" s="442">
        <v>0.216</v>
      </c>
      <c r="J224" s="442">
        <v>0.25</v>
      </c>
      <c r="K224" s="442">
        <v>0.28699999999999998</v>
      </c>
      <c r="L224" s="442">
        <v>0.35399999999999998</v>
      </c>
      <c r="M224" s="442">
        <v>0.374</v>
      </c>
      <c r="N224" s="442">
        <v>0.4</v>
      </c>
      <c r="O224" s="442">
        <v>0.41299999999999998</v>
      </c>
      <c r="P224" s="442">
        <v>0.42</v>
      </c>
      <c r="Q224" s="442">
        <v>0.433</v>
      </c>
      <c r="R224" s="442">
        <v>0.44500000000000001</v>
      </c>
      <c r="S224" s="442">
        <v>0.45400000000000001</v>
      </c>
      <c r="T224" s="442">
        <f t="shared" ref="T224:X225" si="76">S224</f>
        <v>0.45400000000000001</v>
      </c>
      <c r="U224" s="442">
        <f t="shared" si="76"/>
        <v>0.45400000000000001</v>
      </c>
      <c r="V224" s="442">
        <f t="shared" si="76"/>
        <v>0.45400000000000001</v>
      </c>
      <c r="W224" s="442">
        <f t="shared" si="76"/>
        <v>0.45400000000000001</v>
      </c>
      <c r="X224" s="442">
        <v>2</v>
      </c>
      <c r="Y224" s="444">
        <v>1000</v>
      </c>
    </row>
    <row r="225" spans="1:26" x14ac:dyDescent="0.25">
      <c r="A225" s="434" t="s">
        <v>34</v>
      </c>
      <c r="B225" s="443">
        <v>0</v>
      </c>
      <c r="C225" s="433">
        <v>151.62100000000001</v>
      </c>
      <c r="D225" s="433">
        <v>198.07900000000001</v>
      </c>
      <c r="E225" s="433">
        <v>203.12100000000001</v>
      </c>
      <c r="F225" s="433">
        <v>201.68100000000001</v>
      </c>
      <c r="G225" s="433">
        <v>226.17</v>
      </c>
      <c r="H225" s="433">
        <v>250.3</v>
      </c>
      <c r="I225" s="433">
        <v>280.19200000000001</v>
      </c>
      <c r="J225" s="433">
        <v>287.03500000000003</v>
      </c>
      <c r="K225" s="433">
        <v>284.87400000000002</v>
      </c>
      <c r="L225" s="433">
        <v>269.74799999999999</v>
      </c>
      <c r="M225" s="433">
        <v>258.58300000000003</v>
      </c>
      <c r="N225" s="433">
        <v>233.37299999999999</v>
      </c>
      <c r="O225" s="433">
        <v>234.09399999999999</v>
      </c>
      <c r="P225" s="433">
        <v>227.61099999999999</v>
      </c>
      <c r="Q225" s="433">
        <v>137.935</v>
      </c>
      <c r="R225" s="433">
        <v>33.853999999999999</v>
      </c>
      <c r="S225" s="433">
        <v>0</v>
      </c>
      <c r="T225" s="433">
        <f t="shared" si="76"/>
        <v>0</v>
      </c>
      <c r="U225" s="433">
        <f t="shared" si="76"/>
        <v>0</v>
      </c>
      <c r="V225" s="433">
        <f t="shared" si="76"/>
        <v>0</v>
      </c>
      <c r="W225" s="433">
        <f t="shared" si="76"/>
        <v>0</v>
      </c>
      <c r="X225" s="433">
        <f t="shared" si="76"/>
        <v>0</v>
      </c>
      <c r="Y225" s="439">
        <v>0</v>
      </c>
    </row>
    <row r="226" spans="1:26" ht="13.8" thickBot="1" x14ac:dyDescent="0.3">
      <c r="A226" s="435" t="s">
        <v>117</v>
      </c>
      <c r="B226" s="429">
        <f t="shared" ref="B226:X226" si="77">(C225+B225)*(C224-B224)/2</f>
        <v>0.45486300000000002</v>
      </c>
      <c r="C226" s="430">
        <f t="shared" si="77"/>
        <v>0.87424999999999997</v>
      </c>
      <c r="D226" s="430">
        <f t="shared" si="77"/>
        <v>1.0030000000000003</v>
      </c>
      <c r="E226" s="430">
        <f t="shared" si="77"/>
        <v>3.0360149999999999</v>
      </c>
      <c r="F226" s="430">
        <f t="shared" si="77"/>
        <v>9.4127219999999987</v>
      </c>
      <c r="G226" s="430">
        <f t="shared" si="77"/>
        <v>11.197045000000001</v>
      </c>
      <c r="H226" s="430">
        <f t="shared" si="77"/>
        <v>24.933123999999999</v>
      </c>
      <c r="I226" s="430">
        <f t="shared" si="77"/>
        <v>9.6428590000000014</v>
      </c>
      <c r="J226" s="430">
        <f t="shared" si="77"/>
        <v>10.580316499999995</v>
      </c>
      <c r="K226" s="430">
        <f t="shared" si="77"/>
        <v>18.579837000000005</v>
      </c>
      <c r="L226" s="430">
        <f t="shared" si="77"/>
        <v>5.2833100000000046</v>
      </c>
      <c r="M226" s="430">
        <f t="shared" si="77"/>
        <v>6.3954280000000061</v>
      </c>
      <c r="N226" s="430">
        <f t="shared" si="77"/>
        <v>3.0385354999999898</v>
      </c>
      <c r="O226" s="430">
        <f t="shared" si="77"/>
        <v>1.6159675000000013</v>
      </c>
      <c r="P226" s="430">
        <f t="shared" si="77"/>
        <v>2.3760490000000019</v>
      </c>
      <c r="Q226" s="430">
        <f t="shared" si="77"/>
        <v>1.0307340000000009</v>
      </c>
      <c r="R226" s="430">
        <f t="shared" si="77"/>
        <v>0.15234300000000014</v>
      </c>
      <c r="S226" s="430">
        <f t="shared" si="77"/>
        <v>0</v>
      </c>
      <c r="T226" s="430">
        <f t="shared" si="77"/>
        <v>0</v>
      </c>
      <c r="U226" s="430">
        <f t="shared" si="77"/>
        <v>0</v>
      </c>
      <c r="V226" s="430">
        <f t="shared" si="77"/>
        <v>0</v>
      </c>
      <c r="W226" s="430">
        <f t="shared" si="77"/>
        <v>0</v>
      </c>
      <c r="X226" s="430">
        <f t="shared" si="77"/>
        <v>0</v>
      </c>
      <c r="Y226" s="424"/>
    </row>
    <row r="227" spans="1:26" ht="13.8" thickBot="1" x14ac:dyDescent="0.3">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row>
    <row r="228" spans="1:26" ht="13.8" thickBot="1" x14ac:dyDescent="0.3">
      <c r="A228" s="416" t="s">
        <v>380</v>
      </c>
      <c r="B228" s="414">
        <f>ROW(A228)</f>
        <v>228</v>
      </c>
      <c r="C228" s="418" t="s">
        <v>116</v>
      </c>
      <c r="D228" s="408">
        <f>SUM(B231:Y231)</f>
        <v>115.63</v>
      </c>
      <c r="E228" s="418" t="s">
        <v>115</v>
      </c>
      <c r="F228" s="409">
        <f>D228/g/J228</f>
        <v>199.77884897804037</v>
      </c>
      <c r="G228" s="418" t="s">
        <v>57</v>
      </c>
      <c r="H228" s="86">
        <v>0.14499999999999999</v>
      </c>
      <c r="I228" s="418" t="s">
        <v>272</v>
      </c>
      <c r="J228" s="410">
        <f>H228-L228</f>
        <v>5.8999999999999997E-2</v>
      </c>
      <c r="K228" s="418" t="s">
        <v>273</v>
      </c>
      <c r="L228" s="86">
        <v>8.5999999999999993E-2</v>
      </c>
      <c r="M228" s="418" t="s">
        <v>58</v>
      </c>
      <c r="N228" s="87">
        <v>71</v>
      </c>
      <c r="O228" s="418" t="s">
        <v>60</v>
      </c>
      <c r="P228" s="87">
        <v>71</v>
      </c>
      <c r="Q228" s="418" t="s">
        <v>61</v>
      </c>
      <c r="R228" s="87">
        <v>142</v>
      </c>
      <c r="S228" s="418" t="s">
        <v>62</v>
      </c>
      <c r="T228" s="87">
        <v>29</v>
      </c>
      <c r="U228" s="418" t="s">
        <v>55</v>
      </c>
      <c r="V228" s="88" t="s">
        <v>402</v>
      </c>
      <c r="W228" s="547" t="s">
        <v>396</v>
      </c>
      <c r="X228" s="549">
        <v>0.93</v>
      </c>
      <c r="Y228" s="547" t="s">
        <v>395</v>
      </c>
      <c r="Z228" s="413">
        <v>13</v>
      </c>
    </row>
    <row r="229" spans="1:26" x14ac:dyDescent="0.25">
      <c r="A229" s="417" t="s">
        <v>33</v>
      </c>
      <c r="B229" s="441">
        <v>0</v>
      </c>
      <c r="C229" s="442">
        <v>0.01</v>
      </c>
      <c r="D229" s="442">
        <v>0.02</v>
      </c>
      <c r="E229" s="442">
        <v>0.03</v>
      </c>
      <c r="F229" s="442">
        <v>0.04</v>
      </c>
      <c r="G229" s="442">
        <v>0.05</v>
      </c>
      <c r="H229" s="442">
        <v>0.1</v>
      </c>
      <c r="I229" s="442">
        <v>0.2</v>
      </c>
      <c r="J229" s="442">
        <v>0.3</v>
      </c>
      <c r="K229" s="442">
        <v>0.4</v>
      </c>
      <c r="L229" s="442">
        <v>0.6</v>
      </c>
      <c r="M229" s="442">
        <v>0.75</v>
      </c>
      <c r="N229" s="442">
        <v>0.81</v>
      </c>
      <c r="O229" s="442">
        <v>0.86</v>
      </c>
      <c r="P229" s="442">
        <v>0.9</v>
      </c>
      <c r="Q229" s="442">
        <v>0.95</v>
      </c>
      <c r="R229" s="442">
        <v>1</v>
      </c>
      <c r="S229" s="442">
        <v>1</v>
      </c>
      <c r="T229" s="442">
        <v>1</v>
      </c>
      <c r="U229" s="442">
        <v>1</v>
      </c>
      <c r="V229" s="442">
        <v>1</v>
      </c>
      <c r="W229" s="442">
        <v>1</v>
      </c>
      <c r="X229" s="442">
        <v>2</v>
      </c>
      <c r="Y229" s="444">
        <v>1000</v>
      </c>
    </row>
    <row r="230" spans="1:26" x14ac:dyDescent="0.25">
      <c r="A230" s="434" t="s">
        <v>34</v>
      </c>
      <c r="B230" s="443">
        <v>0</v>
      </c>
      <c r="C230" s="431">
        <v>55</v>
      </c>
      <c r="D230" s="431">
        <v>168</v>
      </c>
      <c r="E230" s="431">
        <v>157</v>
      </c>
      <c r="F230" s="431">
        <v>148</v>
      </c>
      <c r="G230" s="431">
        <v>125</v>
      </c>
      <c r="H230" s="431">
        <v>135</v>
      </c>
      <c r="I230" s="431">
        <v>141</v>
      </c>
      <c r="J230" s="431">
        <v>142</v>
      </c>
      <c r="K230" s="431">
        <v>141</v>
      </c>
      <c r="L230" s="431">
        <v>133</v>
      </c>
      <c r="M230" s="431">
        <v>127</v>
      </c>
      <c r="N230" s="431">
        <v>128</v>
      </c>
      <c r="O230" s="431">
        <v>60</v>
      </c>
      <c r="P230" s="431">
        <v>15</v>
      </c>
      <c r="Q230" s="431">
        <v>0</v>
      </c>
      <c r="R230" s="431">
        <v>0</v>
      </c>
      <c r="S230" s="431">
        <v>0</v>
      </c>
      <c r="T230" s="431">
        <v>0</v>
      </c>
      <c r="U230" s="431">
        <v>0</v>
      </c>
      <c r="V230" s="431">
        <v>0</v>
      </c>
      <c r="W230" s="431">
        <v>0</v>
      </c>
      <c r="X230" s="433">
        <v>0</v>
      </c>
      <c r="Y230" s="439">
        <v>0</v>
      </c>
    </row>
    <row r="231" spans="1:26" ht="13.8" thickBot="1" x14ac:dyDescent="0.3">
      <c r="A231" s="435" t="s">
        <v>117</v>
      </c>
      <c r="B231" s="429">
        <f t="shared" ref="B231:X231" si="78">(C230+B230)*(C229-B229)/2</f>
        <v>0.27500000000000002</v>
      </c>
      <c r="C231" s="430">
        <f t="shared" si="78"/>
        <v>1.115</v>
      </c>
      <c r="D231" s="430">
        <f t="shared" si="78"/>
        <v>1.6249999999999998</v>
      </c>
      <c r="E231" s="430">
        <f t="shared" si="78"/>
        <v>1.5250000000000004</v>
      </c>
      <c r="F231" s="430">
        <f t="shared" si="78"/>
        <v>1.3650000000000002</v>
      </c>
      <c r="G231" s="430">
        <f t="shared" si="78"/>
        <v>6.5</v>
      </c>
      <c r="H231" s="430">
        <f t="shared" si="78"/>
        <v>13.8</v>
      </c>
      <c r="I231" s="430">
        <f t="shared" si="78"/>
        <v>14.149999999999997</v>
      </c>
      <c r="J231" s="430">
        <f t="shared" si="78"/>
        <v>14.150000000000004</v>
      </c>
      <c r="K231" s="430">
        <f t="shared" si="78"/>
        <v>27.399999999999995</v>
      </c>
      <c r="L231" s="430">
        <f t="shared" si="78"/>
        <v>19.500000000000004</v>
      </c>
      <c r="M231" s="430">
        <f t="shared" si="78"/>
        <v>7.6500000000000066</v>
      </c>
      <c r="N231" s="430">
        <f t="shared" si="78"/>
        <v>4.699999999999994</v>
      </c>
      <c r="O231" s="430">
        <f t="shared" si="78"/>
        <v>1.5000000000000013</v>
      </c>
      <c r="P231" s="430">
        <f t="shared" si="78"/>
        <v>0.3749999999999995</v>
      </c>
      <c r="Q231" s="430">
        <f t="shared" si="78"/>
        <v>0</v>
      </c>
      <c r="R231" s="430">
        <f t="shared" si="78"/>
        <v>0</v>
      </c>
      <c r="S231" s="430">
        <f t="shared" si="78"/>
        <v>0</v>
      </c>
      <c r="T231" s="430">
        <f t="shared" si="78"/>
        <v>0</v>
      </c>
      <c r="U231" s="430">
        <f t="shared" si="78"/>
        <v>0</v>
      </c>
      <c r="V231" s="430">
        <f t="shared" si="78"/>
        <v>0</v>
      </c>
      <c r="W231" s="430">
        <f t="shared" si="78"/>
        <v>0</v>
      </c>
      <c r="X231" s="430">
        <f t="shared" si="78"/>
        <v>0</v>
      </c>
      <c r="Y231" s="424"/>
    </row>
    <row r="232" spans="1:26" ht="13.8" thickBot="1" x14ac:dyDescent="0.3">
      <c r="A232" s="492" t="s">
        <v>388</v>
      </c>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row>
    <row r="233" spans="1:26" ht="13.8" thickBot="1" x14ac:dyDescent="0.3">
      <c r="A233" s="416" t="s">
        <v>389</v>
      </c>
      <c r="B233" s="414">
        <f>ROW(A233)</f>
        <v>233</v>
      </c>
      <c r="C233" s="418" t="s">
        <v>116</v>
      </c>
      <c r="D233" s="408">
        <f>SUM(B236:Y236)</f>
        <v>115.63</v>
      </c>
      <c r="E233" s="418" t="s">
        <v>115</v>
      </c>
      <c r="F233" s="409">
        <f>D233/g/J233</f>
        <v>125.39310733728064</v>
      </c>
      <c r="G233" s="418" t="s">
        <v>57</v>
      </c>
      <c r="H233" s="86">
        <v>0.2</v>
      </c>
      <c r="I233" s="418" t="s">
        <v>272</v>
      </c>
      <c r="J233" s="410">
        <f>H233-L233</f>
        <v>9.4000000000000014E-2</v>
      </c>
      <c r="K233" s="418" t="s">
        <v>273</v>
      </c>
      <c r="L233" s="86">
        <v>0.106</v>
      </c>
      <c r="M233" s="418" t="s">
        <v>58</v>
      </c>
      <c r="N233" s="87">
        <v>93</v>
      </c>
      <c r="O233" s="418" t="s">
        <v>60</v>
      </c>
      <c r="P233" s="87">
        <v>93</v>
      </c>
      <c r="Q233" s="418" t="s">
        <v>61</v>
      </c>
      <c r="R233" s="87">
        <v>187</v>
      </c>
      <c r="S233" s="418" t="s">
        <v>62</v>
      </c>
      <c r="T233" s="87">
        <v>29</v>
      </c>
      <c r="U233" s="418" t="s">
        <v>55</v>
      </c>
      <c r="V233" s="88" t="s">
        <v>120</v>
      </c>
      <c r="W233" s="547" t="s">
        <v>396</v>
      </c>
      <c r="X233" s="549">
        <v>0.96</v>
      </c>
      <c r="Y233" s="547" t="s">
        <v>395</v>
      </c>
      <c r="Z233" s="413">
        <v>14</v>
      </c>
    </row>
    <row r="234" spans="1:26" x14ac:dyDescent="0.25">
      <c r="A234" s="417" t="s">
        <v>33</v>
      </c>
      <c r="B234" s="441">
        <v>0</v>
      </c>
      <c r="C234" s="442">
        <v>0.01</v>
      </c>
      <c r="D234" s="442">
        <v>0.02</v>
      </c>
      <c r="E234" s="442">
        <v>0.03</v>
      </c>
      <c r="F234" s="442">
        <v>0.04</v>
      </c>
      <c r="G234" s="442">
        <v>0.05</v>
      </c>
      <c r="H234" s="442">
        <v>0.1</v>
      </c>
      <c r="I234" s="442">
        <v>0.2</v>
      </c>
      <c r="J234" s="442">
        <v>0.3</v>
      </c>
      <c r="K234" s="442">
        <v>0.4</v>
      </c>
      <c r="L234" s="442">
        <v>0.6</v>
      </c>
      <c r="M234" s="442">
        <v>0.75</v>
      </c>
      <c r="N234" s="442">
        <v>0.81</v>
      </c>
      <c r="O234" s="442">
        <v>0.86</v>
      </c>
      <c r="P234" s="442">
        <v>0.9</v>
      </c>
      <c r="Q234" s="442">
        <v>0.95</v>
      </c>
      <c r="R234" s="442">
        <v>1</v>
      </c>
      <c r="S234" s="442">
        <f t="shared" ref="S234:X235" si="79">R234</f>
        <v>1</v>
      </c>
      <c r="T234" s="442">
        <f t="shared" si="79"/>
        <v>1</v>
      </c>
      <c r="U234" s="442">
        <f t="shared" si="79"/>
        <v>1</v>
      </c>
      <c r="V234" s="442">
        <f t="shared" si="79"/>
        <v>1</v>
      </c>
      <c r="W234" s="442">
        <f t="shared" si="79"/>
        <v>1</v>
      </c>
      <c r="X234" s="442">
        <v>2</v>
      </c>
      <c r="Y234" s="444">
        <v>1000</v>
      </c>
    </row>
    <row r="235" spans="1:26" x14ac:dyDescent="0.25">
      <c r="A235" s="434" t="s">
        <v>34</v>
      </c>
      <c r="B235" s="443">
        <v>0</v>
      </c>
      <c r="C235" s="433">
        <v>55</v>
      </c>
      <c r="D235" s="433">
        <v>168</v>
      </c>
      <c r="E235" s="433">
        <v>157</v>
      </c>
      <c r="F235" s="433">
        <v>148</v>
      </c>
      <c r="G235" s="433">
        <v>125</v>
      </c>
      <c r="H235" s="433">
        <v>135</v>
      </c>
      <c r="I235" s="433">
        <v>141</v>
      </c>
      <c r="J235" s="433">
        <v>142</v>
      </c>
      <c r="K235" s="433">
        <v>141</v>
      </c>
      <c r="L235" s="433">
        <v>133</v>
      </c>
      <c r="M235" s="433">
        <v>127</v>
      </c>
      <c r="N235" s="433">
        <v>128</v>
      </c>
      <c r="O235" s="433">
        <v>60</v>
      </c>
      <c r="P235" s="433">
        <v>15</v>
      </c>
      <c r="Q235" s="433">
        <v>0</v>
      </c>
      <c r="R235" s="433">
        <v>0</v>
      </c>
      <c r="S235" s="433">
        <f t="shared" si="79"/>
        <v>0</v>
      </c>
      <c r="T235" s="433">
        <f t="shared" si="79"/>
        <v>0</v>
      </c>
      <c r="U235" s="433">
        <f t="shared" si="79"/>
        <v>0</v>
      </c>
      <c r="V235" s="433">
        <f t="shared" si="79"/>
        <v>0</v>
      </c>
      <c r="W235" s="433">
        <f t="shared" si="79"/>
        <v>0</v>
      </c>
      <c r="X235" s="433">
        <f t="shared" si="79"/>
        <v>0</v>
      </c>
      <c r="Y235" s="439">
        <v>0</v>
      </c>
    </row>
    <row r="236" spans="1:26" ht="13.8" thickBot="1" x14ac:dyDescent="0.3">
      <c r="A236" s="435" t="s">
        <v>117</v>
      </c>
      <c r="B236" s="429">
        <f t="shared" ref="B236:X236" si="80">(C235+B235)*(C234-B234)/2</f>
        <v>0.27500000000000002</v>
      </c>
      <c r="C236" s="430">
        <f t="shared" si="80"/>
        <v>1.115</v>
      </c>
      <c r="D236" s="430">
        <f t="shared" si="80"/>
        <v>1.6249999999999998</v>
      </c>
      <c r="E236" s="430">
        <f t="shared" si="80"/>
        <v>1.5250000000000004</v>
      </c>
      <c r="F236" s="430">
        <f t="shared" si="80"/>
        <v>1.3650000000000002</v>
      </c>
      <c r="G236" s="430">
        <f t="shared" si="80"/>
        <v>6.5</v>
      </c>
      <c r="H236" s="430">
        <f t="shared" si="80"/>
        <v>13.8</v>
      </c>
      <c r="I236" s="430">
        <f t="shared" si="80"/>
        <v>14.149999999999997</v>
      </c>
      <c r="J236" s="430">
        <f t="shared" si="80"/>
        <v>14.150000000000004</v>
      </c>
      <c r="K236" s="430">
        <f t="shared" si="80"/>
        <v>27.399999999999995</v>
      </c>
      <c r="L236" s="430">
        <f t="shared" si="80"/>
        <v>19.500000000000004</v>
      </c>
      <c r="M236" s="430">
        <f t="shared" si="80"/>
        <v>7.6500000000000066</v>
      </c>
      <c r="N236" s="430">
        <f t="shared" si="80"/>
        <v>4.699999999999994</v>
      </c>
      <c r="O236" s="430">
        <f t="shared" si="80"/>
        <v>1.5000000000000013</v>
      </c>
      <c r="P236" s="430">
        <f t="shared" si="80"/>
        <v>0.3749999999999995</v>
      </c>
      <c r="Q236" s="430">
        <f t="shared" si="80"/>
        <v>0</v>
      </c>
      <c r="R236" s="430">
        <f t="shared" si="80"/>
        <v>0</v>
      </c>
      <c r="S236" s="430">
        <f t="shared" si="80"/>
        <v>0</v>
      </c>
      <c r="T236" s="430">
        <f t="shared" si="80"/>
        <v>0</v>
      </c>
      <c r="U236" s="430">
        <f t="shared" si="80"/>
        <v>0</v>
      </c>
      <c r="V236" s="430">
        <f t="shared" si="80"/>
        <v>0</v>
      </c>
      <c r="W236" s="430">
        <f t="shared" si="80"/>
        <v>0</v>
      </c>
      <c r="X236" s="430">
        <f t="shared" si="80"/>
        <v>0</v>
      </c>
      <c r="Y236" s="424"/>
    </row>
    <row r="237" spans="1:26" ht="13.8" thickBot="1" x14ac:dyDescent="0.3">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row>
    <row r="238" spans="1:26" ht="13.8" thickBot="1" x14ac:dyDescent="0.3">
      <c r="A238" s="416" t="s">
        <v>394</v>
      </c>
      <c r="B238" s="414">
        <f>ROW(A238)</f>
        <v>238</v>
      </c>
      <c r="C238" s="418" t="s">
        <v>116</v>
      </c>
      <c r="D238" s="408">
        <f>SUM(B241:Y241)</f>
        <v>158.04815100000002</v>
      </c>
      <c r="E238" s="418" t="s">
        <v>115</v>
      </c>
      <c r="F238" s="409">
        <v>198</v>
      </c>
      <c r="G238" s="418" t="s">
        <v>57</v>
      </c>
      <c r="H238" s="86">
        <v>0.19450000000000001</v>
      </c>
      <c r="I238" s="418" t="s">
        <v>272</v>
      </c>
      <c r="J238" s="410">
        <f>H238-L238</f>
        <v>8.9600000000000013E-2</v>
      </c>
      <c r="K238" s="418" t="s">
        <v>273</v>
      </c>
      <c r="L238" s="86">
        <v>0.10489999999999999</v>
      </c>
      <c r="M238" s="418" t="s">
        <v>58</v>
      </c>
      <c r="N238" s="87">
        <v>93</v>
      </c>
      <c r="O238" s="418" t="s">
        <v>60</v>
      </c>
      <c r="P238" s="87">
        <v>93</v>
      </c>
      <c r="Q238" s="418" t="s">
        <v>61</v>
      </c>
      <c r="R238" s="87">
        <v>187</v>
      </c>
      <c r="S238" s="418" t="s">
        <v>62</v>
      </c>
      <c r="T238" s="87">
        <v>29</v>
      </c>
      <c r="U238" s="418" t="s">
        <v>55</v>
      </c>
      <c r="V238" s="88" t="s">
        <v>120</v>
      </c>
      <c r="W238" s="547" t="s">
        <v>396</v>
      </c>
      <c r="X238" s="549">
        <v>1.27</v>
      </c>
      <c r="Y238" s="547" t="s">
        <v>395</v>
      </c>
      <c r="Z238" s="413">
        <v>14</v>
      </c>
    </row>
    <row r="239" spans="1:26" x14ac:dyDescent="0.25">
      <c r="A239" s="417" t="s">
        <v>33</v>
      </c>
      <c r="B239" s="557">
        <v>0</v>
      </c>
      <c r="C239" s="557">
        <v>4.0000000000000001E-3</v>
      </c>
      <c r="D239" s="557">
        <v>2.1999999999999999E-2</v>
      </c>
      <c r="E239" s="557">
        <v>3.9E-2</v>
      </c>
      <c r="F239" s="557">
        <v>0.122</v>
      </c>
      <c r="G239" s="557">
        <v>0.23599999999999999</v>
      </c>
      <c r="H239" s="557">
        <v>0.58899999999999997</v>
      </c>
      <c r="I239" s="557">
        <v>0.80100000000000005</v>
      </c>
      <c r="J239" s="557">
        <v>1.0680000000000001</v>
      </c>
      <c r="K239" s="557">
        <v>1.1180000000000001</v>
      </c>
      <c r="L239" s="557">
        <v>1.145</v>
      </c>
      <c r="M239" s="557">
        <v>1.1739999999999999</v>
      </c>
      <c r="N239" s="557">
        <v>1.2110000000000001</v>
      </c>
      <c r="O239" s="557">
        <v>1.2470000000000001</v>
      </c>
      <c r="P239" s="557">
        <v>1.2989999999999999</v>
      </c>
      <c r="Q239" s="442">
        <v>2</v>
      </c>
      <c r="R239" s="442">
        <v>2</v>
      </c>
      <c r="S239" s="442">
        <f t="shared" ref="S239:X240" si="81">R239</f>
        <v>2</v>
      </c>
      <c r="T239" s="442">
        <f t="shared" si="81"/>
        <v>2</v>
      </c>
      <c r="U239" s="442">
        <f t="shared" si="81"/>
        <v>2</v>
      </c>
      <c r="V239" s="442">
        <f t="shared" si="81"/>
        <v>2</v>
      </c>
      <c r="W239" s="442">
        <f t="shared" si="81"/>
        <v>2</v>
      </c>
      <c r="X239" s="442">
        <f t="shared" si="81"/>
        <v>2</v>
      </c>
      <c r="Y239" s="444">
        <v>1000</v>
      </c>
    </row>
    <row r="240" spans="1:26" x14ac:dyDescent="0.25">
      <c r="A240" s="434" t="s">
        <v>34</v>
      </c>
      <c r="B240" s="557">
        <v>0</v>
      </c>
      <c r="C240" s="557">
        <v>15.683</v>
      </c>
      <c r="D240" s="557">
        <v>170.834</v>
      </c>
      <c r="E240" s="557">
        <v>116.877</v>
      </c>
      <c r="F240" s="557">
        <v>142.642</v>
      </c>
      <c r="G240" s="557">
        <v>149.73699999999999</v>
      </c>
      <c r="H240" s="557">
        <v>142.642</v>
      </c>
      <c r="I240" s="557">
        <v>131.25299999999999</v>
      </c>
      <c r="J240" s="557">
        <v>122.104</v>
      </c>
      <c r="K240" s="557">
        <v>107.91500000000001</v>
      </c>
      <c r="L240" s="557">
        <v>78.415999999999997</v>
      </c>
      <c r="M240" s="557">
        <v>43.128999999999998</v>
      </c>
      <c r="N240" s="557">
        <v>21.471</v>
      </c>
      <c r="O240" s="557">
        <v>8.7750000000000004</v>
      </c>
      <c r="P240" s="557">
        <v>0</v>
      </c>
      <c r="Q240" s="433">
        <v>0</v>
      </c>
      <c r="R240" s="433">
        <v>0</v>
      </c>
      <c r="S240" s="433">
        <f t="shared" si="81"/>
        <v>0</v>
      </c>
      <c r="T240" s="433">
        <f t="shared" si="81"/>
        <v>0</v>
      </c>
      <c r="U240" s="433">
        <f t="shared" si="81"/>
        <v>0</v>
      </c>
      <c r="V240" s="433">
        <f t="shared" si="81"/>
        <v>0</v>
      </c>
      <c r="W240" s="433">
        <f t="shared" si="81"/>
        <v>0</v>
      </c>
      <c r="X240" s="433">
        <f t="shared" si="81"/>
        <v>0</v>
      </c>
      <c r="Y240" s="439">
        <v>0</v>
      </c>
    </row>
    <row r="241" spans="1:26" ht="13.8" thickBot="1" x14ac:dyDescent="0.3">
      <c r="A241" s="435" t="s">
        <v>117</v>
      </c>
      <c r="B241" s="429">
        <f t="shared" ref="B241:X241" si="82">(C240+B240)*(C239-B239)/2</f>
        <v>3.1365999999999998E-2</v>
      </c>
      <c r="C241" s="430">
        <f t="shared" si="82"/>
        <v>1.6786529999999997</v>
      </c>
      <c r="D241" s="430">
        <f t="shared" si="82"/>
        <v>2.4455435000000003</v>
      </c>
      <c r="E241" s="430">
        <f t="shared" si="82"/>
        <v>10.770038499999998</v>
      </c>
      <c r="F241" s="430">
        <f t="shared" si="82"/>
        <v>16.665603000000001</v>
      </c>
      <c r="G241" s="430">
        <f t="shared" si="82"/>
        <v>51.604893500000003</v>
      </c>
      <c r="H241" s="430">
        <f t="shared" si="82"/>
        <v>29.03287000000001</v>
      </c>
      <c r="I241" s="430">
        <f t="shared" si="82"/>
        <v>33.823159499999996</v>
      </c>
      <c r="J241" s="430">
        <f t="shared" si="82"/>
        <v>5.7504750000000051</v>
      </c>
      <c r="K241" s="430">
        <f t="shared" si="82"/>
        <v>2.5154684999999923</v>
      </c>
      <c r="L241" s="430">
        <f t="shared" si="82"/>
        <v>1.7624024999999945</v>
      </c>
      <c r="M241" s="430">
        <f t="shared" si="82"/>
        <v>1.1951000000000045</v>
      </c>
      <c r="N241" s="430">
        <f t="shared" si="82"/>
        <v>0.54442800000000058</v>
      </c>
      <c r="O241" s="430">
        <f t="shared" si="82"/>
        <v>0.22814999999999924</v>
      </c>
      <c r="P241" s="430">
        <f t="shared" si="82"/>
        <v>0</v>
      </c>
      <c r="Q241" s="430">
        <f t="shared" si="82"/>
        <v>0</v>
      </c>
      <c r="R241" s="430">
        <f t="shared" si="82"/>
        <v>0</v>
      </c>
      <c r="S241" s="430">
        <f t="shared" si="82"/>
        <v>0</v>
      </c>
      <c r="T241" s="430">
        <f t="shared" si="82"/>
        <v>0</v>
      </c>
      <c r="U241" s="430">
        <f t="shared" si="82"/>
        <v>0</v>
      </c>
      <c r="V241" s="430">
        <f t="shared" si="82"/>
        <v>0</v>
      </c>
      <c r="W241" s="430">
        <f t="shared" si="82"/>
        <v>0</v>
      </c>
      <c r="X241" s="430">
        <f t="shared" si="82"/>
        <v>0</v>
      </c>
      <c r="Y241" s="424"/>
    </row>
    <row r="242" spans="1:26" ht="13.8" thickBot="1" x14ac:dyDescent="0.3">
      <c r="A242" s="492" t="s">
        <v>376</v>
      </c>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row>
    <row r="243" spans="1:26" ht="13.8" thickBot="1" x14ac:dyDescent="0.3">
      <c r="A243" s="416" t="s">
        <v>381</v>
      </c>
      <c r="B243" s="414">
        <f>ROW(A243)</f>
        <v>243</v>
      </c>
      <c r="C243" s="418" t="s">
        <v>116</v>
      </c>
      <c r="D243" s="408">
        <f>SUM(B246:Y246)</f>
        <v>136.75235000000001</v>
      </c>
      <c r="E243" s="418" t="s">
        <v>115</v>
      </c>
      <c r="F243" s="409">
        <f>D243/g/J243</f>
        <v>152.35078513616639</v>
      </c>
      <c r="G243" s="418" t="s">
        <v>57</v>
      </c>
      <c r="H243" s="86">
        <v>0.21249999999999999</v>
      </c>
      <c r="I243" s="418" t="s">
        <v>272</v>
      </c>
      <c r="J243" s="410">
        <f>H243-L243</f>
        <v>9.1499999999999998E-2</v>
      </c>
      <c r="K243" s="418" t="s">
        <v>273</v>
      </c>
      <c r="L243" s="86">
        <v>0.121</v>
      </c>
      <c r="M243" s="418" t="s">
        <v>58</v>
      </c>
      <c r="N243" s="87">
        <v>63</v>
      </c>
      <c r="O243" s="418" t="s">
        <v>60</v>
      </c>
      <c r="P243" s="87">
        <v>114</v>
      </c>
      <c r="Q243" s="418" t="s">
        <v>61</v>
      </c>
      <c r="R243" s="87">
        <v>127</v>
      </c>
      <c r="S243" s="418" t="s">
        <v>62</v>
      </c>
      <c r="T243" s="87">
        <v>38</v>
      </c>
      <c r="U243" s="418" t="s">
        <v>55</v>
      </c>
      <c r="V243" s="88" t="s">
        <v>120</v>
      </c>
      <c r="W243" s="547" t="s">
        <v>396</v>
      </c>
      <c r="X243" s="549">
        <v>2.36</v>
      </c>
      <c r="Y243" s="547" t="s">
        <v>395</v>
      </c>
      <c r="Z243" s="413">
        <v>13</v>
      </c>
    </row>
    <row r="244" spans="1:26" x14ac:dyDescent="0.25">
      <c r="A244" s="417" t="s">
        <v>33</v>
      </c>
      <c r="B244" s="441">
        <v>0</v>
      </c>
      <c r="C244" s="426">
        <v>2.9000000000000001E-2</v>
      </c>
      <c r="D244" s="426">
        <v>4.5999999999999999E-2</v>
      </c>
      <c r="E244" s="426">
        <v>5.8000000000000003E-2</v>
      </c>
      <c r="F244" s="426">
        <v>8.4000000000000005E-2</v>
      </c>
      <c r="G244" s="426">
        <v>0.17100000000000001</v>
      </c>
      <c r="H244" s="426">
        <v>0.28000000000000003</v>
      </c>
      <c r="I244" s="426">
        <v>0.45500000000000002</v>
      </c>
      <c r="J244" s="426">
        <v>0.58599999999999997</v>
      </c>
      <c r="K244" s="426">
        <v>0.74099999999999999</v>
      </c>
      <c r="L244" s="426">
        <v>0.95199999999999996</v>
      </c>
      <c r="M244" s="426">
        <v>1.2170000000000001</v>
      </c>
      <c r="N244" s="426">
        <v>1.43</v>
      </c>
      <c r="O244" s="426">
        <v>1.6259999999999999</v>
      </c>
      <c r="P244" s="426">
        <v>1.8069999999999999</v>
      </c>
      <c r="Q244" s="426">
        <v>1.9590000000000001</v>
      </c>
      <c r="R244" s="426">
        <v>2.1040000000000001</v>
      </c>
      <c r="S244" s="426">
        <v>2.1680000000000001</v>
      </c>
      <c r="T244" s="426">
        <v>2.21</v>
      </c>
      <c r="U244" s="426">
        <v>2.2469999999999999</v>
      </c>
      <c r="V244" s="426">
        <v>2.3290000000000002</v>
      </c>
      <c r="W244" s="442">
        <f>2.4</f>
        <v>2.4</v>
      </c>
      <c r="X244" s="442">
        <f>W244</f>
        <v>2.4</v>
      </c>
      <c r="Y244" s="444">
        <v>1000</v>
      </c>
    </row>
    <row r="245" spans="1:26" x14ac:dyDescent="0.25">
      <c r="A245" s="434" t="s">
        <v>34</v>
      </c>
      <c r="B245" s="443">
        <v>0</v>
      </c>
      <c r="C245" s="428">
        <v>90.25</v>
      </c>
      <c r="D245" s="428">
        <v>69.17</v>
      </c>
      <c r="E245" s="428">
        <v>59.947000000000003</v>
      </c>
      <c r="F245" s="428">
        <v>47.167000000000002</v>
      </c>
      <c r="G245" s="428">
        <v>57.970999999999997</v>
      </c>
      <c r="H245" s="428">
        <v>59.552</v>
      </c>
      <c r="I245" s="428">
        <v>61.265000000000001</v>
      </c>
      <c r="J245" s="428">
        <v>61.66</v>
      </c>
      <c r="K245" s="428">
        <v>62.319000000000003</v>
      </c>
      <c r="L245" s="428">
        <v>63.768000000000001</v>
      </c>
      <c r="M245" s="428">
        <v>64.69</v>
      </c>
      <c r="N245" s="428">
        <v>63.768000000000001</v>
      </c>
      <c r="O245" s="428">
        <v>61.265000000000001</v>
      </c>
      <c r="P245" s="428">
        <v>58.103000000000002</v>
      </c>
      <c r="Q245" s="428">
        <v>53.887</v>
      </c>
      <c r="R245" s="428">
        <v>48.353000000000002</v>
      </c>
      <c r="S245" s="428">
        <v>47.563000000000002</v>
      </c>
      <c r="T245" s="428">
        <v>44.005000000000003</v>
      </c>
      <c r="U245" s="428">
        <v>37.286000000000001</v>
      </c>
      <c r="V245" s="428">
        <v>22.265999999999998</v>
      </c>
      <c r="W245" s="433">
        <v>0</v>
      </c>
      <c r="X245" s="433">
        <f>W245</f>
        <v>0</v>
      </c>
      <c r="Y245" s="439">
        <v>0</v>
      </c>
    </row>
    <row r="246" spans="1:26" ht="13.8" thickBot="1" x14ac:dyDescent="0.3">
      <c r="A246" s="435" t="s">
        <v>117</v>
      </c>
      <c r="B246" s="429">
        <f t="shared" ref="B246:X246" si="83">(C245+B245)*(C244-B244)/2</f>
        <v>1.3086250000000001</v>
      </c>
      <c r="C246" s="430">
        <f t="shared" si="83"/>
        <v>1.35507</v>
      </c>
      <c r="D246" s="430">
        <f t="shared" si="83"/>
        <v>0.77470200000000033</v>
      </c>
      <c r="E246" s="430">
        <f t="shared" si="83"/>
        <v>1.3924820000000002</v>
      </c>
      <c r="F246" s="430">
        <f t="shared" si="83"/>
        <v>4.5735030000000005</v>
      </c>
      <c r="G246" s="430">
        <f t="shared" si="83"/>
        <v>6.4050035000000003</v>
      </c>
      <c r="H246" s="430">
        <f t="shared" si="83"/>
        <v>10.5714875</v>
      </c>
      <c r="I246" s="430">
        <f t="shared" si="83"/>
        <v>8.0515874999999966</v>
      </c>
      <c r="J246" s="430">
        <f t="shared" si="83"/>
        <v>9.6083725000000015</v>
      </c>
      <c r="K246" s="430">
        <f t="shared" si="83"/>
        <v>13.302178499999998</v>
      </c>
      <c r="L246" s="430">
        <f t="shared" si="83"/>
        <v>17.020685000000007</v>
      </c>
      <c r="M246" s="430">
        <f t="shared" si="83"/>
        <v>13.68077699999999</v>
      </c>
      <c r="N246" s="430">
        <f t="shared" si="83"/>
        <v>12.253233999999997</v>
      </c>
      <c r="O246" s="430">
        <f t="shared" si="83"/>
        <v>10.802804000000002</v>
      </c>
      <c r="P246" s="430">
        <f t="shared" si="83"/>
        <v>8.5112400000000079</v>
      </c>
      <c r="Q246" s="430">
        <f t="shared" si="83"/>
        <v>7.4124000000000017</v>
      </c>
      <c r="R246" s="430">
        <f t="shared" si="83"/>
        <v>3.0693120000000027</v>
      </c>
      <c r="S246" s="430">
        <f t="shared" si="83"/>
        <v>1.9229279999999918</v>
      </c>
      <c r="T246" s="430">
        <f t="shared" si="83"/>
        <v>1.5038834999999968</v>
      </c>
      <c r="U246" s="430">
        <f t="shared" si="83"/>
        <v>2.4416320000000087</v>
      </c>
      <c r="V246" s="430">
        <f t="shared" si="83"/>
        <v>0.7904429999999969</v>
      </c>
      <c r="W246" s="430">
        <f t="shared" si="83"/>
        <v>0</v>
      </c>
      <c r="X246" s="430">
        <f t="shared" si="83"/>
        <v>0</v>
      </c>
      <c r="Y246" s="424"/>
    </row>
    <row r="247" spans="1:26" ht="13.8" thickBot="1" x14ac:dyDescent="0.3">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row>
    <row r="248" spans="1:26" ht="13.8" thickBot="1" x14ac:dyDescent="0.3">
      <c r="A248" s="416" t="s">
        <v>382</v>
      </c>
      <c r="B248" s="414">
        <f>ROW(A248)</f>
        <v>248</v>
      </c>
      <c r="C248" s="418" t="s">
        <v>116</v>
      </c>
      <c r="D248" s="408">
        <f>SUM(B251:Y251)</f>
        <v>127.06944999999999</v>
      </c>
      <c r="E248" s="418" t="s">
        <v>115</v>
      </c>
      <c r="F248" s="409">
        <f>D248/g/J248</f>
        <v>180.65624835614466</v>
      </c>
      <c r="G248" s="418" t="s">
        <v>57</v>
      </c>
      <c r="H248" s="86">
        <v>0.18840000000000001</v>
      </c>
      <c r="I248" s="418" t="s">
        <v>272</v>
      </c>
      <c r="J248" s="410">
        <f>H248-L248</f>
        <v>7.1700000000000014E-2</v>
      </c>
      <c r="K248" s="418" t="s">
        <v>273</v>
      </c>
      <c r="L248" s="86">
        <v>0.1167</v>
      </c>
      <c r="M248" s="418" t="s">
        <v>58</v>
      </c>
      <c r="N248" s="87">
        <v>63</v>
      </c>
      <c r="O248" s="418" t="s">
        <v>60</v>
      </c>
      <c r="P248" s="87">
        <v>114</v>
      </c>
      <c r="Q248" s="418" t="s">
        <v>61</v>
      </c>
      <c r="R248" s="87">
        <v>127</v>
      </c>
      <c r="S248" s="418" t="s">
        <v>62</v>
      </c>
      <c r="T248" s="87">
        <v>38</v>
      </c>
      <c r="U248" s="418" t="s">
        <v>55</v>
      </c>
      <c r="V248" s="88" t="s">
        <v>120</v>
      </c>
      <c r="W248" s="547" t="s">
        <v>396</v>
      </c>
      <c r="X248" s="549">
        <v>0.69</v>
      </c>
      <c r="Y248" s="547" t="s">
        <v>395</v>
      </c>
      <c r="Z248" s="413">
        <v>12</v>
      </c>
    </row>
    <row r="249" spans="1:26" x14ac:dyDescent="0.25">
      <c r="A249" s="417" t="s">
        <v>33</v>
      </c>
      <c r="B249" s="441">
        <v>0</v>
      </c>
      <c r="C249" s="442">
        <v>0.01</v>
      </c>
      <c r="D249" s="442">
        <v>0.02</v>
      </c>
      <c r="E249" s="442">
        <v>0.05</v>
      </c>
      <c r="F249" s="442">
        <v>0.1</v>
      </c>
      <c r="G249" s="442">
        <v>0.2</v>
      </c>
      <c r="H249" s="442">
        <v>0.3</v>
      </c>
      <c r="I249" s="442">
        <v>0.35</v>
      </c>
      <c r="J249" s="442">
        <v>0.4</v>
      </c>
      <c r="K249" s="442">
        <v>0.45</v>
      </c>
      <c r="L249" s="442">
        <v>0.5</v>
      </c>
      <c r="M249" s="442">
        <v>0.55000000000000004</v>
      </c>
      <c r="N249" s="442">
        <v>0.6</v>
      </c>
      <c r="O249" s="442">
        <v>0.61</v>
      </c>
      <c r="P249" s="442">
        <v>0.63</v>
      </c>
      <c r="Q249" s="442">
        <v>0.64</v>
      </c>
      <c r="R249" s="442">
        <v>0.65</v>
      </c>
      <c r="S249" s="442">
        <v>0.67</v>
      </c>
      <c r="T249" s="442">
        <v>0.68</v>
      </c>
      <c r="U249" s="442">
        <v>0.69</v>
      </c>
      <c r="V249" s="442">
        <f t="shared" ref="V249:X250" si="84">U249</f>
        <v>0.69</v>
      </c>
      <c r="W249" s="442">
        <f t="shared" si="84"/>
        <v>0.69</v>
      </c>
      <c r="X249" s="442">
        <v>2</v>
      </c>
      <c r="Y249" s="444">
        <v>1000</v>
      </c>
    </row>
    <row r="250" spans="1:26" x14ac:dyDescent="0.25">
      <c r="A250" s="434" t="s">
        <v>34</v>
      </c>
      <c r="B250" s="443">
        <v>0</v>
      </c>
      <c r="C250" s="433">
        <v>108.72</v>
      </c>
      <c r="D250" s="433">
        <v>131.19</v>
      </c>
      <c r="E250" s="433">
        <v>153.13999999999999</v>
      </c>
      <c r="F250" s="433">
        <v>168.97</v>
      </c>
      <c r="G250" s="433">
        <v>189.92</v>
      </c>
      <c r="H250" s="433">
        <v>199.95</v>
      </c>
      <c r="I250" s="433">
        <v>203.59</v>
      </c>
      <c r="J250" s="433">
        <v>205.03</v>
      </c>
      <c r="K250" s="433">
        <v>202.6</v>
      </c>
      <c r="L250" s="433">
        <v>203.06</v>
      </c>
      <c r="M250" s="433">
        <v>199.34</v>
      </c>
      <c r="N250" s="433">
        <v>194.71</v>
      </c>
      <c r="O250" s="433">
        <v>194.1</v>
      </c>
      <c r="P250" s="433">
        <v>193.49</v>
      </c>
      <c r="Q250" s="433">
        <v>193.68</v>
      </c>
      <c r="R250" s="433">
        <v>202.91</v>
      </c>
      <c r="S250" s="433">
        <v>163.38999999999999</v>
      </c>
      <c r="T250" s="433">
        <v>80.44</v>
      </c>
      <c r="U250" s="433">
        <v>0</v>
      </c>
      <c r="V250" s="433">
        <f t="shared" si="84"/>
        <v>0</v>
      </c>
      <c r="W250" s="433">
        <f t="shared" si="84"/>
        <v>0</v>
      </c>
      <c r="X250" s="433">
        <f t="shared" si="84"/>
        <v>0</v>
      </c>
      <c r="Y250" s="439">
        <v>0</v>
      </c>
    </row>
    <row r="251" spans="1:26" ht="13.8" thickBot="1" x14ac:dyDescent="0.3">
      <c r="A251" s="435" t="s">
        <v>117</v>
      </c>
      <c r="B251" s="429">
        <f t="shared" ref="B251:X251" si="85">(C250+B250)*(C249-B249)/2</f>
        <v>0.54359999999999997</v>
      </c>
      <c r="C251" s="430">
        <f t="shared" si="85"/>
        <v>1.1995500000000001</v>
      </c>
      <c r="D251" s="430">
        <f t="shared" si="85"/>
        <v>4.2649499999999998</v>
      </c>
      <c r="E251" s="430">
        <f t="shared" si="85"/>
        <v>8.0527500000000014</v>
      </c>
      <c r="F251" s="430">
        <f t="shared" si="85"/>
        <v>17.944500000000001</v>
      </c>
      <c r="G251" s="430">
        <f t="shared" si="85"/>
        <v>19.493499999999997</v>
      </c>
      <c r="H251" s="430">
        <f t="shared" si="85"/>
        <v>10.088499999999996</v>
      </c>
      <c r="I251" s="430">
        <f t="shared" si="85"/>
        <v>10.215500000000009</v>
      </c>
      <c r="J251" s="430">
        <f t="shared" si="85"/>
        <v>10.190749999999998</v>
      </c>
      <c r="K251" s="430">
        <f t="shared" si="85"/>
        <v>10.141499999999997</v>
      </c>
      <c r="L251" s="430">
        <f t="shared" si="85"/>
        <v>10.060000000000008</v>
      </c>
      <c r="M251" s="430">
        <f t="shared" si="85"/>
        <v>9.8512499999999878</v>
      </c>
      <c r="N251" s="430">
        <f t="shared" si="85"/>
        <v>1.9440500000000018</v>
      </c>
      <c r="O251" s="430">
        <f t="shared" si="85"/>
        <v>3.8759000000000037</v>
      </c>
      <c r="P251" s="430">
        <f t="shared" si="85"/>
        <v>1.9358500000000018</v>
      </c>
      <c r="Q251" s="430">
        <f t="shared" si="85"/>
        <v>1.982950000000002</v>
      </c>
      <c r="R251" s="430">
        <f t="shared" si="85"/>
        <v>3.6630000000000029</v>
      </c>
      <c r="S251" s="430">
        <f t="shared" si="85"/>
        <v>1.2191500000000011</v>
      </c>
      <c r="T251" s="430">
        <f t="shared" si="85"/>
        <v>0.40219999999999589</v>
      </c>
      <c r="U251" s="430">
        <f t="shared" si="85"/>
        <v>0</v>
      </c>
      <c r="V251" s="430">
        <f t="shared" si="85"/>
        <v>0</v>
      </c>
      <c r="W251" s="430">
        <f t="shared" si="85"/>
        <v>0</v>
      </c>
      <c r="X251" s="430">
        <f t="shared" si="85"/>
        <v>0</v>
      </c>
      <c r="Y251" s="424"/>
    </row>
    <row r="252" spans="1:26" ht="13.8" thickBot="1" x14ac:dyDescent="0.3">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row>
    <row r="253" spans="1:26" ht="13.8" thickBot="1" x14ac:dyDescent="0.3">
      <c r="A253" s="416" t="s">
        <v>390</v>
      </c>
      <c r="B253" s="414">
        <f>ROW(A253)</f>
        <v>253</v>
      </c>
      <c r="C253" s="418" t="s">
        <v>116</v>
      </c>
      <c r="D253" s="408">
        <f>SUM(B256:Y256)</f>
        <v>142.7236025</v>
      </c>
      <c r="E253" s="418" t="s">
        <v>115</v>
      </c>
      <c r="F253" s="409">
        <v>208</v>
      </c>
      <c r="G253" s="418" t="s">
        <v>57</v>
      </c>
      <c r="H253" s="86">
        <v>0.19700000000000001</v>
      </c>
      <c r="I253" s="418" t="s">
        <v>272</v>
      </c>
      <c r="J253" s="410">
        <f>H253-L253</f>
        <v>7.0000000000000007E-2</v>
      </c>
      <c r="K253" s="418" t="s">
        <v>273</v>
      </c>
      <c r="L253" s="86">
        <v>0.127</v>
      </c>
      <c r="M253" s="418" t="s">
        <v>58</v>
      </c>
      <c r="N253" s="87">
        <v>63</v>
      </c>
      <c r="O253" s="418" t="s">
        <v>60</v>
      </c>
      <c r="P253" s="87">
        <v>114</v>
      </c>
      <c r="Q253" s="418" t="s">
        <v>61</v>
      </c>
      <c r="R253" s="87">
        <v>127</v>
      </c>
      <c r="S253" s="418" t="s">
        <v>62</v>
      </c>
      <c r="T253" s="87">
        <v>38</v>
      </c>
      <c r="U253" s="418" t="s">
        <v>55</v>
      </c>
      <c r="V253" s="88" t="s">
        <v>120</v>
      </c>
      <c r="W253" s="547" t="s">
        <v>396</v>
      </c>
      <c r="X253" s="549">
        <v>1.8</v>
      </c>
      <c r="Y253" s="547" t="s">
        <v>395</v>
      </c>
      <c r="Z253" s="413">
        <v>15</v>
      </c>
    </row>
    <row r="254" spans="1:26" x14ac:dyDescent="0.25">
      <c r="A254" s="417" t="s">
        <v>33</v>
      </c>
      <c r="B254" s="441">
        <v>0</v>
      </c>
      <c r="C254" s="441">
        <v>6.0000000000000001E-3</v>
      </c>
      <c r="D254" s="442">
        <v>1.7999999999999999E-2</v>
      </c>
      <c r="E254" s="442">
        <v>3.5999999999999997E-2</v>
      </c>
      <c r="F254" s="442">
        <v>4.7E-2</v>
      </c>
      <c r="G254" s="442">
        <v>8.4000000000000005E-2</v>
      </c>
      <c r="H254" s="442">
        <v>0.13500000000000001</v>
      </c>
      <c r="I254" s="442">
        <v>0.23799999999999999</v>
      </c>
      <c r="J254" s="442">
        <v>0.438</v>
      </c>
      <c r="K254" s="442">
        <v>0.63</v>
      </c>
      <c r="L254" s="442">
        <v>0.85899999999999999</v>
      </c>
      <c r="M254" s="442">
        <v>1.2829999999999999</v>
      </c>
      <c r="N254" s="442">
        <v>1.4470000000000001</v>
      </c>
      <c r="O254" s="442">
        <v>1.643</v>
      </c>
      <c r="P254" s="442">
        <v>1.7130000000000001</v>
      </c>
      <c r="Q254" s="442">
        <v>1.7430000000000001</v>
      </c>
      <c r="R254" s="442">
        <v>1.79</v>
      </c>
      <c r="S254" s="442">
        <v>1.8180000000000001</v>
      </c>
      <c r="T254" s="442">
        <v>1.8520000000000001</v>
      </c>
      <c r="U254" s="442">
        <v>2</v>
      </c>
      <c r="V254" s="442">
        <f t="shared" ref="V254:X255" si="86">U254</f>
        <v>2</v>
      </c>
      <c r="W254" s="442">
        <f t="shared" si="86"/>
        <v>2</v>
      </c>
      <c r="X254" s="442">
        <f t="shared" si="86"/>
        <v>2</v>
      </c>
      <c r="Y254" s="444">
        <v>1000</v>
      </c>
    </row>
    <row r="255" spans="1:26" x14ac:dyDescent="0.25">
      <c r="A255" s="434" t="s">
        <v>34</v>
      </c>
      <c r="B255" s="443">
        <v>0</v>
      </c>
      <c r="C255" s="443">
        <v>104.068</v>
      </c>
      <c r="D255" s="433">
        <v>137.928</v>
      </c>
      <c r="E255" s="433">
        <v>70.706999999999994</v>
      </c>
      <c r="F255" s="433">
        <v>62.241999999999997</v>
      </c>
      <c r="G255" s="433">
        <v>73.694000000000003</v>
      </c>
      <c r="H255" s="433">
        <v>78.176000000000002</v>
      </c>
      <c r="I255" s="433">
        <v>84.150999999999996</v>
      </c>
      <c r="J255" s="433">
        <v>89.628</v>
      </c>
      <c r="K255" s="433">
        <v>88.135000000000005</v>
      </c>
      <c r="L255" s="433">
        <v>87.138999999999996</v>
      </c>
      <c r="M255" s="433">
        <v>77.180000000000007</v>
      </c>
      <c r="N255" s="433">
        <v>70.706999999999994</v>
      </c>
      <c r="O255" s="433">
        <v>67.718999999999994</v>
      </c>
      <c r="P255" s="433">
        <v>64.233999999999995</v>
      </c>
      <c r="Q255" s="433">
        <v>54.274999999999999</v>
      </c>
      <c r="R255" s="433">
        <v>18.423999999999999</v>
      </c>
      <c r="S255" s="433">
        <v>6.4729999999999999</v>
      </c>
      <c r="T255" s="433">
        <v>0</v>
      </c>
      <c r="U255" s="433">
        <v>0</v>
      </c>
      <c r="V255" s="433">
        <f t="shared" si="86"/>
        <v>0</v>
      </c>
      <c r="W255" s="433">
        <f t="shared" si="86"/>
        <v>0</v>
      </c>
      <c r="X255" s="433">
        <f t="shared" si="86"/>
        <v>0</v>
      </c>
      <c r="Y255" s="439">
        <v>0</v>
      </c>
    </row>
    <row r="256" spans="1:26" ht="13.8" thickBot="1" x14ac:dyDescent="0.3">
      <c r="A256" s="435" t="s">
        <v>117</v>
      </c>
      <c r="B256" s="429">
        <f t="shared" ref="B256:X256" si="87">(C255+B255)*(C254-B254)/2</f>
        <v>0.31220399999999998</v>
      </c>
      <c r="C256" s="430">
        <f t="shared" si="87"/>
        <v>1.4519759999999997</v>
      </c>
      <c r="D256" s="430">
        <f t="shared" si="87"/>
        <v>1.8777149999999998</v>
      </c>
      <c r="E256" s="430">
        <f t="shared" si="87"/>
        <v>0.73121950000000013</v>
      </c>
      <c r="F256" s="430">
        <f t="shared" si="87"/>
        <v>2.5148160000000006</v>
      </c>
      <c r="G256" s="430">
        <f t="shared" si="87"/>
        <v>3.8726850000000006</v>
      </c>
      <c r="H256" s="430">
        <f t="shared" si="87"/>
        <v>8.3598404999999989</v>
      </c>
      <c r="I256" s="430">
        <f t="shared" si="87"/>
        <v>17.3779</v>
      </c>
      <c r="J256" s="430">
        <f t="shared" si="87"/>
        <v>17.065248</v>
      </c>
      <c r="K256" s="430">
        <f t="shared" si="87"/>
        <v>20.068873</v>
      </c>
      <c r="L256" s="430">
        <f t="shared" si="87"/>
        <v>34.835628</v>
      </c>
      <c r="M256" s="430">
        <f t="shared" si="87"/>
        <v>12.126734000000011</v>
      </c>
      <c r="N256" s="430">
        <f t="shared" si="87"/>
        <v>13.565747999999996</v>
      </c>
      <c r="O256" s="430">
        <f t="shared" si="87"/>
        <v>4.6183550000000029</v>
      </c>
      <c r="P256" s="430">
        <f t="shared" si="87"/>
        <v>1.7776350000000014</v>
      </c>
      <c r="Q256" s="430">
        <f t="shared" si="87"/>
        <v>1.7084264999999974</v>
      </c>
      <c r="R256" s="430">
        <f t="shared" si="87"/>
        <v>0.34855800000000031</v>
      </c>
      <c r="S256" s="430">
        <f t="shared" si="87"/>
        <v>0.1100410000000001</v>
      </c>
      <c r="T256" s="430">
        <f t="shared" si="87"/>
        <v>0</v>
      </c>
      <c r="U256" s="430">
        <f t="shared" si="87"/>
        <v>0</v>
      </c>
      <c r="V256" s="430">
        <f t="shared" si="87"/>
        <v>0</v>
      </c>
      <c r="W256" s="430">
        <f t="shared" si="87"/>
        <v>0</v>
      </c>
      <c r="X256" s="430">
        <f t="shared" si="87"/>
        <v>0</v>
      </c>
      <c r="Y256" s="424"/>
    </row>
    <row r="257" spans="1:25" ht="13.8" thickBot="1" x14ac:dyDescent="0.3">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row>
    <row r="258" spans="1:25" ht="13.8" thickBot="1" x14ac:dyDescent="0.3">
      <c r="A258" s="416" t="s">
        <v>275</v>
      </c>
      <c r="B258" s="415">
        <f>ROW(A258)</f>
        <v>258</v>
      </c>
      <c r="C258" s="418" t="s">
        <v>116</v>
      </c>
      <c r="D258" s="408">
        <f>SUM(B261:Y261)</f>
        <v>33.500000000000007</v>
      </c>
      <c r="E258" s="418" t="s">
        <v>115</v>
      </c>
      <c r="F258" s="409">
        <f>D258/g/J258</f>
        <v>68.297655453618759</v>
      </c>
      <c r="G258" s="418" t="s">
        <v>57</v>
      </c>
      <c r="H258" s="86">
        <v>8.5000000000000006E-2</v>
      </c>
      <c r="I258" s="418" t="s">
        <v>272</v>
      </c>
      <c r="J258" s="410">
        <f>H258-L258</f>
        <v>0.05</v>
      </c>
      <c r="K258" s="418" t="s">
        <v>273</v>
      </c>
      <c r="L258" s="86">
        <v>3.5000000000000003E-2</v>
      </c>
      <c r="M258" s="418" t="s">
        <v>58</v>
      </c>
      <c r="N258" s="87">
        <v>20</v>
      </c>
      <c r="O258" s="418" t="s">
        <v>60</v>
      </c>
      <c r="P258" s="87">
        <v>20</v>
      </c>
      <c r="Q258" s="418" t="s">
        <v>61</v>
      </c>
      <c r="R258" s="87">
        <v>39</v>
      </c>
      <c r="S258" s="418" t="s">
        <v>62</v>
      </c>
      <c r="T258" s="87">
        <v>39</v>
      </c>
      <c r="U258" s="418" t="s">
        <v>55</v>
      </c>
      <c r="V258" s="88" t="s">
        <v>403</v>
      </c>
      <c r="W258" s="17"/>
      <c r="X258" s="17"/>
      <c r="Y258" s="17"/>
    </row>
    <row r="259" spans="1:25" x14ac:dyDescent="0.25">
      <c r="A259" s="417" t="s">
        <v>33</v>
      </c>
      <c r="B259" s="425">
        <v>0</v>
      </c>
      <c r="C259" s="426">
        <v>0.05</v>
      </c>
      <c r="D259" s="426">
        <v>0.1</v>
      </c>
      <c r="E259" s="426">
        <v>0.25</v>
      </c>
      <c r="F259" s="426">
        <v>0.3</v>
      </c>
      <c r="G259" s="426">
        <v>0.35</v>
      </c>
      <c r="H259" s="426">
        <v>0.45</v>
      </c>
      <c r="I259" s="426">
        <v>0.55000000000000004</v>
      </c>
      <c r="J259" s="426">
        <v>3.5</v>
      </c>
      <c r="K259" s="426">
        <v>3.6</v>
      </c>
      <c r="L259" s="426">
        <v>3.6</v>
      </c>
      <c r="M259" s="426">
        <v>3.6</v>
      </c>
      <c r="N259" s="426">
        <v>3.6</v>
      </c>
      <c r="O259" s="426">
        <v>3.6</v>
      </c>
      <c r="P259" s="426">
        <v>3.6</v>
      </c>
      <c r="Q259" s="426">
        <v>3.6</v>
      </c>
      <c r="R259" s="426">
        <v>3.6</v>
      </c>
      <c r="S259" s="426">
        <v>3.6</v>
      </c>
      <c r="T259" s="426">
        <v>3.6</v>
      </c>
      <c r="U259" s="426">
        <v>3.6</v>
      </c>
      <c r="V259" s="426">
        <v>3.6</v>
      </c>
      <c r="W259" s="426">
        <v>3.6</v>
      </c>
      <c r="X259" s="426">
        <v>3.6</v>
      </c>
      <c r="Y259" s="437">
        <v>1000</v>
      </c>
    </row>
    <row r="260" spans="1:25" x14ac:dyDescent="0.25">
      <c r="A260" s="434" t="s">
        <v>34</v>
      </c>
      <c r="B260" s="427">
        <v>0</v>
      </c>
      <c r="C260" s="428">
        <v>68</v>
      </c>
      <c r="D260" s="428">
        <v>62</v>
      </c>
      <c r="E260" s="428">
        <v>60</v>
      </c>
      <c r="F260" s="428">
        <v>39</v>
      </c>
      <c r="G260" s="428">
        <v>38</v>
      </c>
      <c r="H260" s="428">
        <v>9</v>
      </c>
      <c r="I260" s="428">
        <v>5</v>
      </c>
      <c r="J260" s="428">
        <v>3</v>
      </c>
      <c r="K260" s="428">
        <v>0</v>
      </c>
      <c r="L260" s="428">
        <v>0</v>
      </c>
      <c r="M260" s="428">
        <v>0</v>
      </c>
      <c r="N260" s="428">
        <v>0</v>
      </c>
      <c r="O260" s="428">
        <v>0</v>
      </c>
      <c r="P260" s="428">
        <v>0</v>
      </c>
      <c r="Q260" s="428">
        <v>0</v>
      </c>
      <c r="R260" s="428">
        <v>0</v>
      </c>
      <c r="S260" s="428">
        <v>0</v>
      </c>
      <c r="T260" s="428">
        <v>0</v>
      </c>
      <c r="U260" s="428">
        <v>0</v>
      </c>
      <c r="V260" s="428">
        <v>0</v>
      </c>
      <c r="W260" s="428">
        <v>0</v>
      </c>
      <c r="X260" s="428">
        <v>0</v>
      </c>
      <c r="Y260" s="438">
        <v>0</v>
      </c>
    </row>
    <row r="261" spans="1:25" ht="13.8" thickBot="1" x14ac:dyDescent="0.3">
      <c r="A261" s="435" t="s">
        <v>117</v>
      </c>
      <c r="B261" s="429">
        <f t="shared" ref="B261:V261" si="88">(C260+B260)*(C259-B259)/2</f>
        <v>1.7000000000000002</v>
      </c>
      <c r="C261" s="430">
        <f t="shared" si="88"/>
        <v>3.25</v>
      </c>
      <c r="D261" s="430">
        <f t="shared" si="88"/>
        <v>9.15</v>
      </c>
      <c r="E261" s="430">
        <f t="shared" si="88"/>
        <v>2.4749999999999996</v>
      </c>
      <c r="F261" s="430">
        <f t="shared" si="88"/>
        <v>1.9249999999999996</v>
      </c>
      <c r="G261" s="430">
        <f t="shared" si="88"/>
        <v>2.350000000000001</v>
      </c>
      <c r="H261" s="430">
        <f t="shared" si="88"/>
        <v>0.70000000000000018</v>
      </c>
      <c r="I261" s="430">
        <f t="shared" si="88"/>
        <v>11.8</v>
      </c>
      <c r="J261" s="430">
        <f t="shared" si="88"/>
        <v>0.15000000000000013</v>
      </c>
      <c r="K261" s="430">
        <f t="shared" si="88"/>
        <v>0</v>
      </c>
      <c r="L261" s="430">
        <f t="shared" si="88"/>
        <v>0</v>
      </c>
      <c r="M261" s="430">
        <f t="shared" si="88"/>
        <v>0</v>
      </c>
      <c r="N261" s="430">
        <f t="shared" si="88"/>
        <v>0</v>
      </c>
      <c r="O261" s="430">
        <f t="shared" si="88"/>
        <v>0</v>
      </c>
      <c r="P261" s="430">
        <f t="shared" si="88"/>
        <v>0</v>
      </c>
      <c r="Q261" s="430">
        <f t="shared" si="88"/>
        <v>0</v>
      </c>
      <c r="R261" s="430">
        <f t="shared" si="88"/>
        <v>0</v>
      </c>
      <c r="S261" s="430">
        <f t="shared" si="88"/>
        <v>0</v>
      </c>
      <c r="T261" s="430">
        <f t="shared" si="88"/>
        <v>0</v>
      </c>
      <c r="U261" s="430">
        <f t="shared" si="88"/>
        <v>0</v>
      </c>
      <c r="V261" s="430">
        <f t="shared" si="88"/>
        <v>0</v>
      </c>
      <c r="W261" s="430">
        <f>(X260+W260)*(X259-W259)/2</f>
        <v>0</v>
      </c>
      <c r="X261" s="430">
        <f>(Y260+X260)*(Y259-X259)/2</f>
        <v>0</v>
      </c>
      <c r="Y261" s="424"/>
    </row>
    <row r="262" spans="1:25" ht="13.8" thickBot="1" x14ac:dyDescent="0.3">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row>
    <row r="263" spans="1:25" ht="13.8" thickBot="1" x14ac:dyDescent="0.3">
      <c r="A263" s="416" t="s">
        <v>276</v>
      </c>
      <c r="B263" s="414">
        <f>ROW(A263)</f>
        <v>263</v>
      </c>
      <c r="C263" s="418" t="s">
        <v>116</v>
      </c>
      <c r="D263" s="408">
        <f>SUM(B266:Y266)</f>
        <v>145.46</v>
      </c>
      <c r="E263" s="418" t="s">
        <v>115</v>
      </c>
      <c r="F263" s="409">
        <f>D263/g/J263</f>
        <v>211.82466870540264</v>
      </c>
      <c r="G263" s="418" t="s">
        <v>57</v>
      </c>
      <c r="H263" s="86">
        <v>0.22</v>
      </c>
      <c r="I263" s="418" t="s">
        <v>272</v>
      </c>
      <c r="J263" s="410">
        <f>H263-L263</f>
        <v>7.0000000000000007E-2</v>
      </c>
      <c r="K263" s="418" t="s">
        <v>273</v>
      </c>
      <c r="L263" s="86">
        <v>0.15</v>
      </c>
      <c r="M263" s="418" t="s">
        <v>58</v>
      </c>
      <c r="N263" s="87">
        <v>50</v>
      </c>
      <c r="O263" s="418" t="s">
        <v>60</v>
      </c>
      <c r="P263" s="87">
        <v>55</v>
      </c>
      <c r="Q263" s="418" t="s">
        <v>61</v>
      </c>
      <c r="R263" s="87">
        <v>76</v>
      </c>
      <c r="S263" s="418" t="s">
        <v>62</v>
      </c>
      <c r="T263" s="87">
        <v>40</v>
      </c>
      <c r="U263" s="418" t="s">
        <v>55</v>
      </c>
      <c r="V263" s="88" t="s">
        <v>403</v>
      </c>
      <c r="W263" s="17"/>
      <c r="X263" s="17"/>
      <c r="Y263" s="17"/>
    </row>
    <row r="264" spans="1:25" x14ac:dyDescent="0.25">
      <c r="A264" s="417" t="s">
        <v>33</v>
      </c>
      <c r="B264" s="425">
        <v>0</v>
      </c>
      <c r="C264" s="426">
        <v>0.02</v>
      </c>
      <c r="D264" s="426">
        <v>0.04</v>
      </c>
      <c r="E264" s="426">
        <v>0.05</v>
      </c>
      <c r="F264" s="426">
        <v>0.06</v>
      </c>
      <c r="G264" s="426">
        <v>0.94</v>
      </c>
      <c r="H264" s="432">
        <v>0.94200000000000006</v>
      </c>
      <c r="I264" s="426">
        <v>0.95</v>
      </c>
      <c r="J264" s="426">
        <v>0.95</v>
      </c>
      <c r="K264" s="426">
        <v>0.95</v>
      </c>
      <c r="L264" s="426">
        <v>0.95</v>
      </c>
      <c r="M264" s="426">
        <v>0.95</v>
      </c>
      <c r="N264" s="426">
        <v>0.95</v>
      </c>
      <c r="O264" s="426">
        <v>0.95</v>
      </c>
      <c r="P264" s="426">
        <v>0.95</v>
      </c>
      <c r="Q264" s="426">
        <v>0.95</v>
      </c>
      <c r="R264" s="426">
        <v>0.95</v>
      </c>
      <c r="S264" s="426">
        <v>0.95</v>
      </c>
      <c r="T264" s="426">
        <v>0.95</v>
      </c>
      <c r="U264" s="426">
        <v>0.95</v>
      </c>
      <c r="V264" s="426">
        <v>0.95</v>
      </c>
      <c r="W264" s="426">
        <v>0.95</v>
      </c>
      <c r="X264" s="426">
        <v>2</v>
      </c>
      <c r="Y264" s="437">
        <v>1000</v>
      </c>
    </row>
    <row r="265" spans="1:25" x14ac:dyDescent="0.25">
      <c r="A265" s="434" t="s">
        <v>34</v>
      </c>
      <c r="B265" s="427">
        <v>0</v>
      </c>
      <c r="C265" s="428">
        <v>320</v>
      </c>
      <c r="D265" s="428">
        <v>170</v>
      </c>
      <c r="E265" s="428">
        <v>205</v>
      </c>
      <c r="F265" s="428">
        <v>217</v>
      </c>
      <c r="G265" s="428">
        <v>85</v>
      </c>
      <c r="H265" s="428">
        <v>82</v>
      </c>
      <c r="I265" s="428">
        <v>0</v>
      </c>
      <c r="J265" s="428">
        <v>0</v>
      </c>
      <c r="K265" s="428">
        <v>0</v>
      </c>
      <c r="L265" s="428">
        <v>0</v>
      </c>
      <c r="M265" s="428">
        <v>0</v>
      </c>
      <c r="N265" s="428">
        <v>0</v>
      </c>
      <c r="O265" s="428">
        <v>0</v>
      </c>
      <c r="P265" s="428">
        <v>0</v>
      </c>
      <c r="Q265" s="428">
        <v>0</v>
      </c>
      <c r="R265" s="428">
        <v>0</v>
      </c>
      <c r="S265" s="428">
        <v>0</v>
      </c>
      <c r="T265" s="428">
        <v>0</v>
      </c>
      <c r="U265" s="428">
        <v>0</v>
      </c>
      <c r="V265" s="428">
        <v>0</v>
      </c>
      <c r="W265" s="428">
        <v>0</v>
      </c>
      <c r="X265" s="428">
        <v>0</v>
      </c>
      <c r="Y265" s="438">
        <v>0</v>
      </c>
    </row>
    <row r="266" spans="1:25" ht="13.8" thickBot="1" x14ac:dyDescent="0.3">
      <c r="A266" s="435" t="s">
        <v>117</v>
      </c>
      <c r="B266" s="429">
        <f t="shared" ref="B266:H266" si="89">(C265+B265)*(C264-B264)/2</f>
        <v>3.2</v>
      </c>
      <c r="C266" s="430">
        <f t="shared" si="89"/>
        <v>4.9000000000000004</v>
      </c>
      <c r="D266" s="430">
        <f t="shared" si="89"/>
        <v>1.8750000000000004</v>
      </c>
      <c r="E266" s="430">
        <f t="shared" si="89"/>
        <v>2.109999999999999</v>
      </c>
      <c r="F266" s="430">
        <f t="shared" si="89"/>
        <v>132.88</v>
      </c>
      <c r="G266" s="430">
        <f t="shared" si="89"/>
        <v>0.16700000000000942</v>
      </c>
      <c r="H266" s="430">
        <f t="shared" si="89"/>
        <v>0.32799999999999574</v>
      </c>
      <c r="I266" s="430">
        <f t="shared" ref="I266:V266" si="90">(J265+I265)*(J264-I264)/2</f>
        <v>0</v>
      </c>
      <c r="J266" s="430">
        <f>(K265+J265)*(K264-J264)/2</f>
        <v>0</v>
      </c>
      <c r="K266" s="430">
        <f t="shared" si="90"/>
        <v>0</v>
      </c>
      <c r="L266" s="430">
        <f t="shared" si="90"/>
        <v>0</v>
      </c>
      <c r="M266" s="430">
        <f t="shared" si="90"/>
        <v>0</v>
      </c>
      <c r="N266" s="430">
        <f t="shared" si="90"/>
        <v>0</v>
      </c>
      <c r="O266" s="430">
        <f t="shared" si="90"/>
        <v>0</v>
      </c>
      <c r="P266" s="430">
        <f t="shared" si="90"/>
        <v>0</v>
      </c>
      <c r="Q266" s="430">
        <f t="shared" si="90"/>
        <v>0</v>
      </c>
      <c r="R266" s="430">
        <f t="shared" si="90"/>
        <v>0</v>
      </c>
      <c r="S266" s="430">
        <f>(T265+S265)*(T264-S264)/2</f>
        <v>0</v>
      </c>
      <c r="T266" s="430">
        <f t="shared" si="90"/>
        <v>0</v>
      </c>
      <c r="U266" s="430">
        <f t="shared" si="90"/>
        <v>0</v>
      </c>
      <c r="V266" s="430">
        <f t="shared" si="90"/>
        <v>0</v>
      </c>
      <c r="W266" s="430">
        <f>(X265+W265)*(X264-W264)/2</f>
        <v>0</v>
      </c>
      <c r="X266" s="430">
        <f>(Y265+X265)*(Y264-X264)/2</f>
        <v>0</v>
      </c>
      <c r="Y266" s="424"/>
    </row>
    <row r="267" spans="1:25" x14ac:dyDescent="0.25">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row>
    <row r="268" spans="1:25" ht="13.8" thickBot="1" x14ac:dyDescent="0.3">
      <c r="A268" s="492" t="s">
        <v>314</v>
      </c>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row>
    <row r="269" spans="1:25" ht="13.8" thickBot="1" x14ac:dyDescent="0.3">
      <c r="A269" s="416" t="s">
        <v>35</v>
      </c>
      <c r="B269" s="414">
        <f>ROW(A269)</f>
        <v>269</v>
      </c>
      <c r="C269" s="418" t="s">
        <v>116</v>
      </c>
      <c r="D269" s="408">
        <f>SUM(B272:Y272)</f>
        <v>1071.5999999999999</v>
      </c>
      <c r="E269" s="418" t="s">
        <v>115</v>
      </c>
      <c r="F269" s="409">
        <f>D269/g/J269</f>
        <v>163.03802090465106</v>
      </c>
      <c r="G269" s="418" t="s">
        <v>57</v>
      </c>
      <c r="H269" s="86">
        <v>2.02</v>
      </c>
      <c r="I269" s="418" t="s">
        <v>272</v>
      </c>
      <c r="J269" s="410">
        <f>H269-L269</f>
        <v>0.66999999999999993</v>
      </c>
      <c r="K269" s="418" t="s">
        <v>273</v>
      </c>
      <c r="L269" s="86">
        <v>1.35</v>
      </c>
      <c r="M269" s="418" t="s">
        <v>58</v>
      </c>
      <c r="N269" s="87">
        <v>154</v>
      </c>
      <c r="O269" s="418" t="s">
        <v>60</v>
      </c>
      <c r="P269" s="87">
        <v>168</v>
      </c>
      <c r="Q269" s="418" t="s">
        <v>61</v>
      </c>
      <c r="R269" s="87">
        <v>230</v>
      </c>
      <c r="S269" s="418" t="s">
        <v>62</v>
      </c>
      <c r="T269" s="87">
        <v>67</v>
      </c>
      <c r="U269" s="418" t="s">
        <v>55</v>
      </c>
      <c r="V269" s="88" t="s">
        <v>119</v>
      </c>
      <c r="W269" s="17"/>
      <c r="X269" s="17"/>
      <c r="Y269" s="17"/>
    </row>
    <row r="270" spans="1:25" x14ac:dyDescent="0.25">
      <c r="A270" s="417" t="s">
        <v>33</v>
      </c>
      <c r="B270" s="425">
        <v>0</v>
      </c>
      <c r="C270" s="426">
        <v>0.02</v>
      </c>
      <c r="D270" s="426">
        <v>0.05</v>
      </c>
      <c r="E270" s="426">
        <v>0.06</v>
      </c>
      <c r="F270" s="426">
        <v>0.09</v>
      </c>
      <c r="G270" s="426">
        <v>0.17</v>
      </c>
      <c r="H270" s="426">
        <v>0.2</v>
      </c>
      <c r="I270" s="426">
        <v>0.38</v>
      </c>
      <c r="J270" s="426">
        <v>0.75</v>
      </c>
      <c r="K270" s="426">
        <v>0.79</v>
      </c>
      <c r="L270" s="426">
        <v>1.1299999999999999</v>
      </c>
      <c r="M270" s="426">
        <v>1.2</v>
      </c>
      <c r="N270" s="426">
        <v>1.5</v>
      </c>
      <c r="O270" s="426">
        <v>1.54</v>
      </c>
      <c r="P270" s="426">
        <v>1.65</v>
      </c>
      <c r="Q270" s="426">
        <v>1.7</v>
      </c>
      <c r="R270" s="426">
        <v>1.79</v>
      </c>
      <c r="S270" s="426">
        <v>1.79</v>
      </c>
      <c r="T270" s="426">
        <v>1.79</v>
      </c>
      <c r="U270" s="426">
        <v>1.79</v>
      </c>
      <c r="V270" s="426">
        <v>1.79</v>
      </c>
      <c r="W270" s="426">
        <v>1.79</v>
      </c>
      <c r="X270" s="426">
        <v>1.79</v>
      </c>
      <c r="Y270" s="437">
        <v>1000</v>
      </c>
    </row>
    <row r="271" spans="1:25" x14ac:dyDescent="0.25">
      <c r="A271" s="434" t="s">
        <v>34</v>
      </c>
      <c r="B271" s="427">
        <v>0</v>
      </c>
      <c r="C271" s="428">
        <v>20</v>
      </c>
      <c r="D271" s="428">
        <v>870</v>
      </c>
      <c r="E271" s="428">
        <v>530</v>
      </c>
      <c r="F271" s="428">
        <v>790</v>
      </c>
      <c r="G271" s="428">
        <v>700</v>
      </c>
      <c r="H271" s="428">
        <v>710</v>
      </c>
      <c r="I271" s="428">
        <v>670</v>
      </c>
      <c r="J271" s="428">
        <v>630</v>
      </c>
      <c r="K271" s="428">
        <v>630</v>
      </c>
      <c r="L271" s="433">
        <v>710</v>
      </c>
      <c r="M271" s="433">
        <v>690</v>
      </c>
      <c r="N271" s="433">
        <v>690</v>
      </c>
      <c r="O271" s="433">
        <v>660</v>
      </c>
      <c r="P271" s="433">
        <v>160</v>
      </c>
      <c r="Q271" s="433">
        <v>10</v>
      </c>
      <c r="R271" s="433">
        <v>0</v>
      </c>
      <c r="S271" s="433">
        <v>0</v>
      </c>
      <c r="T271" s="433">
        <v>0</v>
      </c>
      <c r="U271" s="433">
        <v>0</v>
      </c>
      <c r="V271" s="433">
        <v>0</v>
      </c>
      <c r="W271" s="433">
        <v>0</v>
      </c>
      <c r="X271" s="433">
        <v>0</v>
      </c>
      <c r="Y271" s="439">
        <v>0</v>
      </c>
    </row>
    <row r="272" spans="1:25" ht="13.8" thickBot="1" x14ac:dyDescent="0.3">
      <c r="A272" s="435" t="s">
        <v>117</v>
      </c>
      <c r="B272" s="429">
        <f t="shared" ref="B272:Q272" si="91">(C271+B271)*(C270-B270)/2</f>
        <v>0.2</v>
      </c>
      <c r="C272" s="430">
        <f t="shared" si="91"/>
        <v>13.350000000000001</v>
      </c>
      <c r="D272" s="430">
        <f t="shared" si="91"/>
        <v>6.9999999999999964</v>
      </c>
      <c r="E272" s="430">
        <f t="shared" si="91"/>
        <v>19.8</v>
      </c>
      <c r="F272" s="430">
        <f t="shared" si="91"/>
        <v>59.600000000000009</v>
      </c>
      <c r="G272" s="430">
        <f t="shared" si="91"/>
        <v>21.15</v>
      </c>
      <c r="H272" s="430">
        <f t="shared" si="91"/>
        <v>124.19999999999999</v>
      </c>
      <c r="I272" s="430">
        <f t="shared" si="91"/>
        <v>240.5</v>
      </c>
      <c r="J272" s="430">
        <f>(K271+J271)*(K270-J270)/2</f>
        <v>25.200000000000024</v>
      </c>
      <c r="K272" s="430">
        <f t="shared" si="91"/>
        <v>227.7999999999999</v>
      </c>
      <c r="L272" s="430">
        <f t="shared" si="91"/>
        <v>49.000000000000043</v>
      </c>
      <c r="M272" s="430">
        <f t="shared" si="91"/>
        <v>207.00000000000003</v>
      </c>
      <c r="N272" s="430">
        <f t="shared" si="91"/>
        <v>27.000000000000025</v>
      </c>
      <c r="O272" s="430">
        <f t="shared" si="91"/>
        <v>45.099999999999952</v>
      </c>
      <c r="P272" s="430">
        <f t="shared" si="91"/>
        <v>4.2500000000000036</v>
      </c>
      <c r="Q272" s="430">
        <f t="shared" si="91"/>
        <v>0.4500000000000004</v>
      </c>
      <c r="R272" s="430">
        <f t="shared" ref="R272:X272" si="92">(S271+R271)*(S270-R270)/2</f>
        <v>0</v>
      </c>
      <c r="S272" s="430">
        <f t="shared" si="92"/>
        <v>0</v>
      </c>
      <c r="T272" s="430">
        <f t="shared" si="92"/>
        <v>0</v>
      </c>
      <c r="U272" s="430">
        <f t="shared" si="92"/>
        <v>0</v>
      </c>
      <c r="V272" s="430">
        <f t="shared" si="92"/>
        <v>0</v>
      </c>
      <c r="W272" s="430">
        <f t="shared" si="92"/>
        <v>0</v>
      </c>
      <c r="X272" s="430">
        <f t="shared" si="92"/>
        <v>0</v>
      </c>
      <c r="Y272" s="440"/>
    </row>
    <row r="273" spans="1:25" ht="13.8" thickBot="1" x14ac:dyDescent="0.3">
      <c r="S273" s="17"/>
      <c r="T273" s="17"/>
      <c r="U273" s="17"/>
      <c r="V273" s="17"/>
      <c r="W273" s="112"/>
      <c r="X273" s="112"/>
      <c r="Y273" s="17"/>
    </row>
    <row r="274" spans="1:25" ht="13.8" thickBot="1" x14ac:dyDescent="0.3">
      <c r="A274" s="416" t="s">
        <v>36</v>
      </c>
      <c r="B274" s="414">
        <f>ROW(A274)</f>
        <v>274</v>
      </c>
      <c r="C274" s="418" t="s">
        <v>116</v>
      </c>
      <c r="D274" s="408">
        <f>SUM(B277:Y277)</f>
        <v>2102.35</v>
      </c>
      <c r="E274" s="418" t="s">
        <v>115</v>
      </c>
      <c r="F274" s="409">
        <f>D274/g/J274</f>
        <v>174.23319493133766</v>
      </c>
      <c r="G274" s="418" t="s">
        <v>57</v>
      </c>
      <c r="H274" s="86">
        <v>3.7</v>
      </c>
      <c r="I274" s="418" t="s">
        <v>272</v>
      </c>
      <c r="J274" s="410">
        <f>H274-L274</f>
        <v>1.23</v>
      </c>
      <c r="K274" s="418" t="s">
        <v>273</v>
      </c>
      <c r="L274" s="86">
        <v>2.4700000000000002</v>
      </c>
      <c r="M274" s="418" t="s">
        <v>58</v>
      </c>
      <c r="N274" s="87">
        <v>151</v>
      </c>
      <c r="O274" s="418" t="s">
        <v>60</v>
      </c>
      <c r="P274" s="87">
        <v>171</v>
      </c>
      <c r="Q274" s="418" t="s">
        <v>61</v>
      </c>
      <c r="R274" s="87">
        <v>247</v>
      </c>
      <c r="S274" s="418" t="s">
        <v>62</v>
      </c>
      <c r="T274" s="87">
        <v>90</v>
      </c>
      <c r="U274" s="418" t="s">
        <v>55</v>
      </c>
      <c r="V274" s="88" t="s">
        <v>119</v>
      </c>
      <c r="W274" s="17"/>
      <c r="X274" s="17"/>
      <c r="Y274" s="17"/>
    </row>
    <row r="275" spans="1:25" x14ac:dyDescent="0.25">
      <c r="A275" s="417" t="s">
        <v>33</v>
      </c>
      <c r="B275" s="425">
        <v>0</v>
      </c>
      <c r="C275" s="426">
        <v>0.05</v>
      </c>
      <c r="D275" s="426">
        <v>0.1</v>
      </c>
      <c r="E275" s="426">
        <v>1</v>
      </c>
      <c r="F275" s="426">
        <v>1.35</v>
      </c>
      <c r="G275" s="426">
        <v>1.75</v>
      </c>
      <c r="H275" s="426">
        <v>2.15</v>
      </c>
      <c r="I275" s="426">
        <v>2.25</v>
      </c>
      <c r="J275" s="426">
        <v>2.48</v>
      </c>
      <c r="K275" s="426">
        <v>2.6</v>
      </c>
      <c r="L275" s="426">
        <v>2.8</v>
      </c>
      <c r="M275" s="426">
        <v>2.8</v>
      </c>
      <c r="N275" s="426">
        <v>2.8</v>
      </c>
      <c r="O275" s="426">
        <v>2.8</v>
      </c>
      <c r="P275" s="426">
        <v>2.8</v>
      </c>
      <c r="Q275" s="426">
        <v>2.8</v>
      </c>
      <c r="R275" s="426">
        <v>2.8</v>
      </c>
      <c r="S275" s="426">
        <v>2.8</v>
      </c>
      <c r="T275" s="426">
        <v>2.8</v>
      </c>
      <c r="U275" s="426">
        <v>2.8</v>
      </c>
      <c r="V275" s="426">
        <v>2.8</v>
      </c>
      <c r="W275" s="426">
        <v>2.8</v>
      </c>
      <c r="X275" s="426">
        <v>2.8</v>
      </c>
      <c r="Y275" s="437">
        <v>1000</v>
      </c>
    </row>
    <row r="276" spans="1:25" x14ac:dyDescent="0.25">
      <c r="A276" s="434" t="s">
        <v>34</v>
      </c>
      <c r="B276" s="427">
        <v>0</v>
      </c>
      <c r="C276" s="428">
        <v>860</v>
      </c>
      <c r="D276" s="428">
        <v>840</v>
      </c>
      <c r="E276" s="428">
        <v>840</v>
      </c>
      <c r="F276" s="428">
        <v>850</v>
      </c>
      <c r="G276" s="428">
        <v>900</v>
      </c>
      <c r="H276" s="428">
        <v>1050</v>
      </c>
      <c r="I276" s="428">
        <v>1020</v>
      </c>
      <c r="J276" s="428">
        <v>120</v>
      </c>
      <c r="K276" s="428">
        <v>30</v>
      </c>
      <c r="L276" s="428">
        <v>0</v>
      </c>
      <c r="M276" s="428">
        <v>0</v>
      </c>
      <c r="N276" s="428">
        <v>0</v>
      </c>
      <c r="O276" s="428">
        <v>0</v>
      </c>
      <c r="P276" s="428">
        <v>0</v>
      </c>
      <c r="Q276" s="428">
        <v>0</v>
      </c>
      <c r="R276" s="428">
        <v>0</v>
      </c>
      <c r="S276" s="428">
        <v>0</v>
      </c>
      <c r="T276" s="428">
        <v>0</v>
      </c>
      <c r="U276" s="428">
        <v>0</v>
      </c>
      <c r="V276" s="428">
        <v>0</v>
      </c>
      <c r="W276" s="428">
        <v>0</v>
      </c>
      <c r="X276" s="428">
        <v>0</v>
      </c>
      <c r="Y276" s="438">
        <v>0</v>
      </c>
    </row>
    <row r="277" spans="1:25" ht="13.8" thickBot="1" x14ac:dyDescent="0.3">
      <c r="A277" s="435" t="s">
        <v>117</v>
      </c>
      <c r="B277" s="429">
        <f t="shared" ref="B277:K277" si="93">(C276+B276)*(C275-B275)/2</f>
        <v>21.5</v>
      </c>
      <c r="C277" s="430">
        <f t="shared" si="93"/>
        <v>42.5</v>
      </c>
      <c r="D277" s="430">
        <f t="shared" si="93"/>
        <v>756</v>
      </c>
      <c r="E277" s="430">
        <f t="shared" si="93"/>
        <v>295.75000000000006</v>
      </c>
      <c r="F277" s="430">
        <f t="shared" si="93"/>
        <v>349.99999999999994</v>
      </c>
      <c r="G277" s="430">
        <f t="shared" si="93"/>
        <v>389.99999999999989</v>
      </c>
      <c r="H277" s="430">
        <f t="shared" si="93"/>
        <v>103.50000000000009</v>
      </c>
      <c r="I277" s="430">
        <f t="shared" si="93"/>
        <v>131.1</v>
      </c>
      <c r="J277" s="430">
        <f>(K276+J276)*(K275-J275)/2</f>
        <v>9.0000000000000071</v>
      </c>
      <c r="K277" s="430">
        <f t="shared" si="93"/>
        <v>2.999999999999996</v>
      </c>
      <c r="L277" s="430">
        <f t="shared" ref="L277:V277" si="94">(M276+L276)*(M275-L275)/2</f>
        <v>0</v>
      </c>
      <c r="M277" s="430">
        <f t="shared" si="94"/>
        <v>0</v>
      </c>
      <c r="N277" s="430">
        <f t="shared" si="94"/>
        <v>0</v>
      </c>
      <c r="O277" s="430">
        <f t="shared" si="94"/>
        <v>0</v>
      </c>
      <c r="P277" s="430">
        <f t="shared" si="94"/>
        <v>0</v>
      </c>
      <c r="Q277" s="430">
        <f t="shared" si="94"/>
        <v>0</v>
      </c>
      <c r="R277" s="430">
        <f t="shared" si="94"/>
        <v>0</v>
      </c>
      <c r="S277" s="430">
        <f>(T276+S276)*(T275-S275)/2</f>
        <v>0</v>
      </c>
      <c r="T277" s="430">
        <f t="shared" si="94"/>
        <v>0</v>
      </c>
      <c r="U277" s="430">
        <f t="shared" si="94"/>
        <v>0</v>
      </c>
      <c r="V277" s="430">
        <f t="shared" si="94"/>
        <v>0</v>
      </c>
      <c r="W277" s="430">
        <f>(X276+W276)*(X275-W275)/2</f>
        <v>0</v>
      </c>
      <c r="X277" s="430">
        <f>(Y276+X276)*(Y275-X275)/2</f>
        <v>0</v>
      </c>
      <c r="Y277" s="424"/>
    </row>
    <row r="278" spans="1:25" ht="13.8" thickBot="1" x14ac:dyDescent="0.3"/>
    <row r="279" spans="1:25" ht="13.8" thickBot="1" x14ac:dyDescent="0.3">
      <c r="A279" s="416" t="s">
        <v>554</v>
      </c>
      <c r="B279" s="414">
        <f>ROW(A279)</f>
        <v>279</v>
      </c>
      <c r="C279" s="418" t="s">
        <v>116</v>
      </c>
      <c r="D279" s="408">
        <f>SUM(B282:Y282)</f>
        <v>2058.37</v>
      </c>
      <c r="E279" s="418" t="s">
        <v>115</v>
      </c>
      <c r="F279" s="409">
        <f>D279/g/J279</f>
        <v>203.12066731598335</v>
      </c>
      <c r="G279" s="418" t="s">
        <v>57</v>
      </c>
      <c r="H279" s="86">
        <v>1.6850000000000001</v>
      </c>
      <c r="I279" s="418" t="s">
        <v>272</v>
      </c>
      <c r="J279" s="410">
        <f>H279-L279</f>
        <v>1.0329999999999999</v>
      </c>
      <c r="K279" s="418" t="s">
        <v>273</v>
      </c>
      <c r="L279" s="86">
        <v>0.65200000000000002</v>
      </c>
      <c r="M279" s="418" t="s">
        <v>58</v>
      </c>
      <c r="N279" s="87">
        <v>250</v>
      </c>
      <c r="O279" s="418" t="s">
        <v>60</v>
      </c>
      <c r="P279" s="87">
        <v>240</v>
      </c>
      <c r="Q279" s="418" t="s">
        <v>61</v>
      </c>
      <c r="R279" s="87">
        <v>488</v>
      </c>
      <c r="S279" s="418" t="s">
        <v>62</v>
      </c>
      <c r="T279" s="87">
        <v>54</v>
      </c>
      <c r="U279" s="418" t="s">
        <v>55</v>
      </c>
      <c r="V279" s="88" t="s">
        <v>119</v>
      </c>
      <c r="W279" s="17"/>
      <c r="X279" s="17"/>
      <c r="Y279" s="17"/>
    </row>
    <row r="280" spans="1:25" x14ac:dyDescent="0.25">
      <c r="A280" s="417" t="s">
        <v>33</v>
      </c>
      <c r="B280" s="425">
        <v>0</v>
      </c>
      <c r="C280" s="426">
        <v>0.05</v>
      </c>
      <c r="D280" s="426">
        <v>0.5</v>
      </c>
      <c r="E280" s="426">
        <v>1</v>
      </c>
      <c r="F280" s="426">
        <v>1.5</v>
      </c>
      <c r="G280" s="426">
        <v>2</v>
      </c>
      <c r="H280" s="426">
        <v>2.5</v>
      </c>
      <c r="I280" s="426">
        <v>2.97</v>
      </c>
      <c r="J280" s="426">
        <v>3.2</v>
      </c>
      <c r="K280" s="426">
        <v>3.47</v>
      </c>
      <c r="L280" s="426">
        <v>3.59</v>
      </c>
      <c r="M280" s="426">
        <v>3.59</v>
      </c>
      <c r="N280" s="426">
        <v>3.59</v>
      </c>
      <c r="O280" s="426">
        <v>3.59</v>
      </c>
      <c r="P280" s="426">
        <v>3.59</v>
      </c>
      <c r="Q280" s="426">
        <v>3.59</v>
      </c>
      <c r="R280" s="426">
        <v>3.59</v>
      </c>
      <c r="S280" s="426">
        <v>3.59</v>
      </c>
      <c r="T280" s="426">
        <v>3.59</v>
      </c>
      <c r="U280" s="426">
        <v>3.59</v>
      </c>
      <c r="V280" s="426">
        <v>3.59</v>
      </c>
      <c r="W280" s="426">
        <v>3.59</v>
      </c>
      <c r="X280" s="426">
        <v>3.59</v>
      </c>
      <c r="Y280" s="437">
        <v>1000</v>
      </c>
    </row>
    <row r="281" spans="1:25" x14ac:dyDescent="0.25">
      <c r="A281" s="434" t="s">
        <v>34</v>
      </c>
      <c r="B281" s="427">
        <v>0</v>
      </c>
      <c r="C281" s="428">
        <v>893</v>
      </c>
      <c r="D281" s="428">
        <v>798</v>
      </c>
      <c r="E281" s="428">
        <v>739</v>
      </c>
      <c r="F281" s="428">
        <v>659</v>
      </c>
      <c r="G281" s="428">
        <v>586</v>
      </c>
      <c r="H281" s="428">
        <v>513</v>
      </c>
      <c r="I281" s="428">
        <v>417</v>
      </c>
      <c r="J281" s="428">
        <v>225</v>
      </c>
      <c r="K281" s="428">
        <v>67</v>
      </c>
      <c r="L281" s="428">
        <v>0</v>
      </c>
      <c r="M281" s="428">
        <v>0</v>
      </c>
      <c r="N281" s="428">
        <v>0</v>
      </c>
      <c r="O281" s="428">
        <v>0</v>
      </c>
      <c r="P281" s="428">
        <v>0</v>
      </c>
      <c r="Q281" s="428">
        <v>0</v>
      </c>
      <c r="R281" s="428">
        <v>0</v>
      </c>
      <c r="S281" s="428">
        <v>0</v>
      </c>
      <c r="T281" s="428">
        <v>0</v>
      </c>
      <c r="U281" s="428">
        <v>0</v>
      </c>
      <c r="V281" s="428">
        <v>0</v>
      </c>
      <c r="W281" s="428">
        <v>0</v>
      </c>
      <c r="X281" s="428">
        <v>0</v>
      </c>
      <c r="Y281" s="438">
        <v>0</v>
      </c>
    </row>
    <row r="282" spans="1:25" ht="13.8" thickBot="1" x14ac:dyDescent="0.3">
      <c r="A282" s="436" t="s">
        <v>117</v>
      </c>
      <c r="B282" s="429">
        <f t="shared" ref="B282:V282" si="95">(C281+B281)*(C280-B280)/2</f>
        <v>22.325000000000003</v>
      </c>
      <c r="C282" s="430">
        <f t="shared" si="95"/>
        <v>380.47500000000002</v>
      </c>
      <c r="D282" s="430">
        <f t="shared" si="95"/>
        <v>384.25</v>
      </c>
      <c r="E282" s="430">
        <f t="shared" si="95"/>
        <v>349.5</v>
      </c>
      <c r="F282" s="430">
        <f t="shared" si="95"/>
        <v>311.25</v>
      </c>
      <c r="G282" s="430">
        <f t="shared" si="95"/>
        <v>274.75</v>
      </c>
      <c r="H282" s="430">
        <f t="shared" si="95"/>
        <v>218.5500000000001</v>
      </c>
      <c r="I282" s="430">
        <f t="shared" si="95"/>
        <v>73.83</v>
      </c>
      <c r="J282" s="430">
        <f>(K281+J281)*(K280-J280)/2</f>
        <v>39.42</v>
      </c>
      <c r="K282" s="430">
        <f t="shared" si="95"/>
        <v>4.0199999999999889</v>
      </c>
      <c r="L282" s="430">
        <f t="shared" si="95"/>
        <v>0</v>
      </c>
      <c r="M282" s="430">
        <f t="shared" si="95"/>
        <v>0</v>
      </c>
      <c r="N282" s="430">
        <f t="shared" si="95"/>
        <v>0</v>
      </c>
      <c r="O282" s="430">
        <f t="shared" si="95"/>
        <v>0</v>
      </c>
      <c r="P282" s="430">
        <f t="shared" si="95"/>
        <v>0</v>
      </c>
      <c r="Q282" s="430">
        <f t="shared" si="95"/>
        <v>0</v>
      </c>
      <c r="R282" s="430">
        <f t="shared" si="95"/>
        <v>0</v>
      </c>
      <c r="S282" s="430">
        <f>(T281+S281)*(T280-S280)/2</f>
        <v>0</v>
      </c>
      <c r="T282" s="430">
        <f t="shared" si="95"/>
        <v>0</v>
      </c>
      <c r="U282" s="430">
        <f t="shared" si="95"/>
        <v>0</v>
      </c>
      <c r="V282" s="430">
        <f t="shared" si="95"/>
        <v>0</v>
      </c>
      <c r="W282" s="430">
        <f>(X281+W281)*(X280-W280)/2</f>
        <v>0</v>
      </c>
      <c r="X282" s="430">
        <f>(Y281+X281)*(Y280-X280)/2</f>
        <v>0</v>
      </c>
      <c r="Y282" s="424"/>
    </row>
    <row r="283" spans="1:25" ht="13.8" thickBot="1" x14ac:dyDescent="0.3">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row>
    <row r="284" spans="1:25" ht="13.8" thickBot="1" x14ac:dyDescent="0.3">
      <c r="A284" s="416" t="s">
        <v>37</v>
      </c>
      <c r="B284" s="414">
        <f>ROW(A284)</f>
        <v>284</v>
      </c>
      <c r="C284" s="418" t="s">
        <v>116</v>
      </c>
      <c r="D284" s="408">
        <f>SUM(B287:Y287)</f>
        <v>2486.041999999999</v>
      </c>
      <c r="E284" s="418" t="s">
        <v>115</v>
      </c>
      <c r="F284" s="409">
        <f>D284/g/J284</f>
        <v>199.54264891200521</v>
      </c>
      <c r="G284" s="418" t="s">
        <v>57</v>
      </c>
      <c r="H284" s="86">
        <v>2.59</v>
      </c>
      <c r="I284" s="418" t="s">
        <v>272</v>
      </c>
      <c r="J284" s="410">
        <f>H284-L284</f>
        <v>1.2699999999999998</v>
      </c>
      <c r="K284" s="418" t="s">
        <v>273</v>
      </c>
      <c r="L284" s="86">
        <v>1.32</v>
      </c>
      <c r="M284" s="418" t="s">
        <v>58</v>
      </c>
      <c r="N284" s="87">
        <v>175</v>
      </c>
      <c r="O284" s="418" t="s">
        <v>60</v>
      </c>
      <c r="P284" s="87">
        <v>175</v>
      </c>
      <c r="Q284" s="418" t="s">
        <v>61</v>
      </c>
      <c r="R284" s="87">
        <v>350</v>
      </c>
      <c r="S284" s="418" t="s">
        <v>62</v>
      </c>
      <c r="T284" s="87">
        <v>75</v>
      </c>
      <c r="U284" s="418" t="s">
        <v>55</v>
      </c>
      <c r="V284" s="88" t="s">
        <v>119</v>
      </c>
      <c r="W284" s="17"/>
      <c r="X284" s="17"/>
      <c r="Y284" s="17"/>
    </row>
    <row r="285" spans="1:25" x14ac:dyDescent="0.25">
      <c r="A285" s="417" t="s">
        <v>33</v>
      </c>
      <c r="B285" s="425">
        <v>0</v>
      </c>
      <c r="C285" s="426">
        <v>0.04</v>
      </c>
      <c r="D285" s="426">
        <v>7.0000000000000007E-2</v>
      </c>
      <c r="E285" s="426">
        <v>0.1</v>
      </c>
      <c r="F285" s="426">
        <v>0.21</v>
      </c>
      <c r="G285" s="426">
        <v>0.35</v>
      </c>
      <c r="H285" s="426">
        <v>0.53</v>
      </c>
      <c r="I285" s="426">
        <v>0.82</v>
      </c>
      <c r="J285" s="426">
        <v>1.18</v>
      </c>
      <c r="K285" s="426">
        <v>1.72</v>
      </c>
      <c r="L285" s="426">
        <v>2.15</v>
      </c>
      <c r="M285" s="426">
        <v>2.39</v>
      </c>
      <c r="N285" s="426">
        <v>2.9</v>
      </c>
      <c r="O285" s="426">
        <v>3.07</v>
      </c>
      <c r="P285" s="426">
        <v>3.56</v>
      </c>
      <c r="Q285" s="426">
        <v>3.98</v>
      </c>
      <c r="R285" s="426">
        <v>4.32</v>
      </c>
      <c r="S285" s="426">
        <v>4.4800000000000004</v>
      </c>
      <c r="T285" s="426">
        <v>4.5999999999999996</v>
      </c>
      <c r="U285" s="426">
        <v>4.6500000000000004</v>
      </c>
      <c r="V285" s="426">
        <v>4.8</v>
      </c>
      <c r="W285" s="426">
        <v>4.83</v>
      </c>
      <c r="X285" s="426">
        <v>4.84</v>
      </c>
      <c r="Y285" s="437">
        <v>1000</v>
      </c>
    </row>
    <row r="286" spans="1:25" x14ac:dyDescent="0.25">
      <c r="A286" s="434" t="s">
        <v>34</v>
      </c>
      <c r="B286" s="427">
        <v>0</v>
      </c>
      <c r="C286" s="428">
        <v>394.4</v>
      </c>
      <c r="D286" s="428">
        <v>617.70000000000005</v>
      </c>
      <c r="E286" s="428">
        <v>645.1</v>
      </c>
      <c r="F286" s="428">
        <v>658.2</v>
      </c>
      <c r="G286" s="428">
        <v>669.2</v>
      </c>
      <c r="H286" s="428">
        <v>667.7</v>
      </c>
      <c r="I286" s="428">
        <v>661.6</v>
      </c>
      <c r="J286" s="428">
        <v>626.9</v>
      </c>
      <c r="K286" s="428">
        <v>588.5</v>
      </c>
      <c r="L286" s="428">
        <v>557.70000000000005</v>
      </c>
      <c r="M286" s="428">
        <v>542.29999999999995</v>
      </c>
      <c r="N286" s="428">
        <v>492.9</v>
      </c>
      <c r="O286" s="428">
        <v>470.3</v>
      </c>
      <c r="P286" s="428">
        <v>426.8</v>
      </c>
      <c r="Q286" s="428">
        <v>399</v>
      </c>
      <c r="R286" s="428">
        <v>394</v>
      </c>
      <c r="S286" s="428">
        <v>380.6</v>
      </c>
      <c r="T286" s="428">
        <v>364.2</v>
      </c>
      <c r="U286" s="428">
        <v>290.89999999999998</v>
      </c>
      <c r="V286" s="428">
        <v>91.2</v>
      </c>
      <c r="W286" s="428">
        <v>45.8</v>
      </c>
      <c r="X286" s="428">
        <v>0</v>
      </c>
      <c r="Y286" s="438">
        <v>0</v>
      </c>
    </row>
    <row r="287" spans="1:25" ht="13.8" thickBot="1" x14ac:dyDescent="0.3">
      <c r="A287" s="435" t="s">
        <v>117</v>
      </c>
      <c r="B287" s="429">
        <f t="shared" ref="B287:V287" si="96">(C286+B286)*(C285-B285)/2</f>
        <v>7.8879999999999999</v>
      </c>
      <c r="C287" s="430">
        <f t="shared" si="96"/>
        <v>15.181500000000003</v>
      </c>
      <c r="D287" s="430">
        <f t="shared" si="96"/>
        <v>18.942000000000004</v>
      </c>
      <c r="E287" s="430">
        <f t="shared" si="96"/>
        <v>71.6815</v>
      </c>
      <c r="F287" s="430">
        <f t="shared" si="96"/>
        <v>92.917999999999992</v>
      </c>
      <c r="G287" s="430">
        <f t="shared" si="96"/>
        <v>120.32100000000004</v>
      </c>
      <c r="H287" s="430">
        <f t="shared" si="96"/>
        <v>192.74849999999998</v>
      </c>
      <c r="I287" s="430">
        <f t="shared" si="96"/>
        <v>231.92999999999998</v>
      </c>
      <c r="J287" s="430">
        <f>(K286+J286)*(K285-J285)/2</f>
        <v>328.15800000000007</v>
      </c>
      <c r="K287" s="430">
        <f t="shared" si="96"/>
        <v>246.43299999999996</v>
      </c>
      <c r="L287" s="430">
        <f t="shared" si="96"/>
        <v>132.00000000000011</v>
      </c>
      <c r="M287" s="430">
        <f t="shared" si="96"/>
        <v>263.97599999999983</v>
      </c>
      <c r="N287" s="430">
        <f t="shared" si="96"/>
        <v>81.871999999999971</v>
      </c>
      <c r="O287" s="430">
        <f t="shared" si="96"/>
        <v>219.78950000000009</v>
      </c>
      <c r="P287" s="430">
        <f t="shared" si="96"/>
        <v>173.41799999999995</v>
      </c>
      <c r="Q287" s="430">
        <f t="shared" si="96"/>
        <v>134.81000000000012</v>
      </c>
      <c r="R287" s="430">
        <f t="shared" si="96"/>
        <v>61.96800000000006</v>
      </c>
      <c r="S287" s="430">
        <f>(T286+S286)*(T285-S285)/2</f>
        <v>44.687999999999704</v>
      </c>
      <c r="T287" s="430">
        <f t="shared" si="96"/>
        <v>16.377500000000232</v>
      </c>
      <c r="U287" s="430">
        <f t="shared" si="96"/>
        <v>28.657499999999896</v>
      </c>
      <c r="V287" s="430">
        <f t="shared" si="96"/>
        <v>2.055000000000017</v>
      </c>
      <c r="W287" s="430">
        <f>(X286+W286)*(X285-W285)/2</f>
        <v>0.2289999999999951</v>
      </c>
      <c r="X287" s="430">
        <f>(Y286+X286)*(Y285-X285)/2</f>
        <v>0</v>
      </c>
      <c r="Y287" s="424"/>
    </row>
    <row r="288" spans="1:25" ht="13.8" thickBot="1" x14ac:dyDescent="0.3">
      <c r="A288" s="17"/>
      <c r="L288" s="17"/>
      <c r="M288" s="17"/>
      <c r="N288" s="17"/>
      <c r="O288" s="17"/>
      <c r="P288" s="17"/>
      <c r="Q288" s="17"/>
      <c r="R288" s="17"/>
      <c r="S288" s="17"/>
      <c r="T288" s="17"/>
      <c r="U288" s="17"/>
      <c r="V288" s="17"/>
      <c r="W288" s="17"/>
      <c r="X288" s="17"/>
      <c r="Y288" s="17"/>
    </row>
    <row r="289" spans="1:25" ht="13.8" thickBot="1" x14ac:dyDescent="0.3">
      <c r="A289" s="416" t="s">
        <v>555</v>
      </c>
      <c r="B289" s="414">
        <f>ROW(A289)</f>
        <v>289</v>
      </c>
      <c r="C289" s="418" t="s">
        <v>116</v>
      </c>
      <c r="D289" s="408">
        <f>SUM(B292:Y292)</f>
        <v>3739.0284999999994</v>
      </c>
      <c r="E289" s="418" t="s">
        <v>115</v>
      </c>
      <c r="F289" s="409">
        <f>D289/g/J289</f>
        <v>203.4941790441234</v>
      </c>
      <c r="G289" s="418" t="s">
        <v>57</v>
      </c>
      <c r="H289" s="86">
        <v>3.5110000000000001</v>
      </c>
      <c r="I289" s="418" t="s">
        <v>272</v>
      </c>
      <c r="J289" s="410">
        <f>H289-L289</f>
        <v>1.8730000000000002</v>
      </c>
      <c r="K289" s="418" t="s">
        <v>273</v>
      </c>
      <c r="L289" s="86">
        <v>1.6379999999999999</v>
      </c>
      <c r="M289" s="418" t="s">
        <v>58</v>
      </c>
      <c r="N289" s="87">
        <v>243</v>
      </c>
      <c r="O289" s="418" t="s">
        <v>60</v>
      </c>
      <c r="P289" s="87">
        <v>243</v>
      </c>
      <c r="Q289" s="418" t="s">
        <v>61</v>
      </c>
      <c r="R289" s="87">
        <v>486</v>
      </c>
      <c r="S289" s="418" t="s">
        <v>62</v>
      </c>
      <c r="T289" s="87">
        <v>75</v>
      </c>
      <c r="U289" s="418" t="s">
        <v>55</v>
      </c>
      <c r="V289" s="88" t="s">
        <v>119</v>
      </c>
      <c r="W289" s="17"/>
      <c r="X289" s="17"/>
      <c r="Y289" s="17"/>
    </row>
    <row r="290" spans="1:25" x14ac:dyDescent="0.25">
      <c r="A290" s="417" t="s">
        <v>33</v>
      </c>
      <c r="B290" s="425">
        <v>0</v>
      </c>
      <c r="C290" s="426">
        <v>0.01</v>
      </c>
      <c r="D290" s="426">
        <v>0.1</v>
      </c>
      <c r="E290" s="426">
        <v>0.12</v>
      </c>
      <c r="F290" s="426">
        <v>0.26</v>
      </c>
      <c r="G290" s="426">
        <v>0.71</v>
      </c>
      <c r="H290" s="426">
        <v>1.28</v>
      </c>
      <c r="I290" s="426">
        <v>2.0499999999999998</v>
      </c>
      <c r="J290" s="426">
        <v>2.41</v>
      </c>
      <c r="K290" s="426">
        <v>2.83</v>
      </c>
      <c r="L290" s="426">
        <v>3.25</v>
      </c>
      <c r="M290" s="426">
        <v>3.65</v>
      </c>
      <c r="N290" s="426">
        <v>3.8</v>
      </c>
      <c r="O290" s="426">
        <v>4</v>
      </c>
      <c r="P290" s="426">
        <v>4.0999999999999996</v>
      </c>
      <c r="Q290" s="426">
        <v>4.1900000000000004</v>
      </c>
      <c r="R290" s="426">
        <v>4.3099999999999996</v>
      </c>
      <c r="S290" s="426">
        <v>4.41</v>
      </c>
      <c r="T290" s="426">
        <v>4.5199999999999996</v>
      </c>
      <c r="U290" s="426">
        <v>4.5999999999999996</v>
      </c>
      <c r="V290" s="426">
        <v>4.6500000000000004</v>
      </c>
      <c r="W290" s="426">
        <v>4.67</v>
      </c>
      <c r="X290" s="426">
        <v>4.68</v>
      </c>
      <c r="Y290" s="437">
        <v>1000</v>
      </c>
    </row>
    <row r="291" spans="1:25" x14ac:dyDescent="0.25">
      <c r="A291" s="434" t="s">
        <v>34</v>
      </c>
      <c r="B291" s="427">
        <v>27</v>
      </c>
      <c r="C291" s="428">
        <v>402.4</v>
      </c>
      <c r="D291" s="428">
        <v>1286</v>
      </c>
      <c r="E291" s="428">
        <v>1257</v>
      </c>
      <c r="F291" s="428">
        <v>1042</v>
      </c>
      <c r="G291" s="428">
        <v>1027</v>
      </c>
      <c r="H291" s="428">
        <v>998.4</v>
      </c>
      <c r="I291" s="428">
        <v>901.4</v>
      </c>
      <c r="J291" s="428">
        <v>849.6</v>
      </c>
      <c r="K291" s="428">
        <v>763.5</v>
      </c>
      <c r="L291" s="428">
        <v>707.1</v>
      </c>
      <c r="M291" s="428">
        <v>655.1</v>
      </c>
      <c r="N291" s="428">
        <v>651.70000000000005</v>
      </c>
      <c r="O291" s="428">
        <v>624.1</v>
      </c>
      <c r="P291" s="428">
        <v>601.29999999999995</v>
      </c>
      <c r="Q291" s="428">
        <v>536.20000000000005</v>
      </c>
      <c r="R291" s="428">
        <v>415.7</v>
      </c>
      <c r="S291" s="428">
        <v>270.2</v>
      </c>
      <c r="T291" s="428">
        <v>140.19999999999999</v>
      </c>
      <c r="U291" s="428">
        <v>76.900000000000006</v>
      </c>
      <c r="V291" s="428">
        <v>54.9</v>
      </c>
      <c r="W291" s="428">
        <v>40.200000000000003</v>
      </c>
      <c r="X291" s="428">
        <v>0</v>
      </c>
      <c r="Y291" s="438">
        <v>0</v>
      </c>
    </row>
    <row r="292" spans="1:25" ht="13.8" thickBot="1" x14ac:dyDescent="0.3">
      <c r="A292" s="435" t="s">
        <v>117</v>
      </c>
      <c r="B292" s="429">
        <f t="shared" ref="B292:V292" si="97">(C291+B291)*(C290-B290)/2</f>
        <v>2.1469999999999998</v>
      </c>
      <c r="C292" s="430">
        <f t="shared" si="97"/>
        <v>75.978000000000009</v>
      </c>
      <c r="D292" s="430">
        <f t="shared" si="97"/>
        <v>25.429999999999989</v>
      </c>
      <c r="E292" s="430">
        <f t="shared" si="97"/>
        <v>160.93</v>
      </c>
      <c r="F292" s="430">
        <f t="shared" si="97"/>
        <v>465.52499999999998</v>
      </c>
      <c r="G292" s="430">
        <f t="shared" si="97"/>
        <v>577.23900000000003</v>
      </c>
      <c r="H292" s="430">
        <f t="shared" si="97"/>
        <v>731.42299999999977</v>
      </c>
      <c r="I292" s="430">
        <f t="shared" si="97"/>
        <v>315.18000000000029</v>
      </c>
      <c r="J292" s="430">
        <f>(K291+J291)*(K290-J290)/2</f>
        <v>338.75099999999992</v>
      </c>
      <c r="K292" s="430">
        <f t="shared" si="97"/>
        <v>308.82599999999991</v>
      </c>
      <c r="L292" s="430">
        <f t="shared" si="97"/>
        <v>272.43999999999994</v>
      </c>
      <c r="M292" s="430">
        <f t="shared" si="97"/>
        <v>98.009999999999962</v>
      </c>
      <c r="N292" s="430">
        <f t="shared" si="97"/>
        <v>127.58000000000013</v>
      </c>
      <c r="O292" s="430">
        <f t="shared" si="97"/>
        <v>61.26999999999979</v>
      </c>
      <c r="P292" s="430">
        <f t="shared" si="97"/>
        <v>51.187500000000426</v>
      </c>
      <c r="Q292" s="430">
        <f t="shared" si="97"/>
        <v>57.113999999999635</v>
      </c>
      <c r="R292" s="430">
        <f t="shared" si="97"/>
        <v>34.295000000000179</v>
      </c>
      <c r="S292" s="430">
        <f>(T291+S291)*(T290-S290)/2</f>
        <v>22.571999999999882</v>
      </c>
      <c r="T292" s="430">
        <f t="shared" si="97"/>
        <v>8.6840000000000082</v>
      </c>
      <c r="U292" s="430">
        <f t="shared" si="97"/>
        <v>3.295000000000047</v>
      </c>
      <c r="V292" s="430">
        <f t="shared" si="97"/>
        <v>0.95099999999997964</v>
      </c>
      <c r="W292" s="430">
        <f>(X291+W291)*(X290-W290)/2</f>
        <v>0.20099999999999574</v>
      </c>
      <c r="X292" s="430">
        <f>(Y291+X291)*(Y290-X290)/2</f>
        <v>0</v>
      </c>
      <c r="Y292" s="424"/>
    </row>
    <row r="293" spans="1:25" ht="13.8" thickBot="1" x14ac:dyDescent="0.3">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row>
    <row r="294" spans="1:25" ht="13.8" thickBot="1" x14ac:dyDescent="0.3">
      <c r="A294" s="416" t="s">
        <v>319</v>
      </c>
      <c r="B294" s="414">
        <f>ROW(A294)</f>
        <v>294</v>
      </c>
      <c r="C294" s="418" t="s">
        <v>116</v>
      </c>
      <c r="D294" s="408">
        <f>SUM(B297:Y297)</f>
        <v>5322.2813159999996</v>
      </c>
      <c r="E294" s="418" t="s">
        <v>115</v>
      </c>
      <c r="F294" s="409">
        <f>D294/g/J294</f>
        <v>210.04116210318938</v>
      </c>
      <c r="G294" s="418" t="s">
        <v>57</v>
      </c>
      <c r="H294" s="86">
        <v>4.9770000000000003</v>
      </c>
      <c r="I294" s="418" t="s">
        <v>272</v>
      </c>
      <c r="J294" s="410">
        <f>H294-L294</f>
        <v>2.5830000000000002</v>
      </c>
      <c r="K294" s="418" t="s">
        <v>273</v>
      </c>
      <c r="L294" s="86">
        <v>2.3940000000000001</v>
      </c>
      <c r="M294" s="418" t="s">
        <v>58</v>
      </c>
      <c r="N294" s="87">
        <v>197</v>
      </c>
      <c r="O294" s="418" t="s">
        <v>60</v>
      </c>
      <c r="P294" s="87">
        <v>197</v>
      </c>
      <c r="Q294" s="418" t="s">
        <v>61</v>
      </c>
      <c r="R294" s="87">
        <v>394</v>
      </c>
      <c r="S294" s="418" t="s">
        <v>62</v>
      </c>
      <c r="T294" s="87">
        <v>98</v>
      </c>
      <c r="U294" s="418" t="s">
        <v>55</v>
      </c>
      <c r="V294" s="88" t="s">
        <v>119</v>
      </c>
      <c r="W294" s="17"/>
      <c r="X294" s="17"/>
      <c r="Y294" s="17"/>
    </row>
    <row r="295" spans="1:25" x14ac:dyDescent="0.25">
      <c r="A295" s="417" t="s">
        <v>33</v>
      </c>
      <c r="B295" s="425">
        <v>0</v>
      </c>
      <c r="C295" s="426">
        <v>3.6999999999999998E-2</v>
      </c>
      <c r="D295" s="426">
        <v>0.121</v>
      </c>
      <c r="E295" s="426">
        <v>0.32800000000000001</v>
      </c>
      <c r="F295" s="426">
        <v>1.2989999999999999</v>
      </c>
      <c r="G295" s="426">
        <v>1.5449999999999999</v>
      </c>
      <c r="H295" s="426">
        <v>1.7969999999999999</v>
      </c>
      <c r="I295" s="426">
        <v>1.998</v>
      </c>
      <c r="J295" s="426">
        <v>2.2080000000000002</v>
      </c>
      <c r="K295" s="426">
        <v>2.4620000000000002</v>
      </c>
      <c r="L295" s="426">
        <v>2.782</v>
      </c>
      <c r="M295" s="426">
        <v>3.0859999999999999</v>
      </c>
      <c r="N295" s="426">
        <v>3.2130000000000001</v>
      </c>
      <c r="O295" s="426">
        <v>3.258</v>
      </c>
      <c r="P295" s="426">
        <v>3.3279999999999998</v>
      </c>
      <c r="Q295" s="426">
        <v>3.383</v>
      </c>
      <c r="R295" s="426">
        <v>3.4279999999999999</v>
      </c>
      <c r="S295" s="426">
        <v>3.5</v>
      </c>
      <c r="T295" s="426">
        <v>3.5</v>
      </c>
      <c r="U295" s="426">
        <v>3.5</v>
      </c>
      <c r="V295" s="426">
        <v>3.5</v>
      </c>
      <c r="W295" s="426">
        <v>3.5</v>
      </c>
      <c r="X295" s="426">
        <v>3.5</v>
      </c>
      <c r="Y295" s="437">
        <v>1000</v>
      </c>
    </row>
    <row r="296" spans="1:25" x14ac:dyDescent="0.25">
      <c r="A296" s="434" t="s">
        <v>34</v>
      </c>
      <c r="B296" s="427">
        <v>0</v>
      </c>
      <c r="C296" s="428">
        <v>1474.12</v>
      </c>
      <c r="D296" s="428">
        <v>1436.5</v>
      </c>
      <c r="E296" s="428">
        <v>1523.49</v>
      </c>
      <c r="F296" s="428">
        <v>1775.06</v>
      </c>
      <c r="G296" s="428">
        <v>1807.97</v>
      </c>
      <c r="H296" s="428">
        <v>1807.97</v>
      </c>
      <c r="I296" s="428">
        <v>1786.81</v>
      </c>
      <c r="J296" s="428">
        <v>1737.44</v>
      </c>
      <c r="K296" s="428">
        <v>1572.86</v>
      </c>
      <c r="L296" s="428">
        <v>1415.34</v>
      </c>
      <c r="M296" s="428">
        <v>1309.55</v>
      </c>
      <c r="N296" s="428">
        <v>1290.74</v>
      </c>
      <c r="O296" s="428">
        <v>1309.55</v>
      </c>
      <c r="P296" s="428">
        <v>679.45899999999995</v>
      </c>
      <c r="Q296" s="428">
        <v>173.97900000000001</v>
      </c>
      <c r="R296" s="428">
        <v>68.180999999999997</v>
      </c>
      <c r="S296" s="428">
        <v>0</v>
      </c>
      <c r="T296" s="428">
        <v>0</v>
      </c>
      <c r="U296" s="428">
        <v>0</v>
      </c>
      <c r="V296" s="428">
        <v>0</v>
      </c>
      <c r="W296" s="428">
        <v>0</v>
      </c>
      <c r="X296" s="428">
        <v>0</v>
      </c>
      <c r="Y296" s="438">
        <v>0</v>
      </c>
    </row>
    <row r="297" spans="1:25" ht="13.8" thickBot="1" x14ac:dyDescent="0.3">
      <c r="A297" s="435" t="s">
        <v>117</v>
      </c>
      <c r="B297" s="429">
        <f t="shared" ref="B297:X297" si="98">(C296+B296)*(C295-B295)/2</f>
        <v>27.271219999999996</v>
      </c>
      <c r="C297" s="430">
        <f t="shared" si="98"/>
        <v>122.24603999999998</v>
      </c>
      <c r="D297" s="430">
        <f t="shared" si="98"/>
        <v>306.35896500000001</v>
      </c>
      <c r="E297" s="430">
        <f t="shared" si="98"/>
        <v>1601.446025</v>
      </c>
      <c r="F297" s="430">
        <f t="shared" si="98"/>
        <v>440.71268999999995</v>
      </c>
      <c r="G297" s="430">
        <f t="shared" si="98"/>
        <v>455.60844000000003</v>
      </c>
      <c r="H297" s="430">
        <f t="shared" si="98"/>
        <v>361.27539000000007</v>
      </c>
      <c r="I297" s="430">
        <f t="shared" si="98"/>
        <v>370.04625000000033</v>
      </c>
      <c r="J297" s="430">
        <f t="shared" si="98"/>
        <v>420.40810000000005</v>
      </c>
      <c r="K297" s="430">
        <f t="shared" si="98"/>
        <v>478.11199999999974</v>
      </c>
      <c r="L297" s="430">
        <f t="shared" si="98"/>
        <v>414.18327999999974</v>
      </c>
      <c r="M297" s="430">
        <f t="shared" si="98"/>
        <v>165.11841500000028</v>
      </c>
      <c r="N297" s="430">
        <f t="shared" si="98"/>
        <v>58.506524999999904</v>
      </c>
      <c r="O297" s="430">
        <f t="shared" si="98"/>
        <v>69.615314999999839</v>
      </c>
      <c r="P297" s="430">
        <f t="shared" si="98"/>
        <v>23.469545000000068</v>
      </c>
      <c r="Q297" s="430">
        <f t="shared" si="98"/>
        <v>5.4485999999999919</v>
      </c>
      <c r="R297" s="430">
        <f t="shared" si="98"/>
        <v>2.4545160000000021</v>
      </c>
      <c r="S297" s="430">
        <f t="shared" si="98"/>
        <v>0</v>
      </c>
      <c r="T297" s="430">
        <f t="shared" si="98"/>
        <v>0</v>
      </c>
      <c r="U297" s="430">
        <f t="shared" si="98"/>
        <v>0</v>
      </c>
      <c r="V297" s="430">
        <f t="shared" si="98"/>
        <v>0</v>
      </c>
      <c r="W297" s="430">
        <f t="shared" si="98"/>
        <v>0</v>
      </c>
      <c r="X297" s="430">
        <f t="shared" si="98"/>
        <v>0</v>
      </c>
      <c r="Y297" s="424"/>
    </row>
    <row r="298" spans="1:25" ht="13.8" thickBot="1" x14ac:dyDescent="0.3">
      <c r="A298" s="17"/>
      <c r="L298" s="17"/>
      <c r="M298" s="17"/>
      <c r="N298" s="17"/>
      <c r="O298" s="17"/>
      <c r="P298" s="17"/>
      <c r="Q298" s="17"/>
      <c r="R298" s="17"/>
      <c r="S298" s="17"/>
      <c r="T298" s="17"/>
      <c r="U298" s="17"/>
      <c r="V298" s="17"/>
      <c r="W298" s="17"/>
      <c r="X298" s="17"/>
      <c r="Y298" s="17"/>
    </row>
    <row r="299" spans="1:25" ht="13.8" thickBot="1" x14ac:dyDescent="0.3">
      <c r="A299" s="416" t="s">
        <v>320</v>
      </c>
      <c r="B299" s="414">
        <f>ROW(A299)</f>
        <v>299</v>
      </c>
      <c r="C299" s="418" t="s">
        <v>116</v>
      </c>
      <c r="D299" s="408">
        <f>SUM(B302:Y302)</f>
        <v>7412.4371409999985</v>
      </c>
      <c r="E299" s="418" t="s">
        <v>115</v>
      </c>
      <c r="F299" s="409">
        <f>D299/g/J299</f>
        <v>223.28608637999045</v>
      </c>
      <c r="G299" s="418" t="s">
        <v>57</v>
      </c>
      <c r="H299" s="86">
        <v>6.25</v>
      </c>
      <c r="I299" s="418" t="s">
        <v>272</v>
      </c>
      <c r="J299" s="410">
        <f>H299-L299</f>
        <v>3.3839999999999999</v>
      </c>
      <c r="K299" s="418" t="s">
        <v>273</v>
      </c>
      <c r="L299" s="86">
        <v>2.8660000000000001</v>
      </c>
      <c r="M299" s="418" t="s">
        <v>58</v>
      </c>
      <c r="N299" s="87">
        <v>290</v>
      </c>
      <c r="O299" s="418" t="s">
        <v>60</v>
      </c>
      <c r="P299" s="87">
        <v>290</v>
      </c>
      <c r="Q299" s="418" t="s">
        <v>61</v>
      </c>
      <c r="R299" s="87">
        <v>579</v>
      </c>
      <c r="S299" s="418" t="s">
        <v>62</v>
      </c>
      <c r="T299" s="87">
        <v>98</v>
      </c>
      <c r="U299" s="418" t="s">
        <v>55</v>
      </c>
      <c r="V299" s="88" t="s">
        <v>119</v>
      </c>
      <c r="W299" s="17"/>
      <c r="X299" s="17"/>
      <c r="Y299" s="17"/>
    </row>
    <row r="300" spans="1:25" x14ac:dyDescent="0.25">
      <c r="A300" s="417" t="s">
        <v>33</v>
      </c>
      <c r="B300" s="425">
        <v>0</v>
      </c>
      <c r="C300" s="426">
        <v>1.7000000000000001E-2</v>
      </c>
      <c r="D300" s="426">
        <v>5.1999999999999998E-2</v>
      </c>
      <c r="E300" s="426">
        <v>8.7999999999999995E-2</v>
      </c>
      <c r="F300" s="426">
        <v>0.108</v>
      </c>
      <c r="G300" s="426">
        <v>0.127</v>
      </c>
      <c r="H300" s="426">
        <v>0.17399999999999999</v>
      </c>
      <c r="I300" s="426">
        <v>0.25700000000000001</v>
      </c>
      <c r="J300" s="426">
        <v>0.40300000000000002</v>
      </c>
      <c r="K300" s="426">
        <v>0.76200000000000001</v>
      </c>
      <c r="L300" s="426">
        <v>0.97699999999999998</v>
      </c>
      <c r="M300" s="426">
        <v>1.341</v>
      </c>
      <c r="N300" s="426">
        <v>1.5009999999999999</v>
      </c>
      <c r="O300" s="426">
        <v>1.661</v>
      </c>
      <c r="P300" s="426">
        <v>1.96</v>
      </c>
      <c r="Q300" s="426">
        <v>2.4039999999999999</v>
      </c>
      <c r="R300" s="426">
        <v>2.641</v>
      </c>
      <c r="S300" s="426">
        <v>2.7160000000000002</v>
      </c>
      <c r="T300" s="426">
        <v>2.8210000000000002</v>
      </c>
      <c r="U300" s="426">
        <v>2.8919999999999999</v>
      </c>
      <c r="V300" s="426">
        <v>2.92</v>
      </c>
      <c r="W300" s="426">
        <v>2.97</v>
      </c>
      <c r="X300" s="426">
        <v>3</v>
      </c>
      <c r="Y300" s="437">
        <v>1000</v>
      </c>
    </row>
    <row r="301" spans="1:25" x14ac:dyDescent="0.25">
      <c r="A301" s="434" t="s">
        <v>34</v>
      </c>
      <c r="B301" s="427">
        <v>0</v>
      </c>
      <c r="C301" s="428">
        <v>329.84699999999998</v>
      </c>
      <c r="D301" s="428">
        <v>1003.68</v>
      </c>
      <c r="E301" s="428">
        <v>2346.62</v>
      </c>
      <c r="F301" s="428">
        <v>2549.2399999999998</v>
      </c>
      <c r="G301" s="428">
        <v>2605.79</v>
      </c>
      <c r="H301" s="428">
        <v>2520.9699999999998</v>
      </c>
      <c r="I301" s="428">
        <v>2516.2600000000002</v>
      </c>
      <c r="J301" s="428">
        <v>2596.37</v>
      </c>
      <c r="K301" s="428">
        <v>2808.41</v>
      </c>
      <c r="L301" s="428">
        <v>2954.49</v>
      </c>
      <c r="M301" s="428">
        <v>2959.2</v>
      </c>
      <c r="N301" s="428">
        <v>2907.36</v>
      </c>
      <c r="O301" s="428">
        <v>2869.67</v>
      </c>
      <c r="P301" s="428">
        <v>2695.32</v>
      </c>
      <c r="Q301" s="428">
        <v>2351.34</v>
      </c>
      <c r="R301" s="428">
        <v>2228.8200000000002</v>
      </c>
      <c r="S301" s="428">
        <v>2007.35</v>
      </c>
      <c r="T301" s="428">
        <v>1427.77</v>
      </c>
      <c r="U301" s="428">
        <v>504.19400000000002</v>
      </c>
      <c r="V301" s="428">
        <v>334.55900000000003</v>
      </c>
      <c r="W301" s="428">
        <v>122.515</v>
      </c>
      <c r="X301" s="428">
        <v>0</v>
      </c>
      <c r="Y301" s="438">
        <v>0</v>
      </c>
    </row>
    <row r="302" spans="1:25" ht="13.8" thickBot="1" x14ac:dyDescent="0.3">
      <c r="A302" s="435" t="s">
        <v>117</v>
      </c>
      <c r="B302" s="429">
        <f t="shared" ref="B302:X302" si="99">(C301+B301)*(C300-B300)/2</f>
        <v>2.8036995</v>
      </c>
      <c r="C302" s="430">
        <f t="shared" si="99"/>
        <v>23.336722499999997</v>
      </c>
      <c r="D302" s="430">
        <f t="shared" si="99"/>
        <v>60.305399999999992</v>
      </c>
      <c r="E302" s="430">
        <f t="shared" si="99"/>
        <v>48.958600000000004</v>
      </c>
      <c r="F302" s="430">
        <f t="shared" si="99"/>
        <v>48.972785000000002</v>
      </c>
      <c r="G302" s="430">
        <f t="shared" si="99"/>
        <v>120.47885999999997</v>
      </c>
      <c r="H302" s="430">
        <f t="shared" si="99"/>
        <v>209.04504500000002</v>
      </c>
      <c r="I302" s="430">
        <f t="shared" si="99"/>
        <v>373.22199000000006</v>
      </c>
      <c r="J302" s="430">
        <f t="shared" si="99"/>
        <v>970.15800999999988</v>
      </c>
      <c r="K302" s="430">
        <f t="shared" si="99"/>
        <v>619.51174999999989</v>
      </c>
      <c r="L302" s="430">
        <f t="shared" si="99"/>
        <v>1076.2915799999998</v>
      </c>
      <c r="M302" s="430">
        <f t="shared" si="99"/>
        <v>469.3247999999997</v>
      </c>
      <c r="N302" s="430">
        <f t="shared" si="99"/>
        <v>462.16240000000045</v>
      </c>
      <c r="O302" s="430">
        <f t="shared" si="99"/>
        <v>831.96600499999977</v>
      </c>
      <c r="P302" s="430">
        <f t="shared" si="99"/>
        <v>1120.3585199999998</v>
      </c>
      <c r="Q302" s="430">
        <f t="shared" si="99"/>
        <v>542.74896000000024</v>
      </c>
      <c r="R302" s="430">
        <f t="shared" si="99"/>
        <v>158.85637500000038</v>
      </c>
      <c r="S302" s="430">
        <f t="shared" si="99"/>
        <v>180.34379999999996</v>
      </c>
      <c r="T302" s="430">
        <f t="shared" si="99"/>
        <v>68.584721999999744</v>
      </c>
      <c r="U302" s="430">
        <f t="shared" si="99"/>
        <v>11.742542000000011</v>
      </c>
      <c r="V302" s="430">
        <f t="shared" si="99"/>
        <v>11.42685000000006</v>
      </c>
      <c r="W302" s="430">
        <f t="shared" si="99"/>
        <v>1.8377249999999881</v>
      </c>
      <c r="X302" s="430">
        <f t="shared" si="99"/>
        <v>0</v>
      </c>
      <c r="Y302" s="424"/>
    </row>
    <row r="303" spans="1:25" ht="13.8" thickBot="1" x14ac:dyDescent="0.3">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row>
    <row r="304" spans="1:25" ht="13.8" thickBot="1" x14ac:dyDescent="0.3">
      <c r="A304" s="416" t="s">
        <v>556</v>
      </c>
      <c r="B304" s="414">
        <f>ROW(A304)</f>
        <v>304</v>
      </c>
      <c r="C304" s="418" t="s">
        <v>116</v>
      </c>
      <c r="D304" s="408">
        <f>SUM(B307:Y307)</f>
        <v>17734.977350500001</v>
      </c>
      <c r="E304" s="418" t="s">
        <v>115</v>
      </c>
      <c r="F304" s="409">
        <f>D304/g/J304</f>
        <v>192.73420306179892</v>
      </c>
      <c r="G304" s="418" t="s">
        <v>57</v>
      </c>
      <c r="H304" s="86">
        <v>14.747999999999999</v>
      </c>
      <c r="I304" s="418" t="s">
        <v>272</v>
      </c>
      <c r="J304" s="410">
        <f>H304-L304</f>
        <v>9.379999999999999</v>
      </c>
      <c r="K304" s="418" t="s">
        <v>273</v>
      </c>
      <c r="L304" s="86">
        <v>5.3680000000000003</v>
      </c>
      <c r="M304" s="418" t="s">
        <v>58</v>
      </c>
      <c r="N304" s="87">
        <v>500</v>
      </c>
      <c r="O304" s="418" t="s">
        <v>60</v>
      </c>
      <c r="P304" s="87">
        <v>500</v>
      </c>
      <c r="Q304" s="418" t="s">
        <v>61</v>
      </c>
      <c r="R304" s="87">
        <v>1046</v>
      </c>
      <c r="S304" s="418" t="s">
        <v>62</v>
      </c>
      <c r="T304" s="87">
        <v>98</v>
      </c>
      <c r="U304" s="418" t="s">
        <v>55</v>
      </c>
      <c r="V304" s="88" t="s">
        <v>119</v>
      </c>
      <c r="W304" s="17"/>
      <c r="X304" s="17"/>
      <c r="Y304" s="17"/>
    </row>
    <row r="305" spans="1:25" x14ac:dyDescent="0.25">
      <c r="A305" s="417" t="s">
        <v>33</v>
      </c>
      <c r="B305" s="425">
        <v>0</v>
      </c>
      <c r="C305" s="426">
        <v>3.0000000000000001E-3</v>
      </c>
      <c r="D305" s="426">
        <v>0.05</v>
      </c>
      <c r="E305" s="426">
        <v>7.8E-2</v>
      </c>
      <c r="F305" s="426">
        <v>0.121</v>
      </c>
      <c r="G305" s="426">
        <v>0.65200000000000002</v>
      </c>
      <c r="H305" s="426">
        <v>1.123</v>
      </c>
      <c r="I305" s="426">
        <v>1.655</v>
      </c>
      <c r="J305" s="426">
        <v>2.3530000000000002</v>
      </c>
      <c r="K305" s="426">
        <v>3.0350000000000001</v>
      </c>
      <c r="L305" s="426">
        <v>3.7</v>
      </c>
      <c r="M305" s="426">
        <v>3.7330000000000001</v>
      </c>
      <c r="N305" s="426">
        <v>3.887</v>
      </c>
      <c r="O305" s="426">
        <v>4.0359999999999996</v>
      </c>
      <c r="P305" s="426">
        <v>4.1970000000000001</v>
      </c>
      <c r="Q305" s="426">
        <v>4.2619999999999996</v>
      </c>
      <c r="R305" s="426">
        <v>4.3</v>
      </c>
      <c r="S305" s="426">
        <v>5</v>
      </c>
      <c r="T305" s="426">
        <v>5</v>
      </c>
      <c r="U305" s="426">
        <v>5</v>
      </c>
      <c r="V305" s="426">
        <v>5</v>
      </c>
      <c r="W305" s="426">
        <v>5</v>
      </c>
      <c r="X305" s="426">
        <v>5</v>
      </c>
      <c r="Y305" s="437">
        <v>1000</v>
      </c>
    </row>
    <row r="306" spans="1:25" x14ac:dyDescent="0.25">
      <c r="A306" s="434" t="s">
        <v>34</v>
      </c>
      <c r="B306" s="427">
        <v>0</v>
      </c>
      <c r="C306" s="428">
        <v>203.87700000000001</v>
      </c>
      <c r="D306" s="428">
        <v>2362.8789999999999</v>
      </c>
      <c r="E306" s="428">
        <v>3946.8449999999998</v>
      </c>
      <c r="F306" s="428">
        <v>4281.4120000000003</v>
      </c>
      <c r="G306" s="428">
        <v>4370.2809999999999</v>
      </c>
      <c r="H306" s="428">
        <v>4453.9229999999998</v>
      </c>
      <c r="I306" s="428">
        <v>4772.8069999999998</v>
      </c>
      <c r="J306" s="428">
        <v>4621.2060000000001</v>
      </c>
      <c r="K306" s="428">
        <v>4511.4269999999997</v>
      </c>
      <c r="L306" s="428">
        <v>4375.509</v>
      </c>
      <c r="M306" s="428">
        <v>4182.0870000000004</v>
      </c>
      <c r="N306" s="428">
        <v>2969.2820000000002</v>
      </c>
      <c r="O306" s="428">
        <v>1589.193</v>
      </c>
      <c r="P306" s="428">
        <v>533.21600000000001</v>
      </c>
      <c r="Q306" s="428">
        <v>240.47</v>
      </c>
      <c r="R306" s="428">
        <v>0</v>
      </c>
      <c r="S306" s="428">
        <v>0</v>
      </c>
      <c r="T306" s="428">
        <v>0</v>
      </c>
      <c r="U306" s="428">
        <v>0</v>
      </c>
      <c r="V306" s="428">
        <v>0</v>
      </c>
      <c r="W306" s="428">
        <v>0</v>
      </c>
      <c r="X306" s="428">
        <v>0</v>
      </c>
      <c r="Y306" s="438">
        <v>0</v>
      </c>
    </row>
    <row r="307" spans="1:25" ht="13.8" thickBot="1" x14ac:dyDescent="0.3">
      <c r="A307" s="435" t="s">
        <v>117</v>
      </c>
      <c r="B307" s="429">
        <f t="shared" ref="B307" si="100">(C306+B306)*(C305-B305)/2</f>
        <v>0.30581550000000002</v>
      </c>
      <c r="C307" s="430">
        <f t="shared" ref="C307" si="101">(D306+C306)*(D305-C305)/2</f>
        <v>60.318765999999997</v>
      </c>
      <c r="D307" s="430">
        <f t="shared" ref="D307" si="102">(E306+D306)*(E305-D305)/2</f>
        <v>88.336135999999996</v>
      </c>
      <c r="E307" s="430">
        <f t="shared" ref="E307" si="103">(F306+E306)*(F305-E305)/2</f>
        <v>176.90752549999999</v>
      </c>
      <c r="F307" s="430">
        <f t="shared" ref="F307" si="104">(G306+F306)*(G305-F305)/2</f>
        <v>2297.0244914999998</v>
      </c>
      <c r="G307" s="430">
        <f t="shared" ref="G307" si="105">(H306+G306)*(H305-G305)/2</f>
        <v>2078.100042</v>
      </c>
      <c r="H307" s="430">
        <f t="shared" ref="H307" si="106">(I306+H306)*(I305-H305)/2</f>
        <v>2454.3101799999999</v>
      </c>
      <c r="I307" s="430">
        <f t="shared" ref="I307" si="107">(J306+I306)*(J305-I305)/2</f>
        <v>3278.5105370000006</v>
      </c>
      <c r="J307" s="430">
        <f t="shared" ref="J307" si="108">(K306+J306)*(K305-J305)/2</f>
        <v>3114.2278529999999</v>
      </c>
      <c r="K307" s="430">
        <f t="shared" ref="K307" si="109">(L306+K306)*(L305-K305)/2</f>
        <v>2954.9062199999998</v>
      </c>
      <c r="L307" s="430">
        <f t="shared" ref="L307" si="110">(M306+L306)*(M305-L305)/2</f>
        <v>141.20033399999969</v>
      </c>
      <c r="M307" s="430">
        <f t="shared" ref="M307" si="111">(N306+M306)*(N305-M305)/2</f>
        <v>550.65541299999973</v>
      </c>
      <c r="N307" s="430">
        <f t="shared" ref="N307" si="112">(O306+N306)*(O305-N305)/2</f>
        <v>339.60638749999907</v>
      </c>
      <c r="O307" s="430">
        <f t="shared" ref="O307" si="113">(P306+O306)*(P305-O305)/2</f>
        <v>170.85392450000052</v>
      </c>
      <c r="P307" s="430">
        <f t="shared" ref="P307" si="114">(Q306+P306)*(Q305-P305)/2</f>
        <v>25.14479499999981</v>
      </c>
      <c r="Q307" s="430">
        <f t="shared" ref="Q307" si="115">(R306+Q306)*(R305-Q305)/2</f>
        <v>4.568930000000031</v>
      </c>
      <c r="R307" s="430">
        <f t="shared" ref="R307" si="116">(S306+R306)*(S305-R305)/2</f>
        <v>0</v>
      </c>
      <c r="S307" s="430">
        <f t="shared" ref="S307" si="117">(T306+S306)*(T305-S305)/2</f>
        <v>0</v>
      </c>
      <c r="T307" s="430">
        <f t="shared" ref="T307" si="118">(U306+T306)*(U305-T305)/2</f>
        <v>0</v>
      </c>
      <c r="U307" s="430">
        <f t="shared" ref="U307" si="119">(V306+U306)*(V305-U305)/2</f>
        <v>0</v>
      </c>
      <c r="V307" s="430">
        <f t="shared" ref="V307" si="120">(W306+V306)*(W305-V305)/2</f>
        <v>0</v>
      </c>
      <c r="W307" s="430">
        <f t="shared" ref="W307" si="121">(X306+W306)*(X305-W305)/2</f>
        <v>0</v>
      </c>
      <c r="X307" s="430">
        <f t="shared" ref="X307" si="122">(Y306+X306)*(Y305-X305)/2</f>
        <v>0</v>
      </c>
      <c r="Y307" s="424"/>
    </row>
    <row r="308" spans="1:25" ht="13.8" thickBot="1" x14ac:dyDescent="0.3">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row>
    <row r="309" spans="1:25" ht="13.8" thickBot="1" x14ac:dyDescent="0.3">
      <c r="A309" s="416" t="s">
        <v>45</v>
      </c>
      <c r="B309" s="414">
        <f>ROW(A309)</f>
        <v>309</v>
      </c>
      <c r="C309" s="418" t="s">
        <v>116</v>
      </c>
      <c r="D309" s="408">
        <f>SUM(B312:Y312)</f>
        <v>1E-3</v>
      </c>
      <c r="E309" s="418" t="s">
        <v>115</v>
      </c>
      <c r="F309" s="409">
        <f>D309/g/J309</f>
        <v>1.019367991845056</v>
      </c>
      <c r="G309" s="418" t="s">
        <v>57</v>
      </c>
      <c r="H309" s="86">
        <v>1E-4</v>
      </c>
      <c r="I309" s="418" t="s">
        <v>272</v>
      </c>
      <c r="J309" s="410">
        <f>H309-L309</f>
        <v>1E-4</v>
      </c>
      <c r="K309" s="418" t="s">
        <v>273</v>
      </c>
      <c r="L309" s="86">
        <v>0</v>
      </c>
      <c r="M309" s="418" t="s">
        <v>58</v>
      </c>
      <c r="N309" s="87">
        <v>0</v>
      </c>
      <c r="O309" s="418" t="s">
        <v>60</v>
      </c>
      <c r="P309" s="87">
        <v>0</v>
      </c>
      <c r="Q309" s="418" t="s">
        <v>61</v>
      </c>
      <c r="R309" s="87">
        <v>0</v>
      </c>
      <c r="S309" s="418" t="s">
        <v>62</v>
      </c>
      <c r="T309" s="87">
        <v>0</v>
      </c>
      <c r="U309" s="418" t="s">
        <v>55</v>
      </c>
      <c r="V309" s="88" t="s">
        <v>119</v>
      </c>
      <c r="W309" s="17"/>
      <c r="X309" s="17"/>
      <c r="Y309" s="17"/>
    </row>
    <row r="310" spans="1:25" x14ac:dyDescent="0.25">
      <c r="A310" s="417" t="s">
        <v>33</v>
      </c>
      <c r="B310" s="425">
        <v>0</v>
      </c>
      <c r="C310" s="426">
        <v>0.1</v>
      </c>
      <c r="D310" s="426">
        <v>0.2</v>
      </c>
      <c r="E310" s="426">
        <v>1</v>
      </c>
      <c r="F310" s="426">
        <v>1</v>
      </c>
      <c r="G310" s="426">
        <v>1</v>
      </c>
      <c r="H310" s="426">
        <v>1</v>
      </c>
      <c r="I310" s="426">
        <v>1</v>
      </c>
      <c r="J310" s="426">
        <v>1</v>
      </c>
      <c r="K310" s="426">
        <v>1</v>
      </c>
      <c r="L310" s="426">
        <v>1</v>
      </c>
      <c r="M310" s="426">
        <v>1</v>
      </c>
      <c r="N310" s="426">
        <v>1</v>
      </c>
      <c r="O310" s="426">
        <v>1</v>
      </c>
      <c r="P310" s="426">
        <v>1</v>
      </c>
      <c r="Q310" s="426">
        <v>1</v>
      </c>
      <c r="R310" s="426">
        <v>1</v>
      </c>
      <c r="S310" s="426">
        <v>1</v>
      </c>
      <c r="T310" s="426">
        <v>1</v>
      </c>
      <c r="U310" s="426">
        <v>1</v>
      </c>
      <c r="V310" s="426">
        <v>1</v>
      </c>
      <c r="W310" s="426">
        <v>1</v>
      </c>
      <c r="X310" s="426">
        <v>1</v>
      </c>
      <c r="Y310" s="437">
        <v>1000</v>
      </c>
    </row>
    <row r="311" spans="1:25" x14ac:dyDescent="0.25">
      <c r="A311" s="434" t="s">
        <v>34</v>
      </c>
      <c r="B311" s="427">
        <v>0</v>
      </c>
      <c r="C311" s="428">
        <v>0.01</v>
      </c>
      <c r="D311" s="428">
        <v>0</v>
      </c>
      <c r="E311" s="428">
        <v>0</v>
      </c>
      <c r="F311" s="428">
        <v>0</v>
      </c>
      <c r="G311" s="428">
        <v>0</v>
      </c>
      <c r="H311" s="428">
        <v>0</v>
      </c>
      <c r="I311" s="428">
        <v>0</v>
      </c>
      <c r="J311" s="428">
        <v>0</v>
      </c>
      <c r="K311" s="428">
        <v>0</v>
      </c>
      <c r="L311" s="428">
        <v>0</v>
      </c>
      <c r="M311" s="428">
        <v>0</v>
      </c>
      <c r="N311" s="428">
        <v>0</v>
      </c>
      <c r="O311" s="428">
        <v>0</v>
      </c>
      <c r="P311" s="428">
        <v>0</v>
      </c>
      <c r="Q311" s="428">
        <v>0</v>
      </c>
      <c r="R311" s="428">
        <v>0</v>
      </c>
      <c r="S311" s="428">
        <v>0</v>
      </c>
      <c r="T311" s="428">
        <v>0</v>
      </c>
      <c r="U311" s="428">
        <v>0</v>
      </c>
      <c r="V311" s="428">
        <v>0</v>
      </c>
      <c r="W311" s="428">
        <v>0</v>
      </c>
      <c r="X311" s="428">
        <v>0</v>
      </c>
      <c r="Y311" s="438">
        <v>0</v>
      </c>
    </row>
    <row r="312" spans="1:25" ht="13.8" thickBot="1" x14ac:dyDescent="0.3">
      <c r="A312" s="435" t="s">
        <v>117</v>
      </c>
      <c r="B312" s="429">
        <f t="shared" ref="B312:G312" si="123">(C311+B311)*(C310-B310)/2</f>
        <v>5.0000000000000001E-4</v>
      </c>
      <c r="C312" s="430">
        <f t="shared" si="123"/>
        <v>5.0000000000000001E-4</v>
      </c>
      <c r="D312" s="430">
        <f t="shared" si="123"/>
        <v>0</v>
      </c>
      <c r="E312" s="430">
        <f t="shared" si="123"/>
        <v>0</v>
      </c>
      <c r="F312" s="430">
        <f t="shared" si="123"/>
        <v>0</v>
      </c>
      <c r="G312" s="430">
        <f t="shared" si="123"/>
        <v>0</v>
      </c>
      <c r="H312" s="430">
        <f t="shared" ref="H312:V312" si="124">(I311+H311)*(I310-H310)/2</f>
        <v>0</v>
      </c>
      <c r="I312" s="430">
        <f t="shared" si="124"/>
        <v>0</v>
      </c>
      <c r="J312" s="430">
        <f>(K311+J311)*(K310-J310)/2</f>
        <v>0</v>
      </c>
      <c r="K312" s="430">
        <f t="shared" si="124"/>
        <v>0</v>
      </c>
      <c r="L312" s="430">
        <f t="shared" si="124"/>
        <v>0</v>
      </c>
      <c r="M312" s="430">
        <f t="shared" si="124"/>
        <v>0</v>
      </c>
      <c r="N312" s="430">
        <f t="shared" si="124"/>
        <v>0</v>
      </c>
      <c r="O312" s="430">
        <f t="shared" si="124"/>
        <v>0</v>
      </c>
      <c r="P312" s="430">
        <f t="shared" si="124"/>
        <v>0</v>
      </c>
      <c r="Q312" s="430">
        <f t="shared" si="124"/>
        <v>0</v>
      </c>
      <c r="R312" s="430">
        <f t="shared" si="124"/>
        <v>0</v>
      </c>
      <c r="S312" s="430">
        <f>(T311+S311)*(T310-S310)/2</f>
        <v>0</v>
      </c>
      <c r="T312" s="430">
        <f t="shared" si="124"/>
        <v>0</v>
      </c>
      <c r="U312" s="430">
        <f t="shared" si="124"/>
        <v>0</v>
      </c>
      <c r="V312" s="430">
        <f t="shared" si="124"/>
        <v>0</v>
      </c>
      <c r="W312" s="430">
        <f>(X311+W311)*(X310-W310)/2</f>
        <v>0</v>
      </c>
      <c r="X312" s="430">
        <f>(Y311+X311)*(Y310-X310)/2</f>
        <v>0</v>
      </c>
      <c r="Y312" s="424"/>
    </row>
    <row r="314" spans="1:25" x14ac:dyDescent="0.25">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row>
    <row r="316" spans="1:25" x14ac:dyDescent="0.25">
      <c r="A316" s="458" t="str">
        <f>IF(Lang="Français","Liste des propu affichés :","Motor list (shown):")</f>
        <v>Liste des propu affichés :</v>
      </c>
      <c r="C316" s="758" t="s">
        <v>277</v>
      </c>
      <c r="D316" s="757"/>
      <c r="F316" s="758" t="s">
        <v>182</v>
      </c>
      <c r="G316" s="757"/>
      <c r="H316" s="555"/>
      <c r="I316" s="756" t="s">
        <v>399</v>
      </c>
      <c r="J316" s="757"/>
      <c r="K316" s="555"/>
      <c r="L316" s="758" t="s">
        <v>183</v>
      </c>
      <c r="M316" s="757"/>
      <c r="O316" s="756" t="s">
        <v>398</v>
      </c>
      <c r="P316" s="757"/>
      <c r="R316" s="758" t="s">
        <v>119</v>
      </c>
      <c r="S316" s="757"/>
    </row>
    <row r="317" spans="1:25" x14ac:dyDescent="0.25">
      <c r="A317" s="459" t="str">
        <f t="array" ref="A317:A346">IF(RIGHT(Type_fusee,1)=".",Liste_fusex, IF(LEFT(Type_fusee,4)="Mini",Liste_minif, IF(LEFT(Type_fusee,5)="Micro",Liste_µfu, IF(RIGHT(Type_fusee,1)=" ",Liste_H2O, IF(LEFT(Type_fusee,1)="R",Liste_RC, IF(LEFT(Type_fusee,1)=",",Liste_minifT))))))</f>
        <v>Barasinga (Pro54-5G C)</v>
      </c>
      <c r="C317" s="747" t="str">
        <f>A26</f>
        <v>H2O 1.5L 300g 6bar</v>
      </c>
      <c r="D317" s="748"/>
      <c r="F317" s="747" t="str">
        <f>A67</f>
        <v>µ-propu A8-3</v>
      </c>
      <c r="G317" s="748"/>
      <c r="H317" s="558"/>
      <c r="I317" s="745" t="str">
        <f>A148</f>
        <v>p29-1G 56F31</v>
      </c>
      <c r="J317" s="746"/>
      <c r="K317" s="558"/>
      <c r="L317" s="745" t="str">
        <f>A148</f>
        <v>p29-1G 56F31</v>
      </c>
      <c r="M317" s="746"/>
      <c r="O317" s="747" t="str">
        <f>A108</f>
        <v>p24-1G 24E22</v>
      </c>
      <c r="P317" s="748"/>
      <c r="R317" s="747" t="str">
        <f>A279</f>
        <v>Barasinga (Pro54-5G C)</v>
      </c>
      <c r="S317" s="748"/>
    </row>
    <row r="318" spans="1:25" x14ac:dyDescent="0.25">
      <c r="A318" s="459" t="str">
        <v>Orignal (Pro75-3G C)</v>
      </c>
      <c r="C318" s="747" t="str">
        <f>A31</f>
        <v>H2O 1.5L 450g 6bar</v>
      </c>
      <c r="D318" s="748"/>
      <c r="F318" s="747" t="str">
        <f>A72</f>
        <v>µ-propu B4-4</v>
      </c>
      <c r="G318" s="748"/>
      <c r="H318" s="558"/>
      <c r="I318" s="745" t="str">
        <f>A153</f>
        <v>p29-1G 56F120</v>
      </c>
      <c r="J318" s="746"/>
      <c r="K318" s="558"/>
      <c r="L318" s="745" t="str">
        <f>A153</f>
        <v>p29-1G 56F120</v>
      </c>
      <c r="M318" s="746"/>
      <c r="O318" s="747" t="str">
        <f>A113</f>
        <v>p24-1G 25E75 (Rufina)</v>
      </c>
      <c r="P318" s="748"/>
      <c r="R318" s="747" t="str">
        <f>A289</f>
        <v>Orignal (Pro75-3G C)</v>
      </c>
      <c r="S318" s="748"/>
    </row>
    <row r="319" spans="1:25" x14ac:dyDescent="0.25">
      <c r="A319" s="459" t="str">
        <v xml:space="preserve"> </v>
      </c>
      <c r="C319" s="747" t="str">
        <f>A36</f>
        <v>H2O 1.5L 600g 6bar</v>
      </c>
      <c r="D319" s="748"/>
      <c r="F319" s="747" t="str">
        <f>A77</f>
        <v>µ-propu C6-3</v>
      </c>
      <c r="G319" s="748"/>
      <c r="H319" s="558"/>
      <c r="I319" s="745" t="str">
        <f>A158</f>
        <v>p29-1G 57F59</v>
      </c>
      <c r="J319" s="746"/>
      <c r="K319" s="558"/>
      <c r="L319" s="745" t="str">
        <f>A158</f>
        <v>p29-1G 57F59</v>
      </c>
      <c r="M319" s="746"/>
      <c r="O319" s="747" t="str">
        <f>A118</f>
        <v>p24-1G 26E31</v>
      </c>
      <c r="P319" s="748"/>
      <c r="R319" s="747" t="s">
        <v>184</v>
      </c>
      <c r="S319" s="748"/>
    </row>
    <row r="320" spans="1:25" x14ac:dyDescent="0.25">
      <c r="A320" s="459" t="str">
        <v xml:space="preserve"> </v>
      </c>
      <c r="C320" s="747" t="str">
        <f>A41</f>
        <v>H2O 1.5L 750g 6bar</v>
      </c>
      <c r="D320" s="748"/>
      <c r="F320" s="747" t="str">
        <f>A82</f>
        <v>µ-propu C6-3 x2</v>
      </c>
      <c r="G320" s="748"/>
      <c r="H320" s="558"/>
      <c r="I320" s="745" t="str">
        <f>A183</f>
        <v>p24-3G 74F85</v>
      </c>
      <c r="J320" s="746"/>
      <c r="K320" s="558"/>
      <c r="L320" s="745" t="str">
        <f>A228</f>
        <v>p29-2G 116G126</v>
      </c>
      <c r="M320" s="746"/>
      <c r="O320" s="747" t="str">
        <f>A123</f>
        <v>p24-2G 50E51</v>
      </c>
      <c r="P320" s="748"/>
      <c r="R320" s="747" t="s">
        <v>184</v>
      </c>
      <c r="S320" s="748"/>
    </row>
    <row r="321" spans="1:19" x14ac:dyDescent="0.25">
      <c r="A321" s="459" t="str">
        <v xml:space="preserve"> </v>
      </c>
      <c r="C321" s="747" t="str">
        <f>A46</f>
        <v>H2O 2.0L 400g 6bar</v>
      </c>
      <c r="D321" s="748"/>
      <c r="F321" s="747" t="str">
        <f>A87</f>
        <v>µ-propu C6-3 x3</v>
      </c>
      <c r="G321" s="748"/>
      <c r="H321" s="558"/>
      <c r="I321" s="745" t="str">
        <f>A188</f>
        <v>p24-3G 75F51</v>
      </c>
      <c r="J321" s="746"/>
      <c r="K321" s="558"/>
      <c r="L321" s="745" t="s">
        <v>184</v>
      </c>
      <c r="M321" s="746"/>
      <c r="O321" s="747" t="str">
        <f>A128</f>
        <v>p24-1G 53E70</v>
      </c>
      <c r="P321" s="748"/>
      <c r="R321" s="747" t="s">
        <v>184</v>
      </c>
      <c r="S321" s="748"/>
    </row>
    <row r="322" spans="1:19" x14ac:dyDescent="0.25">
      <c r="A322" s="459" t="str">
        <v xml:space="preserve"> </v>
      </c>
      <c r="C322" s="747" t="str">
        <f>A51</f>
        <v>H2O 2.0L 600g 6bar</v>
      </c>
      <c r="D322" s="748"/>
      <c r="F322" s="747" t="s">
        <v>184</v>
      </c>
      <c r="G322" s="748"/>
      <c r="H322" s="558"/>
      <c r="I322" s="745" t="s">
        <v>184</v>
      </c>
      <c r="J322" s="746"/>
      <c r="K322" s="558"/>
      <c r="L322" s="747" t="str">
        <f>A198</f>
        <v>Pandora (Pro24-6G BS)</v>
      </c>
      <c r="M322" s="748"/>
      <c r="O322" s="747" t="str">
        <f>A133</f>
        <v>p29-1G 41F36</v>
      </c>
      <c r="P322" s="748"/>
      <c r="R322" s="747" t="s">
        <v>184</v>
      </c>
      <c r="S322" s="748"/>
    </row>
    <row r="323" spans="1:19" x14ac:dyDescent="0.25">
      <c r="A323" s="459" t="str">
        <v xml:space="preserve"> </v>
      </c>
      <c r="C323" s="747" t="str">
        <f>A56</f>
        <v>H2O 2.0L 800g 6bar</v>
      </c>
      <c r="D323" s="748"/>
      <c r="F323" s="747" t="s">
        <v>184</v>
      </c>
      <c r="G323" s="748"/>
      <c r="H323" s="558"/>
      <c r="I323" s="745" t="s">
        <v>184</v>
      </c>
      <c r="J323" s="746"/>
      <c r="K323" s="558"/>
      <c r="L323" s="747" t="s">
        <v>184</v>
      </c>
      <c r="M323" s="748"/>
      <c r="O323" s="747" t="str">
        <f>A138</f>
        <v>p29-1G 51F36</v>
      </c>
      <c r="P323" s="748"/>
      <c r="R323" s="747" t="s">
        <v>184</v>
      </c>
      <c r="S323" s="748"/>
    </row>
    <row r="324" spans="1:19" x14ac:dyDescent="0.25">
      <c r="A324" s="459" t="str">
        <v xml:space="preserve"> </v>
      </c>
      <c r="C324" s="747" t="str">
        <f>A61</f>
        <v>H2O 2.0L 1000g 6bar</v>
      </c>
      <c r="D324" s="748"/>
      <c r="F324" s="747" t="s">
        <v>184</v>
      </c>
      <c r="G324" s="748"/>
      <c r="H324" s="558"/>
      <c r="I324" s="745" t="s">
        <v>184</v>
      </c>
      <c r="J324" s="746"/>
      <c r="K324" s="558"/>
      <c r="L324" s="747" t="str">
        <f>A92</f>
        <v>Klima D9-7</v>
      </c>
      <c r="M324" s="748"/>
      <c r="O324" s="747" t="str">
        <f>A143</f>
        <v>p29-1G 55F29</v>
      </c>
      <c r="P324" s="748"/>
      <c r="R324" s="747" t="s">
        <v>184</v>
      </c>
      <c r="S324" s="748"/>
    </row>
    <row r="325" spans="1:19" x14ac:dyDescent="0.25">
      <c r="A325" s="459" t="str">
        <v xml:space="preserve"> </v>
      </c>
      <c r="C325" s="747" t="s">
        <v>184</v>
      </c>
      <c r="D325" s="748"/>
      <c r="F325" s="747" t="s">
        <v>184</v>
      </c>
      <c r="G325" s="748"/>
      <c r="H325" s="558"/>
      <c r="I325" s="745" t="s">
        <v>184</v>
      </c>
      <c r="J325" s="746"/>
      <c r="K325" s="558"/>
      <c r="L325" s="747" t="str">
        <f>A97</f>
        <v>Klima D9-7 x2</v>
      </c>
      <c r="M325" s="748"/>
      <c r="O325" s="747" t="str">
        <f>A153</f>
        <v>p29-1G 56F120</v>
      </c>
      <c r="P325" s="748"/>
      <c r="R325" s="747" t="s">
        <v>184</v>
      </c>
      <c r="S325" s="748"/>
    </row>
    <row r="326" spans="1:19" x14ac:dyDescent="0.25">
      <c r="A326" s="459" t="str">
        <v xml:space="preserve"> </v>
      </c>
      <c r="C326" s="747" t="s">
        <v>184</v>
      </c>
      <c r="D326" s="748"/>
      <c r="F326" s="747" t="s">
        <v>184</v>
      </c>
      <c r="G326" s="748"/>
      <c r="H326" s="558"/>
      <c r="I326" s="745" t="s">
        <v>184</v>
      </c>
      <c r="J326" s="746"/>
      <c r="K326" s="558"/>
      <c r="L326" s="747" t="str">
        <f>A102</f>
        <v>Klima D9-7 x3</v>
      </c>
      <c r="M326" s="748"/>
      <c r="O326" s="747" t="str">
        <f>A158</f>
        <v>p29-1G 57F59</v>
      </c>
      <c r="P326" s="748"/>
      <c r="R326" s="747" t="s">
        <v>184</v>
      </c>
      <c r="S326" s="748"/>
    </row>
    <row r="327" spans="1:19" x14ac:dyDescent="0.25">
      <c r="A327" s="459" t="str">
        <v xml:space="preserve"> </v>
      </c>
      <c r="C327" s="747" t="s">
        <v>184</v>
      </c>
      <c r="D327" s="748"/>
      <c r="F327" s="747" t="s">
        <v>184</v>
      </c>
      <c r="G327" s="748"/>
      <c r="H327" s="558"/>
      <c r="I327" s="745" t="s">
        <v>184</v>
      </c>
      <c r="J327" s="746"/>
      <c r="K327" s="558"/>
      <c r="L327" s="747" t="s">
        <v>184</v>
      </c>
      <c r="M327" s="748"/>
      <c r="O327" s="747" t="str">
        <f>A163</f>
        <v>p24-3G 60F50</v>
      </c>
      <c r="P327" s="748"/>
      <c r="R327" s="747" t="s">
        <v>184</v>
      </c>
      <c r="S327" s="748"/>
    </row>
    <row r="328" spans="1:19" x14ac:dyDescent="0.25">
      <c r="A328" s="459" t="str">
        <v xml:space="preserve"> </v>
      </c>
      <c r="C328" s="747" t="s">
        <v>184</v>
      </c>
      <c r="D328" s="748"/>
      <c r="F328" s="747" t="s">
        <v>184</v>
      </c>
      <c r="G328" s="748"/>
      <c r="H328" s="558"/>
      <c r="I328" s="745" t="s">
        <v>184</v>
      </c>
      <c r="J328" s="746"/>
      <c r="K328" s="558"/>
      <c r="L328" s="747" t="s">
        <v>184</v>
      </c>
      <c r="M328" s="748"/>
      <c r="O328" s="747" t="str">
        <f>A168</f>
        <v>p24-3G 68F79</v>
      </c>
      <c r="P328" s="748"/>
      <c r="R328" s="747" t="s">
        <v>184</v>
      </c>
      <c r="S328" s="748"/>
    </row>
    <row r="329" spans="1:19" x14ac:dyDescent="0.25">
      <c r="A329" s="459" t="str">
        <v xml:space="preserve"> </v>
      </c>
      <c r="C329" s="747" t="s">
        <v>184</v>
      </c>
      <c r="D329" s="748"/>
      <c r="F329" s="747" t="s">
        <v>184</v>
      </c>
      <c r="G329" s="748"/>
      <c r="H329" s="558"/>
      <c r="I329" s="745" t="s">
        <v>184</v>
      </c>
      <c r="J329" s="746"/>
      <c r="K329" s="558"/>
      <c r="L329" s="747" t="s">
        <v>184</v>
      </c>
      <c r="M329" s="748"/>
      <c r="O329" s="747" t="str">
        <f>A173</f>
        <v>p24-3G 68F240</v>
      </c>
      <c r="P329" s="748"/>
      <c r="R329" s="747" t="s">
        <v>184</v>
      </c>
      <c r="S329" s="748"/>
    </row>
    <row r="330" spans="1:19" x14ac:dyDescent="0.25">
      <c r="A330" s="459" t="str">
        <v xml:space="preserve"> </v>
      </c>
      <c r="C330" s="747" t="s">
        <v>184</v>
      </c>
      <c r="D330" s="748"/>
      <c r="F330" s="747" t="s">
        <v>184</v>
      </c>
      <c r="G330" s="748"/>
      <c r="H330" s="558"/>
      <c r="I330" s="745" t="s">
        <v>184</v>
      </c>
      <c r="J330" s="746"/>
      <c r="K330" s="558"/>
      <c r="L330" s="747" t="s">
        <v>184</v>
      </c>
      <c r="M330" s="748"/>
      <c r="O330" s="747" t="str">
        <f>A178</f>
        <v>p24-3G 73F30</v>
      </c>
      <c r="P330" s="748"/>
      <c r="R330" s="747" t="s">
        <v>184</v>
      </c>
      <c r="S330" s="748"/>
    </row>
    <row r="331" spans="1:19" x14ac:dyDescent="0.25">
      <c r="A331" s="459" t="str">
        <v xml:space="preserve"> </v>
      </c>
      <c r="C331" s="747" t="s">
        <v>184</v>
      </c>
      <c r="D331" s="748"/>
      <c r="F331" s="747" t="s">
        <v>184</v>
      </c>
      <c r="G331" s="748"/>
      <c r="H331" s="558"/>
      <c r="I331" s="754" t="s">
        <v>184</v>
      </c>
      <c r="J331" s="755"/>
      <c r="K331" s="558"/>
      <c r="L331" s="747" t="s">
        <v>184</v>
      </c>
      <c r="M331" s="748"/>
      <c r="O331" s="747" t="str">
        <f>A183</f>
        <v>p24-3G 74F85</v>
      </c>
      <c r="P331" s="748"/>
      <c r="R331" s="747" t="s">
        <v>184</v>
      </c>
      <c r="S331" s="748"/>
    </row>
    <row r="332" spans="1:19" x14ac:dyDescent="0.25">
      <c r="A332" s="545" t="str">
        <v xml:space="preserve"> </v>
      </c>
      <c r="C332" s="750" t="s">
        <v>184</v>
      </c>
      <c r="D332" s="751"/>
      <c r="F332" s="750" t="s">
        <v>184</v>
      </c>
      <c r="G332" s="751"/>
      <c r="H332" s="558"/>
      <c r="I332" s="750" t="s">
        <v>184</v>
      </c>
      <c r="J332" s="751"/>
      <c r="K332" s="558"/>
      <c r="L332" s="750" t="s">
        <v>184</v>
      </c>
      <c r="M332" s="751"/>
      <c r="O332" s="747" t="str">
        <f>A188</f>
        <v>p24-3G 75F51</v>
      </c>
      <c r="P332" s="748"/>
      <c r="R332" s="750" t="s">
        <v>184</v>
      </c>
      <c r="S332" s="751"/>
    </row>
    <row r="333" spans="1:19" x14ac:dyDescent="0.25">
      <c r="A333" s="459" t="str">
        <v xml:space="preserve"> </v>
      </c>
      <c r="C333" s="759" t="s">
        <v>184</v>
      </c>
      <c r="D333" s="759"/>
      <c r="F333" s="759" t="s">
        <v>184</v>
      </c>
      <c r="G333" s="759"/>
      <c r="I333" s="753" t="s">
        <v>184</v>
      </c>
      <c r="J333" s="753"/>
      <c r="L333" s="753" t="s">
        <v>184</v>
      </c>
      <c r="M333" s="753"/>
      <c r="O333" s="747" t="str">
        <f>A213</f>
        <v>p29-2G 84G88</v>
      </c>
      <c r="P333" s="748"/>
      <c r="R333" s="752" t="s">
        <v>184</v>
      </c>
      <c r="S333" s="752"/>
    </row>
    <row r="334" spans="1:19" x14ac:dyDescent="0.25">
      <c r="A334" s="546" t="str">
        <v>Isard</v>
      </c>
      <c r="C334" s="739" t="s">
        <v>184</v>
      </c>
      <c r="D334" s="739"/>
      <c r="F334" s="739" t="s">
        <v>184</v>
      </c>
      <c r="G334" s="739"/>
      <c r="I334" s="753" t="s">
        <v>184</v>
      </c>
      <c r="J334" s="753"/>
      <c r="L334" s="753" t="s">
        <v>184</v>
      </c>
      <c r="M334" s="753"/>
      <c r="O334" s="747" t="str">
        <f>A218</f>
        <v>p29-2G 93G80</v>
      </c>
      <c r="P334" s="748"/>
      <c r="R334" s="749" t="str">
        <f>A269</f>
        <v>Isard</v>
      </c>
      <c r="S334" s="749"/>
    </row>
    <row r="335" spans="1:19" x14ac:dyDescent="0.25">
      <c r="A335" s="546" t="str">
        <v>Chamois</v>
      </c>
      <c r="C335" s="739" t="s">
        <v>184</v>
      </c>
      <c r="D335" s="739"/>
      <c r="F335" s="739" t="s">
        <v>184</v>
      </c>
      <c r="G335" s="739"/>
      <c r="I335" s="753" t="s">
        <v>184</v>
      </c>
      <c r="J335" s="753"/>
      <c r="L335" s="753" t="s">
        <v>184</v>
      </c>
      <c r="M335" s="753"/>
      <c r="O335" s="747" t="str">
        <f>A223</f>
        <v>p29-2G 110G250</v>
      </c>
      <c r="P335" s="748"/>
      <c r="R335" s="749" t="str">
        <f>A274</f>
        <v>Chamois</v>
      </c>
      <c r="S335" s="749"/>
    </row>
    <row r="336" spans="1:19" x14ac:dyDescent="0.25">
      <c r="A336" s="546" t="str">
        <v>Pro75-2G</v>
      </c>
      <c r="C336" s="739" t="s">
        <v>184</v>
      </c>
      <c r="D336" s="739"/>
      <c r="F336" s="739" t="s">
        <v>184</v>
      </c>
      <c r="G336" s="739"/>
      <c r="I336" s="753" t="s">
        <v>184</v>
      </c>
      <c r="J336" s="753"/>
      <c r="L336" s="753" t="s">
        <v>184</v>
      </c>
      <c r="M336" s="753"/>
      <c r="O336" s="747" t="str">
        <f>A228</f>
        <v>p29-2G 116G126</v>
      </c>
      <c r="P336" s="748"/>
      <c r="R336" s="749" t="str">
        <f>A284</f>
        <v>Pro75-2G</v>
      </c>
      <c r="S336" s="749"/>
    </row>
    <row r="337" spans="1:19" x14ac:dyDescent="0.25">
      <c r="A337" s="546" t="str">
        <v>Pro98-2G WT</v>
      </c>
      <c r="C337" s="739" t="s">
        <v>184</v>
      </c>
      <c r="D337" s="739"/>
      <c r="F337" s="739" t="s">
        <v>184</v>
      </c>
      <c r="G337" s="739"/>
      <c r="I337" s="753" t="s">
        <v>184</v>
      </c>
      <c r="J337" s="753"/>
      <c r="L337" s="753" t="s">
        <v>184</v>
      </c>
      <c r="M337" s="753"/>
      <c r="O337" s="747" t="str">
        <f>A233</f>
        <v>p29-3G 125G131</v>
      </c>
      <c r="P337" s="748"/>
      <c r="R337" s="749" t="str">
        <f>A294</f>
        <v>Pro98-2G WT</v>
      </c>
      <c r="S337" s="749"/>
    </row>
    <row r="338" spans="1:19" x14ac:dyDescent="0.25">
      <c r="A338" s="546" t="str">
        <v>Pro98-3G WT</v>
      </c>
      <c r="C338" s="739" t="s">
        <v>184</v>
      </c>
      <c r="D338" s="739"/>
      <c r="F338" s="739" t="s">
        <v>184</v>
      </c>
      <c r="G338" s="739"/>
      <c r="I338" s="753" t="s">
        <v>184</v>
      </c>
      <c r="J338" s="753"/>
      <c r="L338" s="753" t="s">
        <v>184</v>
      </c>
      <c r="M338" s="753"/>
      <c r="O338" s="747" t="str">
        <f>A248</f>
        <v>p38-1G 128G185</v>
      </c>
      <c r="P338" s="748"/>
      <c r="R338" s="749" t="str">
        <f>A299</f>
        <v>Pro98-3G WT</v>
      </c>
      <c r="S338" s="749"/>
    </row>
    <row r="339" spans="1:19" x14ac:dyDescent="0.25">
      <c r="A339" s="546" t="str">
        <v>Aucun (2e ét. inerte)</v>
      </c>
      <c r="C339" s="739" t="s">
        <v>184</v>
      </c>
      <c r="D339" s="739"/>
      <c r="F339" s="739" t="s">
        <v>184</v>
      </c>
      <c r="G339" s="739"/>
      <c r="I339" s="753" t="s">
        <v>184</v>
      </c>
      <c r="J339" s="753"/>
      <c r="L339" s="753" t="s">
        <v>184</v>
      </c>
      <c r="M339" s="753"/>
      <c r="O339" s="747" t="str">
        <f>A243</f>
        <v>p38-1G 137G58</v>
      </c>
      <c r="P339" s="748"/>
      <c r="R339" s="749" t="str">
        <f>A309</f>
        <v>Aucun (2e ét. inerte)</v>
      </c>
      <c r="S339" s="749"/>
    </row>
    <row r="340" spans="1:19" x14ac:dyDescent="0.25">
      <c r="A340" s="546" t="str">
        <v xml:space="preserve"> </v>
      </c>
      <c r="C340" s="739" t="s">
        <v>184</v>
      </c>
      <c r="D340" s="739"/>
      <c r="F340" s="739" t="s">
        <v>184</v>
      </c>
      <c r="G340" s="739"/>
      <c r="I340" s="753" t="s">
        <v>184</v>
      </c>
      <c r="J340" s="753"/>
      <c r="L340" s="753" t="s">
        <v>184</v>
      </c>
      <c r="M340" s="753"/>
      <c r="O340" s="747" t="str">
        <f>A253</f>
        <v>p38-1G 141G78</v>
      </c>
      <c r="P340" s="748"/>
      <c r="R340" s="744" t="s">
        <v>184</v>
      </c>
      <c r="S340" s="744"/>
    </row>
    <row r="341" spans="1:19" x14ac:dyDescent="0.25">
      <c r="A341" s="546" t="str">
        <v xml:space="preserve"> </v>
      </c>
      <c r="C341" s="739" t="s">
        <v>184</v>
      </c>
      <c r="D341" s="739"/>
      <c r="F341" s="739" t="s">
        <v>184</v>
      </c>
      <c r="G341" s="739"/>
      <c r="I341" s="742" t="s">
        <v>184</v>
      </c>
      <c r="J341" s="742"/>
      <c r="L341" s="753" t="s">
        <v>184</v>
      </c>
      <c r="M341" s="753"/>
      <c r="O341" s="747" t="str">
        <f>A193</f>
        <v>p24-6G 140G145 PK</v>
      </c>
      <c r="P341" s="748"/>
      <c r="R341" s="739" t="s">
        <v>184</v>
      </c>
      <c r="S341" s="739"/>
    </row>
    <row r="342" spans="1:19" x14ac:dyDescent="0.25">
      <c r="A342" s="546" t="str">
        <v xml:space="preserve"> </v>
      </c>
      <c r="C342" s="739" t="s">
        <v>184</v>
      </c>
      <c r="D342" s="739"/>
      <c r="F342" s="739" t="s">
        <v>184</v>
      </c>
      <c r="G342" s="739"/>
      <c r="I342" s="742" t="s">
        <v>184</v>
      </c>
      <c r="J342" s="742"/>
      <c r="L342" s="753" t="s">
        <v>184</v>
      </c>
      <c r="M342" s="753"/>
      <c r="O342" s="747" t="str">
        <f>A198</f>
        <v>Pandora (Pro24-6G BS)</v>
      </c>
      <c r="P342" s="748"/>
      <c r="R342" s="739" t="s">
        <v>184</v>
      </c>
      <c r="S342" s="739"/>
    </row>
    <row r="343" spans="1:19" x14ac:dyDescent="0.25">
      <c r="A343" s="546" t="str">
        <v xml:space="preserve"> </v>
      </c>
      <c r="C343" s="739" t="s">
        <v>184</v>
      </c>
      <c r="D343" s="739"/>
      <c r="F343" s="739" t="s">
        <v>184</v>
      </c>
      <c r="G343" s="739"/>
      <c r="I343" s="742" t="s">
        <v>184</v>
      </c>
      <c r="J343" s="742"/>
      <c r="L343" s="742" t="s">
        <v>184</v>
      </c>
      <c r="M343" s="742"/>
      <c r="O343" s="745" t="str">
        <f>A203</f>
        <v>p24-6G 142G117 WT</v>
      </c>
      <c r="P343" s="746"/>
      <c r="R343" s="739" t="s">
        <v>184</v>
      </c>
      <c r="S343" s="739"/>
    </row>
    <row r="344" spans="1:19" x14ac:dyDescent="0.25">
      <c r="A344" s="546" t="str">
        <v xml:space="preserve"> </v>
      </c>
      <c r="C344" s="739" t="s">
        <v>184</v>
      </c>
      <c r="D344" s="739"/>
      <c r="F344" s="739" t="s">
        <v>184</v>
      </c>
      <c r="G344" s="739"/>
      <c r="I344" s="743" t="s">
        <v>184</v>
      </c>
      <c r="J344" s="743"/>
      <c r="L344" s="742" t="s">
        <v>184</v>
      </c>
      <c r="M344" s="742"/>
      <c r="O344" s="745" t="str">
        <f>A208</f>
        <v>p24-6G 139G107 DT</v>
      </c>
      <c r="P344" s="746"/>
      <c r="R344" s="739" t="s">
        <v>184</v>
      </c>
      <c r="S344" s="739"/>
    </row>
    <row r="345" spans="1:19" x14ac:dyDescent="0.25">
      <c r="A345" s="546" t="str">
        <v xml:space="preserve"> </v>
      </c>
      <c r="C345" s="739" t="s">
        <v>184</v>
      </c>
      <c r="D345" s="739"/>
      <c r="F345" s="739" t="s">
        <v>184</v>
      </c>
      <c r="G345" s="739"/>
      <c r="I345" s="739" t="s">
        <v>184</v>
      </c>
      <c r="J345" s="739"/>
      <c r="L345" s="742" t="s">
        <v>184</v>
      </c>
      <c r="M345" s="742"/>
      <c r="O345" s="745" t="str">
        <f>A263</f>
        <v>Cariacou</v>
      </c>
      <c r="P345" s="746"/>
      <c r="R345" s="739" t="s">
        <v>184</v>
      </c>
      <c r="S345" s="739"/>
    </row>
    <row r="346" spans="1:19" x14ac:dyDescent="0.25">
      <c r="A346" s="559" t="str">
        <v xml:space="preserve"> </v>
      </c>
      <c r="C346" s="739" t="s">
        <v>184</v>
      </c>
      <c r="D346" s="739"/>
      <c r="F346" s="739" t="s">
        <v>184</v>
      </c>
      <c r="G346" s="739"/>
      <c r="I346" s="739" t="s">
        <v>184</v>
      </c>
      <c r="J346" s="739"/>
      <c r="L346" s="743" t="s">
        <v>184</v>
      </c>
      <c r="M346" s="743"/>
      <c r="O346" s="740" t="str">
        <f>A258</f>
        <v>Wapiti</v>
      </c>
      <c r="P346" s="741"/>
      <c r="R346" s="739" t="s">
        <v>184</v>
      </c>
      <c r="S346" s="739"/>
    </row>
  </sheetData>
  <sheetProtection password="C6AC" sheet="1" objects="1" scenarios="1"/>
  <dataConsolidate/>
  <mergeCells count="186">
    <mergeCell ref="C333:D333"/>
    <mergeCell ref="L343:M343"/>
    <mergeCell ref="L344:M344"/>
    <mergeCell ref="F338:G338"/>
    <mergeCell ref="C341:D341"/>
    <mergeCell ref="C342:D342"/>
    <mergeCell ref="C343:D343"/>
    <mergeCell ref="I342:J342"/>
    <mergeCell ref="I343:J343"/>
    <mergeCell ref="L341:M341"/>
    <mergeCell ref="L342:M342"/>
    <mergeCell ref="C344:D344"/>
    <mergeCell ref="L338:M338"/>
    <mergeCell ref="F333:G333"/>
    <mergeCell ref="L335:M335"/>
    <mergeCell ref="L336:M336"/>
    <mergeCell ref="I333:J333"/>
    <mergeCell ref="I334:J334"/>
    <mergeCell ref="C345:D345"/>
    <mergeCell ref="C346:D346"/>
    <mergeCell ref="C335:D335"/>
    <mergeCell ref="C336:D336"/>
    <mergeCell ref="C337:D337"/>
    <mergeCell ref="C338:D338"/>
    <mergeCell ref="C339:D339"/>
    <mergeCell ref="C340:D340"/>
    <mergeCell ref="C334:D334"/>
    <mergeCell ref="R316:S316"/>
    <mergeCell ref="R317:S317"/>
    <mergeCell ref="R318:S318"/>
    <mergeCell ref="R319:S319"/>
    <mergeCell ref="R320:S320"/>
    <mergeCell ref="C328:D328"/>
    <mergeCell ref="O328:P328"/>
    <mergeCell ref="R327:S327"/>
    <mergeCell ref="R326:S326"/>
    <mergeCell ref="C321:D321"/>
    <mergeCell ref="O321:P321"/>
    <mergeCell ref="R321:S321"/>
    <mergeCell ref="R325:S325"/>
    <mergeCell ref="R324:S324"/>
    <mergeCell ref="R323:S323"/>
    <mergeCell ref="I321:J321"/>
    <mergeCell ref="I322:J322"/>
    <mergeCell ref="I323:J323"/>
    <mergeCell ref="I324:J324"/>
    <mergeCell ref="I325:J325"/>
    <mergeCell ref="I326:J326"/>
    <mergeCell ref="I327:J327"/>
    <mergeCell ref="L323:M323"/>
    <mergeCell ref="L324:M324"/>
    <mergeCell ref="C332:D332"/>
    <mergeCell ref="R322:S322"/>
    <mergeCell ref="R328:S328"/>
    <mergeCell ref="R332:S332"/>
    <mergeCell ref="F328:G328"/>
    <mergeCell ref="F322:G322"/>
    <mergeCell ref="O326:P326"/>
    <mergeCell ref="F323:G323"/>
    <mergeCell ref="O331:P331"/>
    <mergeCell ref="R330:S330"/>
    <mergeCell ref="R329:S329"/>
    <mergeCell ref="O329:P329"/>
    <mergeCell ref="R331:S331"/>
    <mergeCell ref="L331:M331"/>
    <mergeCell ref="L332:M332"/>
    <mergeCell ref="L329:M329"/>
    <mergeCell ref="L330:M330"/>
    <mergeCell ref="L325:M325"/>
    <mergeCell ref="C329:D329"/>
    <mergeCell ref="C330:D330"/>
    <mergeCell ref="I332:J332"/>
    <mergeCell ref="C331:D331"/>
    <mergeCell ref="F325:G325"/>
    <mergeCell ref="C316:D316"/>
    <mergeCell ref="C317:D317"/>
    <mergeCell ref="C318:D318"/>
    <mergeCell ref="C319:D319"/>
    <mergeCell ref="C320:D320"/>
    <mergeCell ref="F316:G316"/>
    <mergeCell ref="L320:M320"/>
    <mergeCell ref="I316:J316"/>
    <mergeCell ref="I317:J317"/>
    <mergeCell ref="I318:J318"/>
    <mergeCell ref="I319:J319"/>
    <mergeCell ref="L317:M317"/>
    <mergeCell ref="F326:G326"/>
    <mergeCell ref="F327:G327"/>
    <mergeCell ref="L316:M316"/>
    <mergeCell ref="C327:D327"/>
    <mergeCell ref="C326:D326"/>
    <mergeCell ref="C325:D325"/>
    <mergeCell ref="C324:D324"/>
    <mergeCell ref="C323:D323"/>
    <mergeCell ref="C322:D322"/>
    <mergeCell ref="O316:P316"/>
    <mergeCell ref="F329:G329"/>
    <mergeCell ref="F330:G330"/>
    <mergeCell ref="F331:G331"/>
    <mergeCell ref="F324:G324"/>
    <mergeCell ref="F321:G321"/>
    <mergeCell ref="F320:G320"/>
    <mergeCell ref="O323:P323"/>
    <mergeCell ref="O320:P320"/>
    <mergeCell ref="O319:P319"/>
    <mergeCell ref="O324:P324"/>
    <mergeCell ref="F319:G319"/>
    <mergeCell ref="F318:G318"/>
    <mergeCell ref="F317:G317"/>
    <mergeCell ref="O322:P322"/>
    <mergeCell ref="O318:P318"/>
    <mergeCell ref="O317:P317"/>
    <mergeCell ref="I320:J320"/>
    <mergeCell ref="L318:M318"/>
    <mergeCell ref="L319:M319"/>
    <mergeCell ref="L326:M326"/>
    <mergeCell ref="L327:M327"/>
    <mergeCell ref="L321:M321"/>
    <mergeCell ref="L322:M322"/>
    <mergeCell ref="O325:P325"/>
    <mergeCell ref="O330:P330"/>
    <mergeCell ref="L339:M339"/>
    <mergeCell ref="L340:M340"/>
    <mergeCell ref="I340:J340"/>
    <mergeCell ref="I339:J339"/>
    <mergeCell ref="O338:P338"/>
    <mergeCell ref="O336:P336"/>
    <mergeCell ref="I328:J328"/>
    <mergeCell ref="I329:J329"/>
    <mergeCell ref="I330:J330"/>
    <mergeCell ref="I331:J331"/>
    <mergeCell ref="I335:J335"/>
    <mergeCell ref="L337:M337"/>
    <mergeCell ref="O341:P341"/>
    <mergeCell ref="L334:M334"/>
    <mergeCell ref="F334:G334"/>
    <mergeCell ref="F335:G335"/>
    <mergeCell ref="F336:G336"/>
    <mergeCell ref="F337:G337"/>
    <mergeCell ref="O327:P327"/>
    <mergeCell ref="O333:P333"/>
    <mergeCell ref="L328:M328"/>
    <mergeCell ref="I336:J336"/>
    <mergeCell ref="O332:P332"/>
    <mergeCell ref="L333:M333"/>
    <mergeCell ref="I341:J341"/>
    <mergeCell ref="O337:P337"/>
    <mergeCell ref="F339:G339"/>
    <mergeCell ref="F340:G340"/>
    <mergeCell ref="R340:S340"/>
    <mergeCell ref="R341:S341"/>
    <mergeCell ref="R343:S343"/>
    <mergeCell ref="R344:S344"/>
    <mergeCell ref="R345:S345"/>
    <mergeCell ref="O345:P345"/>
    <mergeCell ref="O340:P340"/>
    <mergeCell ref="R339:S339"/>
    <mergeCell ref="F332:G332"/>
    <mergeCell ref="O343:P343"/>
    <mergeCell ref="R338:S338"/>
    <mergeCell ref="R336:S336"/>
    <mergeCell ref="R337:S337"/>
    <mergeCell ref="R334:S334"/>
    <mergeCell ref="F341:G341"/>
    <mergeCell ref="O342:P342"/>
    <mergeCell ref="O335:P335"/>
    <mergeCell ref="O334:P334"/>
    <mergeCell ref="O339:P339"/>
    <mergeCell ref="O344:P344"/>
    <mergeCell ref="R335:S335"/>
    <mergeCell ref="R333:S333"/>
    <mergeCell ref="I337:J337"/>
    <mergeCell ref="I338:J338"/>
    <mergeCell ref="R346:S346"/>
    <mergeCell ref="R342:S342"/>
    <mergeCell ref="F342:G342"/>
    <mergeCell ref="F343:G343"/>
    <mergeCell ref="F344:G344"/>
    <mergeCell ref="F345:G345"/>
    <mergeCell ref="F346:G346"/>
    <mergeCell ref="O346:P346"/>
    <mergeCell ref="L345:M345"/>
    <mergeCell ref="L346:M346"/>
    <mergeCell ref="I344:J344"/>
    <mergeCell ref="I346:J346"/>
    <mergeCell ref="I345:J345"/>
  </mergeCells>
  <phoneticPr fontId="8" type="noConversion"/>
  <pageMargins left="0.39370078740157483" right="0.39370078740157483" top="0.39370078740157483" bottom="0.39370078740157483" header="0" footer="0"/>
  <pageSetup scale="44" firstPageNumber="0" fitToHeight="3" orientation="landscape" horizontalDpi="300" verticalDpi="300" r:id="rId1"/>
  <headerFooter alignWithMargins="0"/>
  <ignoredErrors>
    <ignoredError sqref="R317:S318 C317:D324 F317:G321 O322:P339 O342:P342 R334:S339 O340:O341 O317:P319 O320:P321 P341 M324" unlockedFormula="1"/>
  </ignoredError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4">
    <pageSetUpPr fitToPage="1"/>
  </sheetPr>
  <dimension ref="A1:IN1075"/>
  <sheetViews>
    <sheetView showGridLines="0" workbookViewId="0">
      <pane xSplit="3" ySplit="7" topLeftCell="D8" activePane="bottomRight" state="frozen"/>
      <selection pane="topRight" activeCell="D1" sqref="D1"/>
      <selection pane="bottomLeft" activeCell="A8" sqref="A8"/>
      <selection pane="bottomRight" activeCell="B219" sqref="B219"/>
    </sheetView>
  </sheetViews>
  <sheetFormatPr baseColWidth="10" defaultColWidth="11.6640625" defaultRowHeight="13.2" x14ac:dyDescent="0.25"/>
  <cols>
    <col min="1" max="1" width="4.6640625" style="11" bestFit="1" customWidth="1"/>
    <col min="2" max="2" width="6" style="11" bestFit="1" customWidth="1"/>
    <col min="3" max="3" width="1.33203125" style="12" customWidth="1"/>
    <col min="4" max="4" width="7.21875" style="13" customWidth="1"/>
    <col min="5" max="6" width="7.33203125" style="13" customWidth="1"/>
    <col min="7" max="7" width="7.21875" style="13" customWidth="1"/>
    <col min="8" max="8" width="7.33203125" style="13" customWidth="1"/>
    <col min="9" max="9" width="7.21875" style="13" customWidth="1"/>
    <col min="10" max="12" width="7.6640625" style="13" bestFit="1" customWidth="1"/>
    <col min="13" max="13" width="5.77734375" style="13" customWidth="1"/>
    <col min="14" max="14" width="6.33203125" style="13" customWidth="1"/>
    <col min="15" max="15" width="1.33203125" style="12" customWidth="1"/>
    <col min="16" max="16" width="4" style="13" customWidth="1"/>
    <col min="17" max="17" width="8.6640625" style="13" customWidth="1"/>
    <col min="18" max="18" width="5.77734375" style="13" customWidth="1"/>
    <col min="19" max="19" width="5.21875" style="13" customWidth="1"/>
    <col min="20" max="20" width="6" style="13" customWidth="1"/>
    <col min="21" max="21" width="8.77734375" style="13" customWidth="1"/>
    <col min="22" max="22" width="6.77734375" style="13" customWidth="1"/>
    <col min="23" max="23" width="7.21875" style="13" customWidth="1"/>
    <col min="24" max="24" width="1.33203125" style="12" customWidth="1"/>
    <col min="25" max="25" width="15.77734375" style="13" customWidth="1"/>
    <col min="26" max="26" width="5.77734375" style="13" customWidth="1"/>
    <col min="27" max="27" width="7.77734375" style="13" customWidth="1"/>
    <col min="28" max="28" width="1.6640625" style="13" customWidth="1"/>
    <col min="29" max="29" width="7.21875" style="13" bestFit="1" customWidth="1"/>
    <col min="30" max="31" width="6.77734375" style="13" bestFit="1" customWidth="1"/>
    <col min="32" max="32" width="1.77734375" style="13" customWidth="1"/>
    <col min="33" max="238" width="11.33203125" style="13" customWidth="1"/>
    <col min="239" max="239" width="11" style="13" customWidth="1"/>
  </cols>
  <sheetData>
    <row r="1" spans="1:248" ht="13.8" thickBot="1" x14ac:dyDescent="0.3">
      <c r="D1" s="760" t="s">
        <v>266</v>
      </c>
      <c r="E1" s="761"/>
      <c r="F1" s="761"/>
      <c r="G1" s="761"/>
      <c r="H1" s="761"/>
      <c r="I1" s="761"/>
      <c r="J1" s="761"/>
      <c r="K1" s="761"/>
      <c r="L1" s="761"/>
      <c r="M1" s="761"/>
      <c r="N1" s="762"/>
      <c r="P1" s="760" t="s">
        <v>17</v>
      </c>
      <c r="Q1" s="761"/>
      <c r="R1" s="761"/>
      <c r="S1" s="761"/>
      <c r="T1" s="761"/>
      <c r="U1" s="761"/>
      <c r="V1" s="761"/>
      <c r="W1" s="762"/>
      <c r="Y1" s="14"/>
      <c r="Z1" s="14"/>
      <c r="AA1" s="14"/>
      <c r="AC1" s="767" t="s">
        <v>186</v>
      </c>
      <c r="AD1" s="768"/>
      <c r="AE1" s="768"/>
      <c r="AG1" s="763" t="s">
        <v>18</v>
      </c>
      <c r="AH1" s="763"/>
    </row>
    <row r="2" spans="1:248" s="17" customFormat="1" x14ac:dyDescent="0.25">
      <c r="A2" s="383" t="s">
        <v>19</v>
      </c>
      <c r="B2" s="384" t="s">
        <v>2</v>
      </c>
      <c r="C2" s="15"/>
      <c r="D2" s="387" t="s">
        <v>193</v>
      </c>
      <c r="E2" s="388" t="s">
        <v>194</v>
      </c>
      <c r="F2" s="384" t="s">
        <v>195</v>
      </c>
      <c r="G2" s="387" t="s">
        <v>190</v>
      </c>
      <c r="H2" s="388" t="s">
        <v>191</v>
      </c>
      <c r="I2" s="384" t="s">
        <v>192</v>
      </c>
      <c r="J2" s="387" t="s">
        <v>187</v>
      </c>
      <c r="K2" s="388" t="s">
        <v>188</v>
      </c>
      <c r="L2" s="384" t="s">
        <v>189</v>
      </c>
      <c r="M2" s="389" t="s">
        <v>20</v>
      </c>
      <c r="N2" s="384" t="s">
        <v>21</v>
      </c>
      <c r="O2" s="15"/>
      <c r="P2" s="389" t="s">
        <v>26</v>
      </c>
      <c r="Q2" s="384" t="s">
        <v>25</v>
      </c>
      <c r="R2" s="389" t="s">
        <v>22</v>
      </c>
      <c r="S2" s="392" t="s">
        <v>39</v>
      </c>
      <c r="T2" s="384" t="s">
        <v>27</v>
      </c>
      <c r="U2" s="393" t="s">
        <v>28</v>
      </c>
      <c r="V2" s="389" t="s">
        <v>24</v>
      </c>
      <c r="W2" s="384" t="s">
        <v>23</v>
      </c>
      <c r="X2" s="16"/>
      <c r="Y2" s="764" t="s">
        <v>185</v>
      </c>
      <c r="Z2" s="765"/>
      <c r="AA2" s="766"/>
      <c r="AC2" s="389" t="s">
        <v>11</v>
      </c>
      <c r="AD2" s="388" t="s">
        <v>3</v>
      </c>
      <c r="AE2" s="384" t="s">
        <v>29</v>
      </c>
      <c r="AG2" s="400" t="s">
        <v>31</v>
      </c>
      <c r="AH2" s="401" t="s">
        <v>30</v>
      </c>
      <c r="IF2"/>
      <c r="IG2"/>
      <c r="IH2"/>
      <c r="II2"/>
      <c r="IJ2"/>
      <c r="IK2"/>
      <c r="IL2"/>
      <c r="IM2"/>
      <c r="IN2"/>
    </row>
    <row r="3" spans="1:248" s="17" customFormat="1" x14ac:dyDescent="0.25">
      <c r="A3" s="385" t="s">
        <v>154</v>
      </c>
      <c r="B3" s="386" t="s">
        <v>154</v>
      </c>
      <c r="C3" s="15"/>
      <c r="D3" s="390" t="s">
        <v>7</v>
      </c>
      <c r="E3" s="391" t="s">
        <v>7</v>
      </c>
      <c r="F3" s="386" t="s">
        <v>7</v>
      </c>
      <c r="G3" s="390" t="s">
        <v>155</v>
      </c>
      <c r="H3" s="391" t="s">
        <v>155</v>
      </c>
      <c r="I3" s="386" t="s">
        <v>155</v>
      </c>
      <c r="J3" s="390" t="s">
        <v>39</v>
      </c>
      <c r="K3" s="391" t="s">
        <v>39</v>
      </c>
      <c r="L3" s="386" t="s">
        <v>39</v>
      </c>
      <c r="M3" s="385" t="s">
        <v>244</v>
      </c>
      <c r="N3" s="386" t="s">
        <v>156</v>
      </c>
      <c r="O3" s="15"/>
      <c r="P3" s="390" t="s">
        <v>14</v>
      </c>
      <c r="Q3" s="394" t="s">
        <v>227</v>
      </c>
      <c r="R3" s="390" t="s">
        <v>245</v>
      </c>
      <c r="S3" s="395" t="s">
        <v>228</v>
      </c>
      <c r="T3" s="394" t="s">
        <v>227</v>
      </c>
      <c r="U3" s="396" t="s">
        <v>227</v>
      </c>
      <c r="V3" s="390" t="s">
        <v>8</v>
      </c>
      <c r="W3" s="394" t="s">
        <v>227</v>
      </c>
      <c r="X3" s="16"/>
      <c r="Y3" s="397"/>
      <c r="Z3" s="398"/>
      <c r="AA3" s="399"/>
      <c r="AC3" s="390" t="s">
        <v>154</v>
      </c>
      <c r="AD3" s="395" t="s">
        <v>39</v>
      </c>
      <c r="AE3" s="394" t="s">
        <v>39</v>
      </c>
      <c r="AG3" s="397" t="s">
        <v>7</v>
      </c>
      <c r="AH3" s="394" t="s">
        <v>7</v>
      </c>
      <c r="IF3"/>
      <c r="IG3"/>
      <c r="IH3"/>
      <c r="II3"/>
      <c r="IJ3"/>
      <c r="IK3"/>
      <c r="IL3"/>
      <c r="IM3"/>
      <c r="IN3"/>
    </row>
    <row r="4" spans="1:248" x14ac:dyDescent="0.25">
      <c r="A4" s="345" t="s">
        <v>14</v>
      </c>
      <c r="B4" s="404">
        <f>T_ini</f>
        <v>0</v>
      </c>
      <c r="C4" s="342"/>
      <c r="D4" s="345" t="s">
        <v>14</v>
      </c>
      <c r="E4" s="346" t="s">
        <v>14</v>
      </c>
      <c r="F4" s="347" t="s">
        <v>14</v>
      </c>
      <c r="G4" s="345">
        <f>vit_xz*COS(Beta)</f>
        <v>0</v>
      </c>
      <c r="H4" s="346">
        <f>vit_xz*SIN(Beta)</f>
        <v>0</v>
      </c>
      <c r="I4" s="404">
        <f>V_ini</f>
        <v>0</v>
      </c>
      <c r="J4" s="405">
        <f>X_ini</f>
        <v>0</v>
      </c>
      <c r="K4" s="406">
        <f>Z_ini</f>
        <v>0</v>
      </c>
      <c r="L4" s="380">
        <f t="shared" ref="L4:L67" si="0">SQRT(pos_x^2+pos_z^2)</f>
        <v>0</v>
      </c>
      <c r="M4" s="345">
        <f>RADIANS(N4)</f>
        <v>1.3962634015954636</v>
      </c>
      <c r="N4" s="404">
        <f>Beta_rampe</f>
        <v>80</v>
      </c>
      <c r="O4" s="343"/>
      <c r="P4" s="345" t="s">
        <v>14</v>
      </c>
      <c r="Q4" s="347" t="s">
        <v>14</v>
      </c>
      <c r="R4" s="345" t="s">
        <v>14</v>
      </c>
      <c r="S4" s="406">
        <f ca="1">m_tot</f>
        <v>11.510999999999999</v>
      </c>
      <c r="T4" s="380">
        <f t="shared" ref="T4:T67" ca="1" si="1">m*g</f>
        <v>112.92291</v>
      </c>
      <c r="U4" s="381">
        <f t="shared" ref="U4:U67" ca="1" si="2">IF(pos_xz&lt;L_rampe,Poids*COS(Beta),0)</f>
        <v>19.608857538346793</v>
      </c>
      <c r="V4" s="382">
        <f t="shared" ref="V4:V67" si="3">Rho_moyen*(20000-Alt_rampe-pos_z)/(20000+Alt_rampe+pos_z)</f>
        <v>1.2250000000000001</v>
      </c>
      <c r="W4" s="380">
        <f t="shared" ref="W4:W67" si="4">1/2*Rho*Sref*Cx*vit_xz^2</f>
        <v>0</v>
      </c>
      <c r="X4" s="343"/>
      <c r="Y4" s="348" t="s">
        <v>14</v>
      </c>
      <c r="Z4" s="349" t="s">
        <v>14</v>
      </c>
      <c r="AA4" s="350" t="s">
        <v>14</v>
      </c>
      <c r="AB4" s="344"/>
      <c r="AC4" s="373">
        <f>IF(ABS(t-ROUND(t,0))&lt;0.001,t,-1)</f>
        <v>0</v>
      </c>
      <c r="AD4" s="374">
        <f>IF(ABS(t-ROUND(t,0))&lt;0.001,pos_x,-1)</f>
        <v>0</v>
      </c>
      <c r="AE4" s="375">
        <f t="shared" ref="AE4:AE67" si="5">IF(t&lt;T_para, pos_z, NA())</f>
        <v>0</v>
      </c>
      <c r="AF4" s="344"/>
      <c r="AG4" s="345" t="s">
        <v>14</v>
      </c>
      <c r="AH4" s="347" t="s">
        <v>14</v>
      </c>
    </row>
    <row r="5" spans="1:248" x14ac:dyDescent="0.25">
      <c r="A5" s="402">
        <f t="shared" ref="A5:A68" ca="1" si="6">IF(B4+0.01&lt;=T_ini+ROUNDUP(Temps_fin_propu,0), 0.01, IF(K4&gt;0, 0.1, 0.0001))</f>
        <v>0.01</v>
      </c>
      <c r="B5" s="357">
        <f t="shared" ref="B5:B68" ca="1" si="7">B4+pas</f>
        <v>0.01</v>
      </c>
      <c r="C5" s="342"/>
      <c r="D5" s="359">
        <f t="shared" ref="D5:D68" ca="1" si="8">IF(AND(L4&lt;L_rampe,Poussee&lt;Poids*SIN(M4)),0,(-W4+Poussee)/m*COS(M4)-U4/m*SIN(M4))</f>
        <v>1.5613750390852976</v>
      </c>
      <c r="E5" s="360">
        <f t="shared" ref="E5:E68" ca="1" si="9">IF(AND(L4&lt;L_rampe,Poussee&lt;Poids*SIN(M4)),0,(-W4+Poussee)/m*SIN(M4)+U4/m*COS(M4)-Poids/m)</f>
        <v>8.855914531288283</v>
      </c>
      <c r="F5" s="357">
        <f t="shared" ref="F5:F68" ca="1" si="10">SQRT(acc_x^2+acc_z^2)</f>
        <v>8.9925032220267553</v>
      </c>
      <c r="G5" s="359">
        <f t="shared" ref="G5:G68" ca="1" si="11">G4+acc_x*pas</f>
        <v>1.5613750390852976E-2</v>
      </c>
      <c r="H5" s="360">
        <f t="shared" ref="H5:H68" ca="1" si="12">H4+acc_z*pas</f>
        <v>8.8559145312882837E-2</v>
      </c>
      <c r="I5" s="357">
        <f t="shared" ref="I5:I68" ca="1" si="13">SQRT(vit_x^2+vit_z^2)</f>
        <v>8.9925032220267556E-2</v>
      </c>
      <c r="J5" s="359">
        <f t="shared" ref="J5:J68" ca="1" si="14">J4+0.5*(vit_x+G4)*pas*(K4&gt;=0)</f>
        <v>7.8068751954264885E-5</v>
      </c>
      <c r="K5" s="360">
        <f t="shared" ref="K5:K68" ca="1" si="15">K4+0.5*(vit_z+H4)*pas</f>
        <v>4.4279572656441422E-4</v>
      </c>
      <c r="L5" s="357">
        <f t="shared" ca="1" si="0"/>
        <v>4.4962516110133788E-4</v>
      </c>
      <c r="M5" s="359">
        <f t="shared" ref="M5:M68" ca="1" si="16">IF(AND(L4&gt;L_rampe,G5&gt;0),ATAN2(G5,H5),$M$4)</f>
        <v>1.3962634015954636</v>
      </c>
      <c r="N5" s="357">
        <f t="shared" ref="N5:N68" ca="1" si="17">DEGREES(Beta)</f>
        <v>80</v>
      </c>
      <c r="O5" s="343"/>
      <c r="P5" s="363">
        <f t="shared" ref="P5:P68" ca="1" si="18">MATCH(t-pas/2-T_ini,CdP_t)</f>
        <v>1</v>
      </c>
      <c r="Q5" s="357">
        <f t="shared" ref="Q5:Q68" ca="1" si="19">(INDEX(CdP,2,i_P+1)-INDEX(CdP,2,i_P+0))/(INDEX(CdP,1,i_P+1)-INDEX(CdP,1,i_P+0))*(t-pas/2-T_ini-INDEX(CdP,1,i_P+0))+INDEX(CdP,2,i_P+0)</f>
        <v>214.70000000000002</v>
      </c>
      <c r="R5" s="359">
        <f t="shared" ref="R5:R68" ca="1" si="20">Poussee/(g*ISP)</f>
        <v>0.10755015641095009</v>
      </c>
      <c r="S5" s="360">
        <f t="shared" ref="S5:S68" ca="1" si="21">S4-Débit*pas</f>
        <v>11.50992449843589</v>
      </c>
      <c r="T5" s="357">
        <f t="shared" ca="1" si="1"/>
        <v>112.91235932965608</v>
      </c>
      <c r="U5" s="364">
        <f t="shared" ca="1" si="2"/>
        <v>19.607025433668408</v>
      </c>
      <c r="V5" s="359">
        <f t="shared" ca="1" si="3"/>
        <v>1.2249999457575247</v>
      </c>
      <c r="W5" s="357">
        <f t="shared" ca="1" si="4"/>
        <v>2.2422131307276839E-5</v>
      </c>
      <c r="X5" s="343"/>
      <c r="Y5" s="367" t="str">
        <f t="shared" ref="Y5:Y68" ca="1" si="22">IF(AND(pos_z&lt;=0,K4&gt;0),"Impact balistique","") &amp; IF(AND(H6&lt;0,vit_z&gt;=0),"Apogée","") &amp; IF(AND(Poussee=0,Q4&gt;0),"Fin de propulsion","") &amp; IF(AND(L6&gt;L_rampe,pos_xz&lt;=L_rampe),"Sortie de rampe","")</f>
        <v/>
      </c>
      <c r="Z5" s="368" t="str">
        <f t="shared" ref="Z5:Z68" ca="1" si="23">IF(ABS(t-T_para)&lt;pas/2,"Para","")</f>
        <v/>
      </c>
      <c r="AA5" s="369" t="str">
        <f t="shared" ref="AA5:AA68" ca="1" si="24">IF(ABS(t-T_satellite)&lt;pas/2,"Satellite","")</f>
        <v/>
      </c>
      <c r="AB5" s="344"/>
      <c r="AC5" s="363" t="e">
        <f t="shared" ref="AC5:AC68" ca="1" si="25">IF(ABS(t-ROUND(t,0))&lt;0.001,t,NA())</f>
        <v>#N/A</v>
      </c>
      <c r="AD5" s="376" t="e">
        <f t="shared" ref="AD5:AD68" ca="1" si="26">IF(ABS(t-ROUND(t,0))&lt;0.001,pos_x,NA())</f>
        <v>#N/A</v>
      </c>
      <c r="AE5" s="377">
        <f t="shared" ca="1" si="5"/>
        <v>4.4279572656441422E-4</v>
      </c>
      <c r="AF5" s="344"/>
      <c r="AG5" s="359">
        <f t="shared" ref="AG5:AG68" ca="1" si="27">IF(AND(L4&lt;L_rampe,Poussee&lt;Poids*SIN(M4)),0,(-W4+Poussee)/m-Poids*SIN(M4)/m)</f>
        <v>8.9925032206179694</v>
      </c>
      <c r="AH5" s="357">
        <f t="shared" ref="AH5:AH68" ca="1" si="28">IF(AND(L4&lt;L_rampe,Poussee&lt;Poids*SIN(M4)), g*SIN(M4), (-W4+Poussee)/m)</f>
        <v>18.65346727766773</v>
      </c>
    </row>
    <row r="6" spans="1:248" x14ac:dyDescent="0.25">
      <c r="A6" s="402">
        <f t="shared" ca="1" si="6"/>
        <v>0.01</v>
      </c>
      <c r="B6" s="357">
        <f t="shared" ca="1" si="7"/>
        <v>0.02</v>
      </c>
      <c r="C6" s="342"/>
      <c r="D6" s="359">
        <f t="shared" ca="1" si="8"/>
        <v>5.1349321781940898</v>
      </c>
      <c r="E6" s="360">
        <f t="shared" ca="1" si="9"/>
        <v>29.123575511233945</v>
      </c>
      <c r="F6" s="357">
        <f t="shared" ca="1" si="10"/>
        <v>29.572794575981465</v>
      </c>
      <c r="G6" s="359">
        <f t="shared" ca="1" si="11"/>
        <v>6.6963072172793875E-2</v>
      </c>
      <c r="H6" s="360">
        <f t="shared" ca="1" si="12"/>
        <v>0.37979490042522229</v>
      </c>
      <c r="I6" s="357">
        <f t="shared" ca="1" si="13"/>
        <v>0.38565297797867881</v>
      </c>
      <c r="J6" s="359">
        <f t="shared" ca="1" si="14"/>
        <v>4.9095286477249906E-4</v>
      </c>
      <c r="K6" s="360">
        <f t="shared" ca="1" si="15"/>
        <v>2.7845659552549399E-3</v>
      </c>
      <c r="L6" s="357">
        <f t="shared" ca="1" si="0"/>
        <v>2.8275152120887303E-3</v>
      </c>
      <c r="M6" s="359">
        <f t="shared" ca="1" si="16"/>
        <v>1.3962634015954636</v>
      </c>
      <c r="N6" s="357">
        <f t="shared" ca="1" si="17"/>
        <v>80</v>
      </c>
      <c r="O6" s="343"/>
      <c r="P6" s="363">
        <f t="shared" ca="1" si="18"/>
        <v>2</v>
      </c>
      <c r="Q6" s="357">
        <f t="shared" ca="1" si="19"/>
        <v>451.48888888888888</v>
      </c>
      <c r="R6" s="359">
        <f t="shared" ca="1" si="20"/>
        <v>0.22616534987333983</v>
      </c>
      <c r="S6" s="360">
        <f t="shared" ca="1" si="21"/>
        <v>11.507662844937157</v>
      </c>
      <c r="T6" s="357">
        <f t="shared" ca="1" si="1"/>
        <v>112.89017250883352</v>
      </c>
      <c r="U6" s="364">
        <f t="shared" ca="1" si="2"/>
        <v>19.603172732664348</v>
      </c>
      <c r="V6" s="359">
        <f t="shared" ca="1" si="3"/>
        <v>1.2249996588907179</v>
      </c>
      <c r="W6" s="357">
        <f t="shared" ca="1" si="4"/>
        <v>4.1239079634663528E-4</v>
      </c>
      <c r="X6" s="343"/>
      <c r="Y6" s="367" t="str">
        <f t="shared" ca="1" si="22"/>
        <v/>
      </c>
      <c r="Z6" s="368" t="str">
        <f t="shared" ca="1" si="23"/>
        <v/>
      </c>
      <c r="AA6" s="369" t="str">
        <f t="shared" ca="1" si="24"/>
        <v/>
      </c>
      <c r="AB6" s="344"/>
      <c r="AC6" s="363" t="e">
        <f t="shared" ca="1" si="25"/>
        <v>#N/A</v>
      </c>
      <c r="AD6" s="376" t="e">
        <f t="shared" ca="1" si="26"/>
        <v>#N/A</v>
      </c>
      <c r="AE6" s="377">
        <f t="shared" ca="1" si="5"/>
        <v>2.7845659552549399E-3</v>
      </c>
      <c r="AF6" s="344"/>
      <c r="AG6" s="359">
        <f t="shared" ca="1" si="27"/>
        <v>29.572794574086359</v>
      </c>
      <c r="AH6" s="357">
        <f t="shared" ca="1" si="28"/>
        <v>39.233758631136119</v>
      </c>
    </row>
    <row r="7" spans="1:248" x14ac:dyDescent="0.25">
      <c r="A7" s="402">
        <f t="shared" ca="1" si="6"/>
        <v>0.01</v>
      </c>
      <c r="B7" s="357">
        <f t="shared" ca="1" si="7"/>
        <v>0.03</v>
      </c>
      <c r="C7" s="342"/>
      <c r="D7" s="359">
        <f t="shared" ca="1" si="8"/>
        <v>6.618321303204282</v>
      </c>
      <c r="E7" s="360">
        <f t="shared" ca="1" si="9"/>
        <v>37.536713100060481</v>
      </c>
      <c r="F7" s="357">
        <f t="shared" ca="1" si="10"/>
        <v>38.115705519230517</v>
      </c>
      <c r="G7" s="359">
        <f t="shared" ca="1" si="11"/>
        <v>0.13314628520483668</v>
      </c>
      <c r="H7" s="360">
        <f t="shared" ca="1" si="12"/>
        <v>0.75516203142582716</v>
      </c>
      <c r="I7" s="357">
        <f t="shared" ca="1" si="13"/>
        <v>0.76681003317055629</v>
      </c>
      <c r="J7" s="359">
        <f t="shared" ca="1" si="14"/>
        <v>1.491499651660652E-3</v>
      </c>
      <c r="K7" s="360">
        <f t="shared" ca="1" si="15"/>
        <v>8.4593506145101884E-3</v>
      </c>
      <c r="L7" s="357">
        <f t="shared" ca="1" si="0"/>
        <v>8.5898302678293799E-3</v>
      </c>
      <c r="M7" s="359">
        <f t="shared" ca="1" si="16"/>
        <v>1.3962634015954636</v>
      </c>
      <c r="N7" s="357">
        <f t="shared" ca="1" si="17"/>
        <v>80</v>
      </c>
      <c r="O7" s="343"/>
      <c r="P7" s="363">
        <f t="shared" ca="1" si="18"/>
        <v>2</v>
      </c>
      <c r="Q7" s="357">
        <f t="shared" ca="1" si="19"/>
        <v>549.66666666666663</v>
      </c>
      <c r="R7" s="359">
        <f t="shared" ca="1" si="20"/>
        <v>0.27534576606374267</v>
      </c>
      <c r="S7" s="360">
        <f t="shared" ca="1" si="21"/>
        <v>11.50490938727652</v>
      </c>
      <c r="T7" s="357">
        <f t="shared" ca="1" si="1"/>
        <v>112.86316108918267</v>
      </c>
      <c r="U7" s="364">
        <f t="shared" ca="1" si="2"/>
        <v>19.598482248865778</v>
      </c>
      <c r="V7" s="359">
        <f t="shared" ca="1" si="3"/>
        <v>1.2249989637299883</v>
      </c>
      <c r="W7" s="357">
        <f t="shared" ca="1" si="4"/>
        <v>1.6303877836434633E-3</v>
      </c>
      <c r="X7" s="343"/>
      <c r="Y7" s="367" t="str">
        <f t="shared" ca="1" si="22"/>
        <v/>
      </c>
      <c r="Z7" s="368" t="str">
        <f t="shared" ca="1" si="23"/>
        <v/>
      </c>
      <c r="AA7" s="369" t="str">
        <f t="shared" ca="1" si="24"/>
        <v/>
      </c>
      <c r="AB7" s="344"/>
      <c r="AC7" s="363" t="e">
        <f t="shared" ca="1" si="25"/>
        <v>#N/A</v>
      </c>
      <c r="AD7" s="376" t="e">
        <f t="shared" ca="1" si="26"/>
        <v>#N/A</v>
      </c>
      <c r="AE7" s="377">
        <f t="shared" ca="1" si="5"/>
        <v>8.4593506145101884E-3</v>
      </c>
      <c r="AF7" s="344"/>
      <c r="AG7" s="359">
        <f t="shared" ca="1" si="27"/>
        <v>38.115705517050131</v>
      </c>
      <c r="AH7" s="357">
        <f t="shared" ca="1" si="28"/>
        <v>47.776669574099891</v>
      </c>
    </row>
    <row r="8" spans="1:248" x14ac:dyDescent="0.25">
      <c r="A8" s="402">
        <f t="shared" ca="1" si="6"/>
        <v>0.01</v>
      </c>
      <c r="B8" s="357">
        <f t="shared" ca="1" si="7"/>
        <v>0.04</v>
      </c>
      <c r="C8" s="342"/>
      <c r="D8" s="359">
        <f t="shared" ca="1" si="8"/>
        <v>8.1028263208756801</v>
      </c>
      <c r="E8" s="360">
        <f t="shared" ca="1" si="9"/>
        <v>45.95617954999468</v>
      </c>
      <c r="F8" s="357">
        <f t="shared" ca="1" si="10"/>
        <v>46.66504294670289</v>
      </c>
      <c r="G8" s="359">
        <f t="shared" ca="1" si="11"/>
        <v>0.21417454841359349</v>
      </c>
      <c r="H8" s="360">
        <f t="shared" ca="1" si="12"/>
        <v>1.2147238269257739</v>
      </c>
      <c r="I8" s="357">
        <f t="shared" ca="1" si="13"/>
        <v>1.2334604626372765</v>
      </c>
      <c r="J8" s="359">
        <f t="shared" ca="1" si="14"/>
        <v>3.2281038197528025E-3</v>
      </c>
      <c r="K8" s="360">
        <f t="shared" ca="1" si="15"/>
        <v>1.8308779906268193E-2</v>
      </c>
      <c r="L8" s="357">
        <f t="shared" ca="1" si="0"/>
        <v>1.8591182746863433E-2</v>
      </c>
      <c r="M8" s="359">
        <f t="shared" ca="1" si="16"/>
        <v>1.3962634015954636</v>
      </c>
      <c r="N8" s="357">
        <f t="shared" ca="1" si="17"/>
        <v>80</v>
      </c>
      <c r="O8" s="343"/>
      <c r="P8" s="363">
        <f t="shared" ca="1" si="18"/>
        <v>2</v>
      </c>
      <c r="Q8" s="357">
        <f t="shared" ca="1" si="19"/>
        <v>647.84444444444443</v>
      </c>
      <c r="R8" s="359">
        <f t="shared" ca="1" si="20"/>
        <v>0.32452618225414559</v>
      </c>
      <c r="S8" s="360">
        <f t="shared" ca="1" si="21"/>
        <v>11.501664125453978</v>
      </c>
      <c r="T8" s="357">
        <f t="shared" ca="1" si="1"/>
        <v>112.83132507070353</v>
      </c>
      <c r="U8" s="364">
        <f t="shared" ca="1" si="2"/>
        <v>19.592953982272707</v>
      </c>
      <c r="V8" s="359">
        <f t="shared" ca="1" si="3"/>
        <v>1.2249977571765149</v>
      </c>
      <c r="W8" s="357">
        <f t="shared" ca="1" si="4"/>
        <v>4.2185711449962754E-3</v>
      </c>
      <c r="X8" s="343"/>
      <c r="Y8" s="367" t="str">
        <f t="shared" ca="1" si="22"/>
        <v/>
      </c>
      <c r="Z8" s="368" t="str">
        <f t="shared" ca="1" si="23"/>
        <v/>
      </c>
      <c r="AA8" s="369" t="str">
        <f t="shared" ca="1" si="24"/>
        <v/>
      </c>
      <c r="AB8" s="344"/>
      <c r="AC8" s="363" t="e">
        <f t="shared" ca="1" si="25"/>
        <v>#N/A</v>
      </c>
      <c r="AD8" s="376" t="e">
        <f t="shared" ca="1" si="26"/>
        <v>#N/A</v>
      </c>
      <c r="AE8" s="377">
        <f t="shared" ca="1" si="5"/>
        <v>1.8308779906268193E-2</v>
      </c>
      <c r="AF8" s="344"/>
      <c r="AG8" s="359">
        <f t="shared" ca="1" si="27"/>
        <v>46.665042944227551</v>
      </c>
      <c r="AH8" s="357">
        <f t="shared" ca="1" si="28"/>
        <v>56.326007001277311</v>
      </c>
    </row>
    <row r="9" spans="1:248" x14ac:dyDescent="0.25">
      <c r="A9" s="402">
        <f t="shared" ca="1" si="6"/>
        <v>0.01</v>
      </c>
      <c r="B9" s="357">
        <f t="shared" ca="1" si="7"/>
        <v>0.05</v>
      </c>
      <c r="C9" s="342"/>
      <c r="D9" s="359">
        <f t="shared" ca="1" si="8"/>
        <v>9.5886304795939363</v>
      </c>
      <c r="E9" s="360">
        <f t="shared" ca="1" si="9"/>
        <v>54.383014168456256</v>
      </c>
      <c r="F9" s="357">
        <f t="shared" ca="1" si="10"/>
        <v>55.221862197147175</v>
      </c>
      <c r="G9" s="359">
        <f t="shared" ca="1" si="11"/>
        <v>0.31006085320953286</v>
      </c>
      <c r="H9" s="360">
        <f t="shared" ca="1" si="12"/>
        <v>1.7585539686103364</v>
      </c>
      <c r="I9" s="357">
        <f t="shared" ca="1" si="13"/>
        <v>1.7856790846084822</v>
      </c>
      <c r="J9" s="359">
        <f t="shared" ca="1" si="14"/>
        <v>5.8492808278684336E-3</v>
      </c>
      <c r="K9" s="360">
        <f t="shared" ca="1" si="15"/>
        <v>3.3175168883948745E-2</v>
      </c>
      <c r="L9" s="357">
        <f t="shared" ca="1" si="0"/>
        <v>3.3686880483087038E-2</v>
      </c>
      <c r="M9" s="359">
        <f t="shared" ca="1" si="16"/>
        <v>1.3962634015954636</v>
      </c>
      <c r="N9" s="357">
        <f t="shared" ca="1" si="17"/>
        <v>80</v>
      </c>
      <c r="O9" s="343"/>
      <c r="P9" s="363">
        <f t="shared" ca="1" si="18"/>
        <v>2</v>
      </c>
      <c r="Q9" s="357">
        <f t="shared" ca="1" si="19"/>
        <v>746.02222222222224</v>
      </c>
      <c r="R9" s="359">
        <f t="shared" ca="1" si="20"/>
        <v>0.37370659844454851</v>
      </c>
      <c r="S9" s="360">
        <f t="shared" ca="1" si="21"/>
        <v>11.497927059469532</v>
      </c>
      <c r="T9" s="357">
        <f t="shared" ca="1" si="1"/>
        <v>112.79466445339612</v>
      </c>
      <c r="U9" s="364">
        <f t="shared" ca="1" si="2"/>
        <v>19.586587932885131</v>
      </c>
      <c r="V9" s="359">
        <f t="shared" ca="1" si="3"/>
        <v>1.2249959360485532</v>
      </c>
      <c r="W9" s="357">
        <f t="shared" ca="1" si="4"/>
        <v>8.8414010220747002E-3</v>
      </c>
      <c r="X9" s="343"/>
      <c r="Y9" s="367" t="str">
        <f t="shared" ca="1" si="22"/>
        <v/>
      </c>
      <c r="Z9" s="368" t="str">
        <f t="shared" ca="1" si="23"/>
        <v/>
      </c>
      <c r="AA9" s="369" t="str">
        <f t="shared" ca="1" si="24"/>
        <v/>
      </c>
      <c r="AB9" s="344"/>
      <c r="AC9" s="363" t="e">
        <f t="shared" ca="1" si="25"/>
        <v>#N/A</v>
      </c>
      <c r="AD9" s="376" t="e">
        <f t="shared" ca="1" si="26"/>
        <v>#N/A</v>
      </c>
      <c r="AE9" s="377">
        <f t="shared" ca="1" si="5"/>
        <v>3.3175168883948745E-2</v>
      </c>
      <c r="AF9" s="344"/>
      <c r="AG9" s="359">
        <f t="shared" ca="1" si="27"/>
        <v>55.22186219437156</v>
      </c>
      <c r="AH9" s="357">
        <f t="shared" ca="1" si="28"/>
        <v>64.882826251421321</v>
      </c>
    </row>
    <row r="10" spans="1:248" x14ac:dyDescent="0.25">
      <c r="A10" s="402">
        <f t="shared" ca="1" si="6"/>
        <v>0.01</v>
      </c>
      <c r="B10" s="357">
        <f t="shared" ca="1" si="7"/>
        <v>6.0000000000000005E-2</v>
      </c>
      <c r="C10" s="342"/>
      <c r="D10" s="359">
        <f t="shared" ca="1" si="8"/>
        <v>11.075915736167671</v>
      </c>
      <c r="E10" s="360">
        <f t="shared" ca="1" si="9"/>
        <v>62.818248938129344</v>
      </c>
      <c r="F10" s="357">
        <f t="shared" ca="1" si="10"/>
        <v>63.787211171577923</v>
      </c>
      <c r="G10" s="359">
        <f t="shared" ca="1" si="11"/>
        <v>0.42082001057120955</v>
      </c>
      <c r="H10" s="360">
        <f t="shared" ca="1" si="12"/>
        <v>2.3867364579916299</v>
      </c>
      <c r="I10" s="357">
        <f t="shared" ca="1" si="13"/>
        <v>2.4235511963240191</v>
      </c>
      <c r="J10" s="359">
        <f t="shared" ca="1" si="14"/>
        <v>9.5036851467721461E-3</v>
      </c>
      <c r="K10" s="360">
        <f t="shared" ca="1" si="15"/>
        <v>5.3901621016958577E-2</v>
      </c>
      <c r="L10" s="357">
        <f t="shared" ca="1" si="0"/>
        <v>5.473303188774406E-2</v>
      </c>
      <c r="M10" s="359">
        <f t="shared" ca="1" si="16"/>
        <v>1.3962634015954636</v>
      </c>
      <c r="N10" s="357">
        <f t="shared" ca="1" si="17"/>
        <v>80</v>
      </c>
      <c r="O10" s="343"/>
      <c r="P10" s="363">
        <f t="shared" ca="1" si="18"/>
        <v>2</v>
      </c>
      <c r="Q10" s="357">
        <f t="shared" ca="1" si="19"/>
        <v>844.2</v>
      </c>
      <c r="R10" s="359">
        <f t="shared" ca="1" si="20"/>
        <v>0.42288701463495137</v>
      </c>
      <c r="S10" s="360">
        <f t="shared" ca="1" si="21"/>
        <v>11.493698189323183</v>
      </c>
      <c r="T10" s="357">
        <f t="shared" ca="1" si="1"/>
        <v>112.75317923726043</v>
      </c>
      <c r="U10" s="364">
        <f t="shared" ca="1" si="2"/>
        <v>19.579384100703049</v>
      </c>
      <c r="V10" s="359">
        <f t="shared" ca="1" si="3"/>
        <v>1.2249933970692208</v>
      </c>
      <c r="W10" s="357">
        <f t="shared" ca="1" si="4"/>
        <v>1.6286124950736905E-2</v>
      </c>
      <c r="X10" s="343"/>
      <c r="Y10" s="367" t="str">
        <f t="shared" ca="1" si="22"/>
        <v/>
      </c>
      <c r="Z10" s="368" t="str">
        <f t="shared" ca="1" si="23"/>
        <v/>
      </c>
      <c r="AA10" s="369" t="str">
        <f t="shared" ca="1" si="24"/>
        <v/>
      </c>
      <c r="AB10" s="344"/>
      <c r="AC10" s="363" t="e">
        <f t="shared" ca="1" si="25"/>
        <v>#N/A</v>
      </c>
      <c r="AD10" s="376" t="e">
        <f t="shared" ca="1" si="26"/>
        <v>#N/A</v>
      </c>
      <c r="AE10" s="377">
        <f t="shared" ca="1" si="5"/>
        <v>5.3901621016958577E-2</v>
      </c>
      <c r="AF10" s="344"/>
      <c r="AG10" s="359">
        <f t="shared" ca="1" si="27"/>
        <v>63.787211168498679</v>
      </c>
      <c r="AH10" s="357">
        <f t="shared" ca="1" si="28"/>
        <v>73.448175225548439</v>
      </c>
    </row>
    <row r="11" spans="1:248" x14ac:dyDescent="0.25">
      <c r="A11" s="402">
        <f t="shared" ca="1" si="6"/>
        <v>0.01</v>
      </c>
      <c r="B11" s="357">
        <f t="shared" ca="1" si="7"/>
        <v>7.0000000000000007E-2</v>
      </c>
      <c r="C11" s="342"/>
      <c r="D11" s="359">
        <f t="shared" ca="1" si="8"/>
        <v>12.56486282428239</v>
      </c>
      <c r="E11" s="360">
        <f t="shared" ca="1" si="9"/>
        <v>71.262908905207368</v>
      </c>
      <c r="F11" s="357">
        <f t="shared" ca="1" si="10"/>
        <v>72.362130727507719</v>
      </c>
      <c r="G11" s="359">
        <f t="shared" ca="1" si="11"/>
        <v>0.5464686388140334</v>
      </c>
      <c r="H11" s="360">
        <f t="shared" ca="1" si="12"/>
        <v>3.0993655470437034</v>
      </c>
      <c r="I11" s="357">
        <f t="shared" ca="1" si="13"/>
        <v>3.1471725035988696</v>
      </c>
      <c r="J11" s="359">
        <f t="shared" ca="1" si="14"/>
        <v>1.4340128393698361E-2</v>
      </c>
      <c r="K11" s="360">
        <f t="shared" ca="1" si="15"/>
        <v>8.1332131042135242E-2</v>
      </c>
      <c r="L11" s="357">
        <f t="shared" ca="1" si="0"/>
        <v>8.2586650387352634E-2</v>
      </c>
      <c r="M11" s="359">
        <f t="shared" ca="1" si="16"/>
        <v>1.3962634015954636</v>
      </c>
      <c r="N11" s="357">
        <f t="shared" ca="1" si="17"/>
        <v>80</v>
      </c>
      <c r="O11" s="343"/>
      <c r="P11" s="363">
        <f t="shared" ca="1" si="18"/>
        <v>2</v>
      </c>
      <c r="Q11" s="357">
        <f t="shared" ca="1" si="19"/>
        <v>942.37777777777774</v>
      </c>
      <c r="R11" s="359">
        <f t="shared" ca="1" si="20"/>
        <v>0.47206743082535424</v>
      </c>
      <c r="S11" s="360">
        <f t="shared" ca="1" si="21"/>
        <v>11.488977515014929</v>
      </c>
      <c r="T11" s="357">
        <f t="shared" ca="1" si="1"/>
        <v>112.70686942229645</v>
      </c>
      <c r="U11" s="364">
        <f t="shared" ca="1" si="2"/>
        <v>19.571342485726461</v>
      </c>
      <c r="V11" s="359">
        <f t="shared" ca="1" si="3"/>
        <v>1.2249900368544637</v>
      </c>
      <c r="W11" s="357">
        <f t="shared" ca="1" si="4"/>
        <v>2.7463334766424138E-2</v>
      </c>
      <c r="X11" s="343"/>
      <c r="Y11" s="367" t="str">
        <f t="shared" ca="1" si="22"/>
        <v/>
      </c>
      <c r="Z11" s="368" t="str">
        <f t="shared" ca="1" si="23"/>
        <v/>
      </c>
      <c r="AA11" s="369" t="str">
        <f t="shared" ca="1" si="24"/>
        <v/>
      </c>
      <c r="AB11" s="344"/>
      <c r="AC11" s="363" t="e">
        <f t="shared" ca="1" si="25"/>
        <v>#N/A</v>
      </c>
      <c r="AD11" s="376" t="e">
        <f t="shared" ca="1" si="26"/>
        <v>#N/A</v>
      </c>
      <c r="AE11" s="377">
        <f t="shared" ca="1" si="5"/>
        <v>8.1332131042135242E-2</v>
      </c>
      <c r="AF11" s="344"/>
      <c r="AG11" s="359">
        <f t="shared" ca="1" si="27"/>
        <v>72.362130724122551</v>
      </c>
      <c r="AH11" s="357">
        <f t="shared" ca="1" si="28"/>
        <v>82.023094781172304</v>
      </c>
    </row>
    <row r="12" spans="1:248" x14ac:dyDescent="0.25">
      <c r="A12" s="402">
        <f t="shared" ca="1" si="6"/>
        <v>0.01</v>
      </c>
      <c r="B12" s="357">
        <f t="shared" ca="1" si="7"/>
        <v>0.08</v>
      </c>
      <c r="C12" s="342"/>
      <c r="D12" s="359">
        <f t="shared" ca="1" si="8"/>
        <v>14.055651321228408</v>
      </c>
      <c r="E12" s="360">
        <f t="shared" ca="1" si="9"/>
        <v>79.718012557849804</v>
      </c>
      <c r="F12" s="357">
        <f t="shared" ca="1" si="10"/>
        <v>80.947655063241015</v>
      </c>
      <c r="G12" s="359">
        <f t="shared" ca="1" si="11"/>
        <v>0.68702515202631753</v>
      </c>
      <c r="H12" s="360">
        <f t="shared" ca="1" si="12"/>
        <v>3.8965456726222012</v>
      </c>
      <c r="I12" s="357">
        <f t="shared" ca="1" si="13"/>
        <v>3.9566490542310659</v>
      </c>
      <c r="J12" s="359">
        <f t="shared" ca="1" si="14"/>
        <v>2.0507597347900114E-2</v>
      </c>
      <c r="K12" s="360">
        <f t="shared" ca="1" si="15"/>
        <v>0.11631168714046478</v>
      </c>
      <c r="L12" s="357">
        <f t="shared" ca="1" si="0"/>
        <v>0.11810575817649603</v>
      </c>
      <c r="M12" s="359">
        <f t="shared" ca="1" si="16"/>
        <v>1.3962634015954636</v>
      </c>
      <c r="N12" s="357">
        <f t="shared" ca="1" si="17"/>
        <v>80</v>
      </c>
      <c r="O12" s="343"/>
      <c r="P12" s="363">
        <f t="shared" ca="1" si="18"/>
        <v>2</v>
      </c>
      <c r="Q12" s="357">
        <f t="shared" ca="1" si="19"/>
        <v>1040.5555555555557</v>
      </c>
      <c r="R12" s="359">
        <f t="shared" ca="1" si="20"/>
        <v>0.52124784701575722</v>
      </c>
      <c r="S12" s="360">
        <f t="shared" ca="1" si="21"/>
        <v>11.483765036544771</v>
      </c>
      <c r="T12" s="357">
        <f t="shared" ca="1" si="1"/>
        <v>112.65573500850421</v>
      </c>
      <c r="U12" s="364">
        <f t="shared" ca="1" si="2"/>
        <v>19.562463087955372</v>
      </c>
      <c r="V12" s="359">
        <f t="shared" ca="1" si="3"/>
        <v>1.2249857519011866</v>
      </c>
      <c r="W12" s="357">
        <f t="shared" ca="1" si="4"/>
        <v>4.3407594290261475E-2</v>
      </c>
      <c r="X12" s="343"/>
      <c r="Y12" s="367" t="str">
        <f t="shared" ca="1" si="22"/>
        <v/>
      </c>
      <c r="Z12" s="368" t="str">
        <f t="shared" ca="1" si="23"/>
        <v/>
      </c>
      <c r="AA12" s="369" t="str">
        <f t="shared" ca="1" si="24"/>
        <v/>
      </c>
      <c r="AB12" s="344"/>
      <c r="AC12" s="363" t="e">
        <f t="shared" ca="1" si="25"/>
        <v>#N/A</v>
      </c>
      <c r="AD12" s="376" t="e">
        <f t="shared" ca="1" si="26"/>
        <v>#N/A</v>
      </c>
      <c r="AE12" s="377">
        <f t="shared" ca="1" si="5"/>
        <v>0.11631168714046478</v>
      </c>
      <c r="AF12" s="344"/>
      <c r="AG12" s="359">
        <f t="shared" ca="1" si="27"/>
        <v>80.94765505954814</v>
      </c>
      <c r="AH12" s="357">
        <f t="shared" ca="1" si="28"/>
        <v>90.608619116597907</v>
      </c>
    </row>
    <row r="13" spans="1:248" x14ac:dyDescent="0.25">
      <c r="A13" s="402">
        <f t="shared" ca="1" si="6"/>
        <v>0.01</v>
      </c>
      <c r="B13" s="357">
        <f t="shared" ca="1" si="7"/>
        <v>0.09</v>
      </c>
      <c r="C13" s="342"/>
      <c r="D13" s="359">
        <f t="shared" ca="1" si="8"/>
        <v>15.548459712970843</v>
      </c>
      <c r="E13" s="360">
        <f t="shared" ca="1" si="9"/>
        <v>88.184572195236072</v>
      </c>
      <c r="F13" s="357">
        <f t="shared" ca="1" si="10"/>
        <v>89.544812092620305</v>
      </c>
      <c r="G13" s="359">
        <f t="shared" ca="1" si="11"/>
        <v>0.84250974915602594</v>
      </c>
      <c r="H13" s="360">
        <f t="shared" ca="1" si="12"/>
        <v>4.7783913945745624</v>
      </c>
      <c r="I13" s="357">
        <f t="shared" ca="1" si="13"/>
        <v>4.8520971751570663</v>
      </c>
      <c r="J13" s="359">
        <f t="shared" ca="1" si="14"/>
        <v>2.8155271853811829E-2</v>
      </c>
      <c r="K13" s="360">
        <f t="shared" ca="1" si="15"/>
        <v>0.1596863724764486</v>
      </c>
      <c r="L13" s="357">
        <f t="shared" ca="1" si="0"/>
        <v>0.16214948932342996</v>
      </c>
      <c r="M13" s="359">
        <f t="shared" ca="1" si="16"/>
        <v>1.3962634015954636</v>
      </c>
      <c r="N13" s="357">
        <f t="shared" ca="1" si="17"/>
        <v>80</v>
      </c>
      <c r="O13" s="343"/>
      <c r="P13" s="363">
        <f t="shared" ca="1" si="18"/>
        <v>2</v>
      </c>
      <c r="Q13" s="357">
        <f t="shared" ca="1" si="19"/>
        <v>1138.7333333333331</v>
      </c>
      <c r="R13" s="359">
        <f t="shared" ca="1" si="20"/>
        <v>0.57042826320615991</v>
      </c>
      <c r="S13" s="360">
        <f t="shared" ca="1" si="21"/>
        <v>11.478060753912709</v>
      </c>
      <c r="T13" s="357">
        <f t="shared" ca="1" si="1"/>
        <v>112.59977599588369</v>
      </c>
      <c r="U13" s="364">
        <f t="shared" ca="1" si="2"/>
        <v>19.552745907389777</v>
      </c>
      <c r="V13" s="359">
        <f t="shared" ca="1" si="3"/>
        <v>1.2249804385755563</v>
      </c>
      <c r="W13" s="357">
        <f t="shared" ca="1" si="4"/>
        <v>6.5278137037957276E-2</v>
      </c>
      <c r="X13" s="343"/>
      <c r="Y13" s="367" t="str">
        <f t="shared" ca="1" si="22"/>
        <v/>
      </c>
      <c r="Z13" s="368" t="str">
        <f t="shared" ca="1" si="23"/>
        <v/>
      </c>
      <c r="AA13" s="369" t="str">
        <f t="shared" ca="1" si="24"/>
        <v/>
      </c>
      <c r="AB13" s="344"/>
      <c r="AC13" s="363" t="e">
        <f t="shared" ca="1" si="25"/>
        <v>#N/A</v>
      </c>
      <c r="AD13" s="376" t="e">
        <f t="shared" ca="1" si="26"/>
        <v>#N/A</v>
      </c>
      <c r="AE13" s="377">
        <f t="shared" ca="1" si="5"/>
        <v>0.1596863724764486</v>
      </c>
      <c r="AF13" s="344"/>
      <c r="AG13" s="359">
        <f t="shared" ca="1" si="27"/>
        <v>89.544812088618343</v>
      </c>
      <c r="AH13" s="357">
        <f t="shared" ca="1" si="28"/>
        <v>99.205776145668111</v>
      </c>
    </row>
    <row r="14" spans="1:248" x14ac:dyDescent="0.25">
      <c r="A14" s="402">
        <f t="shared" ca="1" si="6"/>
        <v>0.01</v>
      </c>
      <c r="B14" s="357">
        <f t="shared" ca="1" si="7"/>
        <v>9.9999999999999992E-2</v>
      </c>
      <c r="C14" s="342"/>
      <c r="D14" s="359">
        <f t="shared" ca="1" si="8"/>
        <v>17.043465457626933</v>
      </c>
      <c r="E14" s="360">
        <f t="shared" ca="1" si="9"/>
        <v>96.6635942875876</v>
      </c>
      <c r="F14" s="357">
        <f t="shared" ca="1" si="10"/>
        <v>98.154623810601308</v>
      </c>
      <c r="G14" s="359">
        <f t="shared" ca="1" si="11"/>
        <v>1.0129444037322952</v>
      </c>
      <c r="H14" s="360">
        <f t="shared" ca="1" si="12"/>
        <v>5.7450273374504386</v>
      </c>
      <c r="I14" s="357">
        <f t="shared" ca="1" si="13"/>
        <v>5.8336434132628856</v>
      </c>
      <c r="J14" s="359">
        <f t="shared" ca="1" si="14"/>
        <v>3.7432542618253434E-2</v>
      </c>
      <c r="K14" s="360">
        <f t="shared" ca="1" si="15"/>
        <v>0.21230346613657358</v>
      </c>
      <c r="L14" s="357">
        <f t="shared" ca="1" si="0"/>
        <v>0.21557819226552255</v>
      </c>
      <c r="M14" s="359">
        <f t="shared" ca="1" si="16"/>
        <v>1.3962634015954636</v>
      </c>
      <c r="N14" s="357">
        <f t="shared" ca="1" si="17"/>
        <v>80</v>
      </c>
      <c r="O14" s="343"/>
      <c r="P14" s="363">
        <f t="shared" ca="1" si="18"/>
        <v>2</v>
      </c>
      <c r="Q14" s="357">
        <f t="shared" ca="1" si="19"/>
        <v>1236.911111111111</v>
      </c>
      <c r="R14" s="359">
        <f t="shared" ca="1" si="20"/>
        <v>0.61960867939656283</v>
      </c>
      <c r="S14" s="360">
        <f t="shared" ca="1" si="21"/>
        <v>11.471864667118744</v>
      </c>
      <c r="T14" s="357">
        <f t="shared" ca="1" si="1"/>
        <v>112.53899238443489</v>
      </c>
      <c r="U14" s="364">
        <f t="shared" ca="1" si="2"/>
        <v>19.542190944029677</v>
      </c>
      <c r="V14" s="359">
        <f t="shared" ca="1" si="3"/>
        <v>1.2249739931014658</v>
      </c>
      <c r="W14" s="357">
        <f t="shared" ca="1" si="4"/>
        <v>9.4359633253570052E-2</v>
      </c>
      <c r="X14" s="343"/>
      <c r="Y14" s="367" t="str">
        <f t="shared" ca="1" si="22"/>
        <v/>
      </c>
      <c r="Z14" s="368" t="str">
        <f t="shared" ca="1" si="23"/>
        <v/>
      </c>
      <c r="AA14" s="369" t="str">
        <f t="shared" ca="1" si="24"/>
        <v/>
      </c>
      <c r="AB14" s="344"/>
      <c r="AC14" s="363" t="e">
        <f t="shared" ca="1" si="25"/>
        <v>#N/A</v>
      </c>
      <c r="AD14" s="376" t="e">
        <f t="shared" ca="1" si="26"/>
        <v>#N/A</v>
      </c>
      <c r="AE14" s="377">
        <f t="shared" ca="1" si="5"/>
        <v>0.21230346613657358</v>
      </c>
      <c r="AF14" s="344"/>
      <c r="AG14" s="359">
        <f t="shared" ca="1" si="27"/>
        <v>98.154623806289067</v>
      </c>
      <c r="AH14" s="357">
        <f t="shared" ca="1" si="28"/>
        <v>107.81558786333882</v>
      </c>
    </row>
    <row r="15" spans="1:248" x14ac:dyDescent="0.25">
      <c r="A15" s="402">
        <f t="shared" ca="1" si="6"/>
        <v>0.01</v>
      </c>
      <c r="B15" s="357">
        <f t="shared" ca="1" si="7"/>
        <v>0.10999999999999999</v>
      </c>
      <c r="C15" s="342"/>
      <c r="D15" s="359">
        <f t="shared" ca="1" si="8"/>
        <v>17.687117518313826</v>
      </c>
      <c r="E15" s="360">
        <f t="shared" ca="1" si="9"/>
        <v>100.31410880104556</v>
      </c>
      <c r="F15" s="357">
        <f t="shared" ca="1" si="10"/>
        <v>101.86144781346204</v>
      </c>
      <c r="G15" s="359">
        <f t="shared" ca="1" si="11"/>
        <v>1.1898155789154334</v>
      </c>
      <c r="H15" s="360">
        <f t="shared" ca="1" si="12"/>
        <v>6.7481684254608947</v>
      </c>
      <c r="I15" s="357">
        <f t="shared" ca="1" si="13"/>
        <v>6.8522578913973486</v>
      </c>
      <c r="J15" s="359">
        <f t="shared" ca="1" si="14"/>
        <v>4.8446342531492076E-2</v>
      </c>
      <c r="K15" s="360">
        <f t="shared" ca="1" si="15"/>
        <v>0.27476944495113026</v>
      </c>
      <c r="L15" s="357">
        <f t="shared" ca="1" si="0"/>
        <v>0.27900769878881632</v>
      </c>
      <c r="M15" s="359">
        <f t="shared" ca="1" si="16"/>
        <v>1.3962634015954636</v>
      </c>
      <c r="N15" s="357">
        <f t="shared" ca="1" si="17"/>
        <v>80</v>
      </c>
      <c r="O15" s="343"/>
      <c r="P15" s="363">
        <f t="shared" ca="1" si="18"/>
        <v>3</v>
      </c>
      <c r="Q15" s="357">
        <f t="shared" ca="1" si="19"/>
        <v>1278.75</v>
      </c>
      <c r="R15" s="359">
        <f t="shared" ca="1" si="20"/>
        <v>0.64056712860038389</v>
      </c>
      <c r="S15" s="360">
        <f t="shared" ca="1" si="21"/>
        <v>11.465458995832741</v>
      </c>
      <c r="T15" s="357">
        <f t="shared" ca="1" si="1"/>
        <v>112.47615274911919</v>
      </c>
      <c r="U15" s="364">
        <f t="shared" ca="1" si="2"/>
        <v>19.531278955871855</v>
      </c>
      <c r="V15" s="359">
        <f t="shared" ca="1" si="3"/>
        <v>1.2249663412054141</v>
      </c>
      <c r="W15" s="357">
        <f t="shared" ca="1" si="4"/>
        <v>0.13018806523783619</v>
      </c>
      <c r="X15" s="343"/>
      <c r="Y15" s="367" t="str">
        <f t="shared" ca="1" si="22"/>
        <v/>
      </c>
      <c r="Z15" s="368" t="str">
        <f t="shared" ca="1" si="23"/>
        <v/>
      </c>
      <c r="AA15" s="369" t="str">
        <f t="shared" ca="1" si="24"/>
        <v/>
      </c>
      <c r="AB15" s="344"/>
      <c r="AC15" s="363" t="e">
        <f t="shared" ca="1" si="25"/>
        <v>#N/A</v>
      </c>
      <c r="AD15" s="376" t="e">
        <f t="shared" ca="1" si="26"/>
        <v>#N/A</v>
      </c>
      <c r="AE15" s="377">
        <f t="shared" ca="1" si="5"/>
        <v>0.27476944495113026</v>
      </c>
      <c r="AF15" s="344"/>
      <c r="AG15" s="359">
        <f t="shared" ca="1" si="27"/>
        <v>101.86144780901589</v>
      </c>
      <c r="AH15" s="357">
        <f t="shared" ca="1" si="28"/>
        <v>111.52241186606565</v>
      </c>
    </row>
    <row r="16" spans="1:248" x14ac:dyDescent="0.25">
      <c r="A16" s="402">
        <f t="shared" ca="1" si="6"/>
        <v>0.01</v>
      </c>
      <c r="B16" s="357">
        <f t="shared" ca="1" si="7"/>
        <v>0.11999999999999998</v>
      </c>
      <c r="C16" s="342"/>
      <c r="D16" s="359">
        <f t="shared" ca="1" si="8"/>
        <v>17.477558712336677</v>
      </c>
      <c r="E16" s="360">
        <f t="shared" ca="1" si="9"/>
        <v>99.12558260161444</v>
      </c>
      <c r="F16" s="357">
        <f t="shared" ca="1" si="10"/>
        <v>100.65458849278886</v>
      </c>
      <c r="G16" s="359">
        <f t="shared" ca="1" si="11"/>
        <v>1.3645911660388002</v>
      </c>
      <c r="H16" s="360">
        <f t="shared" ca="1" si="12"/>
        <v>7.7394242514770388</v>
      </c>
      <c r="I16" s="357">
        <f t="shared" ca="1" si="13"/>
        <v>7.8588037763251251</v>
      </c>
      <c r="J16" s="359">
        <f t="shared" ca="1" si="14"/>
        <v>6.1218376256263245E-2</v>
      </c>
      <c r="K16" s="360">
        <f t="shared" ca="1" si="15"/>
        <v>0.34720740833581992</v>
      </c>
      <c r="L16" s="357">
        <f t="shared" ca="1" si="0"/>
        <v>0.35256300712742139</v>
      </c>
      <c r="M16" s="359">
        <f t="shared" ca="1" si="16"/>
        <v>1.3962634015954636</v>
      </c>
      <c r="N16" s="357">
        <f t="shared" ca="1" si="17"/>
        <v>80</v>
      </c>
      <c r="O16" s="343"/>
      <c r="P16" s="363">
        <f t="shared" ca="1" si="18"/>
        <v>3</v>
      </c>
      <c r="Q16" s="357">
        <f t="shared" ca="1" si="19"/>
        <v>1264.25</v>
      </c>
      <c r="R16" s="359">
        <f t="shared" ca="1" si="20"/>
        <v>0.63330361081762288</v>
      </c>
      <c r="S16" s="360">
        <f t="shared" ca="1" si="21"/>
        <v>11.459125959724565</v>
      </c>
      <c r="T16" s="357">
        <f t="shared" ca="1" si="1"/>
        <v>112.41402566489799</v>
      </c>
      <c r="U16" s="364">
        <f t="shared" ca="1" si="2"/>
        <v>19.520490700913083</v>
      </c>
      <c r="V16" s="359">
        <f t="shared" ca="1" si="3"/>
        <v>1.224957467830853</v>
      </c>
      <c r="W16" s="357">
        <f t="shared" ca="1" si="4"/>
        <v>0.17124327216662982</v>
      </c>
      <c r="X16" s="343"/>
      <c r="Y16" s="367" t="str">
        <f t="shared" ca="1" si="22"/>
        <v/>
      </c>
      <c r="Z16" s="368" t="str">
        <f t="shared" ca="1" si="23"/>
        <v/>
      </c>
      <c r="AA16" s="369" t="str">
        <f t="shared" ca="1" si="24"/>
        <v/>
      </c>
      <c r="AB16" s="344"/>
      <c r="AC16" s="363" t="e">
        <f t="shared" ca="1" si="25"/>
        <v>#N/A</v>
      </c>
      <c r="AD16" s="376" t="e">
        <f t="shared" ca="1" si="26"/>
        <v>#N/A</v>
      </c>
      <c r="AE16" s="377">
        <f t="shared" ca="1" si="5"/>
        <v>0.34720740833581992</v>
      </c>
      <c r="AF16" s="344"/>
      <c r="AG16" s="359">
        <f t="shared" ca="1" si="27"/>
        <v>100.654588488386</v>
      </c>
      <c r="AH16" s="357">
        <f t="shared" ca="1" si="28"/>
        <v>110.31555254543575</v>
      </c>
    </row>
    <row r="17" spans="1:34" x14ac:dyDescent="0.25">
      <c r="A17" s="402">
        <f t="shared" ca="1" si="6"/>
        <v>0.01</v>
      </c>
      <c r="B17" s="357">
        <f t="shared" ca="1" si="7"/>
        <v>0.12999999999999998</v>
      </c>
      <c r="C17" s="342"/>
      <c r="D17" s="359">
        <f t="shared" ca="1" si="8"/>
        <v>17.261067516495821</v>
      </c>
      <c r="E17" s="360">
        <f t="shared" ca="1" si="9"/>
        <v>97.897738926254021</v>
      </c>
      <c r="F17" s="357">
        <f t="shared" ca="1" si="10"/>
        <v>99.407805220123535</v>
      </c>
      <c r="G17" s="359">
        <f t="shared" ca="1" si="11"/>
        <v>1.5372018412037582</v>
      </c>
      <c r="H17" s="360">
        <f t="shared" ca="1" si="12"/>
        <v>8.7184016407395788</v>
      </c>
      <c r="I17" s="357">
        <f t="shared" ca="1" si="13"/>
        <v>8.8528818285262787</v>
      </c>
      <c r="J17" s="359">
        <f t="shared" ca="1" si="14"/>
        <v>7.5727341292476033E-2</v>
      </c>
      <c r="K17" s="360">
        <f t="shared" ca="1" si="15"/>
        <v>0.429496537796903</v>
      </c>
      <c r="L17" s="357">
        <f t="shared" ca="1" si="0"/>
        <v>0.43612143515167157</v>
      </c>
      <c r="M17" s="359">
        <f t="shared" ca="1" si="16"/>
        <v>1.3962634015954636</v>
      </c>
      <c r="N17" s="357">
        <f t="shared" ca="1" si="17"/>
        <v>80</v>
      </c>
      <c r="O17" s="343"/>
      <c r="P17" s="363">
        <f t="shared" ca="1" si="18"/>
        <v>4</v>
      </c>
      <c r="Q17" s="357">
        <f t="shared" ca="1" si="19"/>
        <v>1249.3214285714287</v>
      </c>
      <c r="R17" s="359">
        <f t="shared" ca="1" si="20"/>
        <v>0.62582540778019913</v>
      </c>
      <c r="S17" s="360">
        <f t="shared" ca="1" si="21"/>
        <v>11.452867705646764</v>
      </c>
      <c r="T17" s="357">
        <f t="shared" ca="1" si="1"/>
        <v>112.35263219239475</v>
      </c>
      <c r="U17" s="364">
        <f t="shared" ca="1" si="2"/>
        <v>19.509829836292248</v>
      </c>
      <c r="V17" s="359">
        <f t="shared" ca="1" si="3"/>
        <v>1.2249473878039578</v>
      </c>
      <c r="W17" s="357">
        <f t="shared" ca="1" si="4"/>
        <v>0.21730333323053078</v>
      </c>
      <c r="X17" s="343"/>
      <c r="Y17" s="367" t="str">
        <f t="shared" ca="1" si="22"/>
        <v/>
      </c>
      <c r="Z17" s="368" t="str">
        <f t="shared" ca="1" si="23"/>
        <v/>
      </c>
      <c r="AA17" s="369" t="str">
        <f t="shared" ca="1" si="24"/>
        <v/>
      </c>
      <c r="AB17" s="344"/>
      <c r="AC17" s="363" t="e">
        <f t="shared" ca="1" si="25"/>
        <v>#N/A</v>
      </c>
      <c r="AD17" s="376" t="e">
        <f t="shared" ca="1" si="26"/>
        <v>#N/A</v>
      </c>
      <c r="AE17" s="377">
        <f t="shared" ca="1" si="5"/>
        <v>0.429496537796903</v>
      </c>
      <c r="AF17" s="344"/>
      <c r="AG17" s="359">
        <f t="shared" ca="1" si="27"/>
        <v>99.407805215765336</v>
      </c>
      <c r="AH17" s="357">
        <f t="shared" ca="1" si="28"/>
        <v>109.0687692728151</v>
      </c>
    </row>
    <row r="18" spans="1:34" x14ac:dyDescent="0.25">
      <c r="A18" s="402">
        <f t="shared" ca="1" si="6"/>
        <v>0.01</v>
      </c>
      <c r="B18" s="357">
        <f t="shared" ca="1" si="7"/>
        <v>0.13999999999999999</v>
      </c>
      <c r="C18" s="342"/>
      <c r="D18" s="359">
        <f t="shared" ca="1" si="8"/>
        <v>17.037636659886914</v>
      </c>
      <c r="E18" s="360">
        <f t="shared" ca="1" si="9"/>
        <v>96.630536536639582</v>
      </c>
      <c r="F18" s="357">
        <f t="shared" ca="1" si="10"/>
        <v>98.121056121064854</v>
      </c>
      <c r="G18" s="359">
        <f t="shared" ca="1" si="11"/>
        <v>1.7075782078026274</v>
      </c>
      <c r="H18" s="360">
        <f t="shared" ca="1" si="12"/>
        <v>9.6847070061059739</v>
      </c>
      <c r="I18" s="357">
        <f t="shared" ca="1" si="13"/>
        <v>9.8340923897368668</v>
      </c>
      <c r="J18" s="359">
        <f t="shared" ca="1" si="14"/>
        <v>9.1951241537507958E-2</v>
      </c>
      <c r="K18" s="360">
        <f t="shared" ca="1" si="15"/>
        <v>0.52151208103113078</v>
      </c>
      <c r="L18" s="357">
        <f t="shared" ca="1" si="0"/>
        <v>0.529556306242981</v>
      </c>
      <c r="M18" s="359">
        <f t="shared" ca="1" si="16"/>
        <v>1.3962634015954636</v>
      </c>
      <c r="N18" s="357">
        <f t="shared" ca="1" si="17"/>
        <v>80</v>
      </c>
      <c r="O18" s="343"/>
      <c r="P18" s="363">
        <f t="shared" ca="1" si="18"/>
        <v>4</v>
      </c>
      <c r="Q18" s="357">
        <f t="shared" ca="1" si="19"/>
        <v>1233.9642857142858</v>
      </c>
      <c r="R18" s="359">
        <f t="shared" ca="1" si="20"/>
        <v>0.61813251948811243</v>
      </c>
      <c r="S18" s="360">
        <f t="shared" ca="1" si="21"/>
        <v>11.446686380451883</v>
      </c>
      <c r="T18" s="357">
        <f t="shared" ca="1" si="1"/>
        <v>112.29199339223298</v>
      </c>
      <c r="U18" s="364">
        <f t="shared" ca="1" si="2"/>
        <v>19.499300019148247</v>
      </c>
      <c r="V18" s="359">
        <f t="shared" ca="1" si="3"/>
        <v>1.2249361164358761</v>
      </c>
      <c r="W18" s="357">
        <f t="shared" ca="1" si="4"/>
        <v>0.26814001280602684</v>
      </c>
      <c r="X18" s="343"/>
      <c r="Y18" s="367" t="str">
        <f t="shared" ca="1" si="22"/>
        <v/>
      </c>
      <c r="Z18" s="368" t="str">
        <f t="shared" ca="1" si="23"/>
        <v/>
      </c>
      <c r="AA18" s="369" t="str">
        <f t="shared" ca="1" si="24"/>
        <v/>
      </c>
      <c r="AB18" s="344"/>
      <c r="AC18" s="363" t="e">
        <f t="shared" ca="1" si="25"/>
        <v>#N/A</v>
      </c>
      <c r="AD18" s="376" t="e">
        <f t="shared" ca="1" si="26"/>
        <v>#N/A</v>
      </c>
      <c r="AE18" s="377">
        <f t="shared" ca="1" si="5"/>
        <v>0.52151208103113078</v>
      </c>
      <c r="AF18" s="344"/>
      <c r="AG18" s="359">
        <f t="shared" ca="1" si="27"/>
        <v>98.12105611675274</v>
      </c>
      <c r="AH18" s="357">
        <f t="shared" ca="1" si="28"/>
        <v>107.78202017380251</v>
      </c>
    </row>
    <row r="19" spans="1:34" x14ac:dyDescent="0.25">
      <c r="A19" s="402">
        <f t="shared" ca="1" si="6"/>
        <v>0.01</v>
      </c>
      <c r="B19" s="357">
        <f t="shared" ca="1" si="7"/>
        <v>0.15</v>
      </c>
      <c r="C19" s="342"/>
      <c r="D19" s="359">
        <f t="shared" ca="1" si="8"/>
        <v>16.813767521089716</v>
      </c>
      <c r="E19" s="360">
        <f t="shared" ca="1" si="9"/>
        <v>95.36084842190624</v>
      </c>
      <c r="F19" s="357">
        <f t="shared" ca="1" si="10"/>
        <v>96.831782953733892</v>
      </c>
      <c r="G19" s="359">
        <f t="shared" ca="1" si="11"/>
        <v>1.8757158830135245</v>
      </c>
      <c r="H19" s="360">
        <f t="shared" ca="1" si="12"/>
        <v>10.638315490325036</v>
      </c>
      <c r="I19" s="357">
        <f t="shared" ca="1" si="13"/>
        <v>10.802410219274162</v>
      </c>
      <c r="J19" s="359">
        <f t="shared" ca="1" si="14"/>
        <v>0.10986771199158872</v>
      </c>
      <c r="K19" s="360">
        <f t="shared" ca="1" si="15"/>
        <v>0.62312719351328583</v>
      </c>
      <c r="L19" s="357">
        <f t="shared" ca="1" si="0"/>
        <v>0.63273881928803022</v>
      </c>
      <c r="M19" s="359">
        <f t="shared" ca="1" si="16"/>
        <v>1.3962634015954636</v>
      </c>
      <c r="N19" s="357">
        <f t="shared" ca="1" si="17"/>
        <v>80</v>
      </c>
      <c r="O19" s="343"/>
      <c r="P19" s="363">
        <f t="shared" ca="1" si="18"/>
        <v>4</v>
      </c>
      <c r="Q19" s="357">
        <f t="shared" ca="1" si="19"/>
        <v>1218.6071428571429</v>
      </c>
      <c r="R19" s="359">
        <f t="shared" ca="1" si="20"/>
        <v>0.61043963119602562</v>
      </c>
      <c r="S19" s="360">
        <f t="shared" ca="1" si="21"/>
        <v>11.440581984139923</v>
      </c>
      <c r="T19" s="357">
        <f t="shared" ca="1" si="1"/>
        <v>112.23210926441266</v>
      </c>
      <c r="U19" s="364">
        <f t="shared" ca="1" si="2"/>
        <v>19.488901249481074</v>
      </c>
      <c r="V19" s="359">
        <f t="shared" ca="1" si="3"/>
        <v>1.2249236692969814</v>
      </c>
      <c r="W19" s="357">
        <f t="shared" ca="1" si="4"/>
        <v>0.3235414857428664</v>
      </c>
      <c r="X19" s="343"/>
      <c r="Y19" s="367" t="str">
        <f t="shared" ca="1" si="22"/>
        <v/>
      </c>
      <c r="Z19" s="368" t="str">
        <f t="shared" ca="1" si="23"/>
        <v/>
      </c>
      <c r="AA19" s="369" t="str">
        <f t="shared" ca="1" si="24"/>
        <v/>
      </c>
      <c r="AB19" s="344"/>
      <c r="AC19" s="363" t="e">
        <f t="shared" ca="1" si="25"/>
        <v>#N/A</v>
      </c>
      <c r="AD19" s="376" t="e">
        <f t="shared" ca="1" si="26"/>
        <v>#N/A</v>
      </c>
      <c r="AE19" s="377">
        <f t="shared" ca="1" si="5"/>
        <v>0.62312719351328583</v>
      </c>
      <c r="AF19" s="344"/>
      <c r="AG19" s="359">
        <f t="shared" ca="1" si="27"/>
        <v>96.831782949467907</v>
      </c>
      <c r="AH19" s="357">
        <f t="shared" ca="1" si="28"/>
        <v>106.49274700651767</v>
      </c>
    </row>
    <row r="20" spans="1:34" x14ac:dyDescent="0.25">
      <c r="A20" s="402">
        <f t="shared" ca="1" si="6"/>
        <v>0.01</v>
      </c>
      <c r="B20" s="357">
        <f t="shared" ca="1" si="7"/>
        <v>0.16</v>
      </c>
      <c r="C20" s="342"/>
      <c r="D20" s="359">
        <f t="shared" ca="1" si="8"/>
        <v>16.58946713340972</v>
      </c>
      <c r="E20" s="360">
        <f t="shared" ca="1" si="9"/>
        <v>94.088714471020481</v>
      </c>
      <c r="F20" s="357">
        <f t="shared" ca="1" si="10"/>
        <v>95.540026222414767</v>
      </c>
      <c r="G20" s="359">
        <f t="shared" ca="1" si="11"/>
        <v>2.0416105543476215</v>
      </c>
      <c r="H20" s="360">
        <f t="shared" ca="1" si="12"/>
        <v>11.579202635035241</v>
      </c>
      <c r="I20" s="357">
        <f t="shared" ca="1" si="13"/>
        <v>11.757810481498273</v>
      </c>
      <c r="J20" s="359">
        <f t="shared" ca="1" si="14"/>
        <v>0.12945434417839446</v>
      </c>
      <c r="K20" s="360">
        <f t="shared" ca="1" si="15"/>
        <v>0.73421478414008723</v>
      </c>
      <c r="L20" s="357">
        <f t="shared" ca="1" si="0"/>
        <v>0.74553992279188719</v>
      </c>
      <c r="M20" s="359">
        <f t="shared" ca="1" si="16"/>
        <v>1.3962634015954636</v>
      </c>
      <c r="N20" s="357">
        <f t="shared" ca="1" si="17"/>
        <v>80</v>
      </c>
      <c r="O20" s="343"/>
      <c r="P20" s="363">
        <f t="shared" ca="1" si="18"/>
        <v>4</v>
      </c>
      <c r="Q20" s="357">
        <f t="shared" ca="1" si="19"/>
        <v>1203.25</v>
      </c>
      <c r="R20" s="359">
        <f t="shared" ca="1" si="20"/>
        <v>0.60274674290393893</v>
      </c>
      <c r="S20" s="360">
        <f t="shared" ca="1" si="21"/>
        <v>11.434554516710884</v>
      </c>
      <c r="T20" s="357">
        <f t="shared" ca="1" si="1"/>
        <v>112.17297980893377</v>
      </c>
      <c r="U20" s="364">
        <f t="shared" ca="1" si="2"/>
        <v>19.478633527290729</v>
      </c>
      <c r="V20" s="359">
        <f t="shared" ca="1" si="3"/>
        <v>1.2249100619906337</v>
      </c>
      <c r="W20" s="357">
        <f t="shared" ca="1" si="4"/>
        <v>0.38329815736835415</v>
      </c>
      <c r="X20" s="343"/>
      <c r="Y20" s="367" t="str">
        <f t="shared" ca="1" si="22"/>
        <v/>
      </c>
      <c r="Z20" s="368" t="str">
        <f t="shared" ca="1" si="23"/>
        <v/>
      </c>
      <c r="AA20" s="369" t="str">
        <f t="shared" ca="1" si="24"/>
        <v/>
      </c>
      <c r="AB20" s="344"/>
      <c r="AC20" s="363" t="e">
        <f t="shared" ca="1" si="25"/>
        <v>#N/A</v>
      </c>
      <c r="AD20" s="376" t="e">
        <f t="shared" ca="1" si="26"/>
        <v>#N/A</v>
      </c>
      <c r="AE20" s="377">
        <f t="shared" ca="1" si="5"/>
        <v>0.73421478414008723</v>
      </c>
      <c r="AF20" s="344"/>
      <c r="AG20" s="359">
        <f t="shared" ca="1" si="27"/>
        <v>95.540026218194953</v>
      </c>
      <c r="AH20" s="357">
        <f t="shared" ca="1" si="28"/>
        <v>105.20099027524471</v>
      </c>
    </row>
    <row r="21" spans="1:34" x14ac:dyDescent="0.25">
      <c r="A21" s="402">
        <f t="shared" ca="1" si="6"/>
        <v>0.01</v>
      </c>
      <c r="B21" s="357">
        <f t="shared" ca="1" si="7"/>
        <v>0.17</v>
      </c>
      <c r="C21" s="342"/>
      <c r="D21" s="359">
        <f t="shared" ca="1" si="8"/>
        <v>16.364742528611448</v>
      </c>
      <c r="E21" s="360">
        <f t="shared" ca="1" si="9"/>
        <v>92.814174564215918</v>
      </c>
      <c r="F21" s="357">
        <f t="shared" ca="1" si="10"/>
        <v>94.24582642252382</v>
      </c>
      <c r="G21" s="359">
        <f t="shared" ca="1" si="11"/>
        <v>2.2052579796337359</v>
      </c>
      <c r="H21" s="360">
        <f t="shared" ca="1" si="12"/>
        <v>12.507344380677401</v>
      </c>
      <c r="I21" s="357">
        <f t="shared" ca="1" si="13"/>
        <v>12.700268745723486</v>
      </c>
      <c r="J21" s="359">
        <f t="shared" ca="1" si="14"/>
        <v>0.15068868684830125</v>
      </c>
      <c r="K21" s="360">
        <f t="shared" ca="1" si="15"/>
        <v>0.85464751921865045</v>
      </c>
      <c r="L21" s="357">
        <f t="shared" ca="1" si="0"/>
        <v>0.86783031892799123</v>
      </c>
      <c r="M21" s="359">
        <f t="shared" ca="1" si="16"/>
        <v>1.3962634015954636</v>
      </c>
      <c r="N21" s="357">
        <f t="shared" ca="1" si="17"/>
        <v>80</v>
      </c>
      <c r="O21" s="343"/>
      <c r="P21" s="363">
        <f t="shared" ca="1" si="18"/>
        <v>4</v>
      </c>
      <c r="Q21" s="357">
        <f t="shared" ca="1" si="19"/>
        <v>1187.8928571428571</v>
      </c>
      <c r="R21" s="359">
        <f t="shared" ca="1" si="20"/>
        <v>0.59505385461185212</v>
      </c>
      <c r="S21" s="360">
        <f t="shared" ca="1" si="21"/>
        <v>11.428603978164766</v>
      </c>
      <c r="T21" s="357">
        <f t="shared" ca="1" si="1"/>
        <v>112.11460502579637</v>
      </c>
      <c r="U21" s="364">
        <f t="shared" ca="1" si="2"/>
        <v>19.468496852577218</v>
      </c>
      <c r="V21" s="359">
        <f t="shared" ca="1" si="3"/>
        <v>1.2248953101525415</v>
      </c>
      <c r="W21" s="357">
        <f t="shared" ca="1" si="4"/>
        <v>0.44720269458471612</v>
      </c>
      <c r="X21" s="343"/>
      <c r="Y21" s="367" t="str">
        <f t="shared" ca="1" si="22"/>
        <v/>
      </c>
      <c r="Z21" s="368" t="str">
        <f t="shared" ca="1" si="23"/>
        <v/>
      </c>
      <c r="AA21" s="369" t="str">
        <f t="shared" ca="1" si="24"/>
        <v/>
      </c>
      <c r="AB21" s="344"/>
      <c r="AC21" s="363" t="e">
        <f t="shared" ca="1" si="25"/>
        <v>#N/A</v>
      </c>
      <c r="AD21" s="376" t="e">
        <f t="shared" ca="1" si="26"/>
        <v>#N/A</v>
      </c>
      <c r="AE21" s="377">
        <f t="shared" ca="1" si="5"/>
        <v>0.85464751921865045</v>
      </c>
      <c r="AF21" s="344"/>
      <c r="AG21" s="359">
        <f t="shared" ca="1" si="27"/>
        <v>94.245826418350205</v>
      </c>
      <c r="AH21" s="357">
        <f t="shared" ca="1" si="28"/>
        <v>103.90679047539997</v>
      </c>
    </row>
    <row r="22" spans="1:34" x14ac:dyDescent="0.25">
      <c r="A22" s="402">
        <f t="shared" ca="1" si="6"/>
        <v>0.01</v>
      </c>
      <c r="B22" s="357">
        <f t="shared" ca="1" si="7"/>
        <v>0.18000000000000002</v>
      </c>
      <c r="C22" s="342"/>
      <c r="D22" s="359">
        <f t="shared" ca="1" si="8"/>
        <v>16.139600735968063</v>
      </c>
      <c r="E22" s="360">
        <f t="shared" ca="1" si="9"/>
        <v>91.537268567603405</v>
      </c>
      <c r="F22" s="357">
        <f t="shared" ca="1" si="10"/>
        <v>92.949224035136609</v>
      </c>
      <c r="G22" s="359">
        <f t="shared" ca="1" si="11"/>
        <v>2.3666539869934167</v>
      </c>
      <c r="H22" s="360">
        <f t="shared" ca="1" si="12"/>
        <v>13.422717066353435</v>
      </c>
      <c r="I22" s="357">
        <f t="shared" ca="1" si="13"/>
        <v>13.629760986074833</v>
      </c>
      <c r="J22" s="359">
        <f t="shared" ca="1" si="14"/>
        <v>0.17354824668143701</v>
      </c>
      <c r="K22" s="360">
        <f t="shared" ca="1" si="15"/>
        <v>0.9842978264538047</v>
      </c>
      <c r="L22" s="357">
        <f t="shared" ca="1" si="0"/>
        <v>0.9994804675869785</v>
      </c>
      <c r="M22" s="359">
        <f t="shared" ca="1" si="16"/>
        <v>1.3962634015954636</v>
      </c>
      <c r="N22" s="357">
        <f t="shared" ca="1" si="17"/>
        <v>80</v>
      </c>
      <c r="O22" s="343"/>
      <c r="P22" s="363">
        <f t="shared" ca="1" si="18"/>
        <v>4</v>
      </c>
      <c r="Q22" s="357">
        <f t="shared" ca="1" si="19"/>
        <v>1172.5357142857142</v>
      </c>
      <c r="R22" s="359">
        <f t="shared" ca="1" si="20"/>
        <v>0.58736096631976542</v>
      </c>
      <c r="S22" s="360">
        <f t="shared" ca="1" si="21"/>
        <v>11.422730368501568</v>
      </c>
      <c r="T22" s="357">
        <f t="shared" ca="1" si="1"/>
        <v>112.0569849150004</v>
      </c>
      <c r="U22" s="364">
        <f t="shared" ca="1" si="2"/>
        <v>19.458491225340531</v>
      </c>
      <c r="V22" s="359">
        <f t="shared" ca="1" si="3"/>
        <v>1.2248794294501262</v>
      </c>
      <c r="W22" s="357">
        <f t="shared" ca="1" si="4"/>
        <v>0.51505005647237145</v>
      </c>
      <c r="X22" s="343"/>
      <c r="Y22" s="367" t="str">
        <f t="shared" ca="1" si="22"/>
        <v/>
      </c>
      <c r="Z22" s="368" t="str">
        <f t="shared" ca="1" si="23"/>
        <v/>
      </c>
      <c r="AA22" s="369" t="str">
        <f t="shared" ca="1" si="24"/>
        <v/>
      </c>
      <c r="AB22" s="344"/>
      <c r="AC22" s="363" t="e">
        <f t="shared" ca="1" si="25"/>
        <v>#N/A</v>
      </c>
      <c r="AD22" s="376" t="e">
        <f t="shared" ca="1" si="26"/>
        <v>#N/A</v>
      </c>
      <c r="AE22" s="377">
        <f t="shared" ca="1" si="5"/>
        <v>0.9842978264538047</v>
      </c>
      <c r="AF22" s="344"/>
      <c r="AG22" s="359">
        <f t="shared" ca="1" si="27"/>
        <v>92.949224031009237</v>
      </c>
      <c r="AH22" s="357">
        <f t="shared" ca="1" si="28"/>
        <v>102.610188088059</v>
      </c>
    </row>
    <row r="23" spans="1:34" x14ac:dyDescent="0.25">
      <c r="A23" s="402">
        <f t="shared" ca="1" si="6"/>
        <v>0.01</v>
      </c>
      <c r="B23" s="357">
        <f t="shared" ca="1" si="7"/>
        <v>0.19000000000000003</v>
      </c>
      <c r="C23" s="342"/>
      <c r="D23" s="359">
        <f t="shared" ca="1" si="8"/>
        <v>15.91404878131579</v>
      </c>
      <c r="E23" s="360">
        <f t="shared" ca="1" si="9"/>
        <v>90.258036327808355</v>
      </c>
      <c r="F23" s="357">
        <f t="shared" ca="1" si="10"/>
        <v>91.650259521542395</v>
      </c>
      <c r="G23" s="359">
        <f t="shared" ca="1" si="11"/>
        <v>2.5257944748065744</v>
      </c>
      <c r="H23" s="360">
        <f t="shared" ca="1" si="12"/>
        <v>14.325297429631519</v>
      </c>
      <c r="I23" s="357">
        <f t="shared" ca="1" si="13"/>
        <v>14.546263581290242</v>
      </c>
      <c r="J23" s="359">
        <f t="shared" ca="1" si="14"/>
        <v>0.19801048899043697</v>
      </c>
      <c r="K23" s="360">
        <f t="shared" ca="1" si="15"/>
        <v>1.1230378989337295</v>
      </c>
      <c r="L23" s="357">
        <f t="shared" ca="1" si="0"/>
        <v>1.1403605904237999</v>
      </c>
      <c r="M23" s="359">
        <f t="shared" ca="1" si="16"/>
        <v>1.3962634015954636</v>
      </c>
      <c r="N23" s="357">
        <f t="shared" ca="1" si="17"/>
        <v>80</v>
      </c>
      <c r="O23" s="343"/>
      <c r="P23" s="363">
        <f t="shared" ca="1" si="18"/>
        <v>4</v>
      </c>
      <c r="Q23" s="357">
        <f t="shared" ca="1" si="19"/>
        <v>1157.1785714285713</v>
      </c>
      <c r="R23" s="359">
        <f t="shared" ca="1" si="20"/>
        <v>0.57966807802767872</v>
      </c>
      <c r="S23" s="360">
        <f t="shared" ca="1" si="21"/>
        <v>11.416933687721292</v>
      </c>
      <c r="T23" s="357">
        <f t="shared" ca="1" si="1"/>
        <v>112.00011947654588</v>
      </c>
      <c r="U23" s="364">
        <f t="shared" ca="1" si="2"/>
        <v>19.448616645580671</v>
      </c>
      <c r="V23" s="359">
        <f t="shared" ca="1" si="3"/>
        <v>1.2248624355818833</v>
      </c>
      <c r="W23" s="357">
        <f t="shared" ca="1" si="4"/>
        <v>0.58663752439566308</v>
      </c>
      <c r="X23" s="343"/>
      <c r="Y23" s="367" t="str">
        <f t="shared" ca="1" si="22"/>
        <v/>
      </c>
      <c r="Z23" s="368" t="str">
        <f t="shared" ca="1" si="23"/>
        <v/>
      </c>
      <c r="AA23" s="369" t="str">
        <f t="shared" ca="1" si="24"/>
        <v/>
      </c>
      <c r="AB23" s="344"/>
      <c r="AC23" s="363" t="e">
        <f t="shared" ca="1" si="25"/>
        <v>#N/A</v>
      </c>
      <c r="AD23" s="376" t="e">
        <f t="shared" ca="1" si="26"/>
        <v>#N/A</v>
      </c>
      <c r="AE23" s="377">
        <f t="shared" ca="1" si="5"/>
        <v>1.1230378989337295</v>
      </c>
      <c r="AF23" s="344"/>
      <c r="AG23" s="359">
        <f t="shared" ca="1" si="27"/>
        <v>91.650259517461308</v>
      </c>
      <c r="AH23" s="357">
        <f t="shared" ca="1" si="28"/>
        <v>101.31122357451108</v>
      </c>
    </row>
    <row r="24" spans="1:34" x14ac:dyDescent="0.25">
      <c r="A24" s="402">
        <f t="shared" ca="1" si="6"/>
        <v>0.01</v>
      </c>
      <c r="B24" s="357">
        <f t="shared" ca="1" si="7"/>
        <v>0.20000000000000004</v>
      </c>
      <c r="C24" s="342"/>
      <c r="D24" s="359">
        <f t="shared" ca="1" si="8"/>
        <v>15.688093686113271</v>
      </c>
      <c r="E24" s="360">
        <f t="shared" ca="1" si="9"/>
        <v>88.9765176666359</v>
      </c>
      <c r="F24" s="357">
        <f t="shared" ca="1" si="10"/>
        <v>90.348973317827117</v>
      </c>
      <c r="G24" s="359">
        <f t="shared" ca="1" si="11"/>
        <v>2.6826754116677072</v>
      </c>
      <c r="H24" s="360">
        <f t="shared" ca="1" si="12"/>
        <v>15.215062606297877</v>
      </c>
      <c r="I24" s="357">
        <f t="shared" ca="1" si="13"/>
        <v>15.449753314468502</v>
      </c>
      <c r="J24" s="359">
        <f t="shared" ca="1" si="14"/>
        <v>0.22405283842280838</v>
      </c>
      <c r="K24" s="360">
        <f t="shared" ca="1" si="15"/>
        <v>1.2707396991133766</v>
      </c>
      <c r="L24" s="357">
        <f t="shared" ca="1" si="0"/>
        <v>1.2903406749025901</v>
      </c>
      <c r="M24" s="359">
        <f t="shared" ca="1" si="16"/>
        <v>1.3962634015954636</v>
      </c>
      <c r="N24" s="357">
        <f t="shared" ca="1" si="17"/>
        <v>80</v>
      </c>
      <c r="O24" s="343"/>
      <c r="P24" s="363">
        <f t="shared" ca="1" si="18"/>
        <v>4</v>
      </c>
      <c r="Q24" s="357">
        <f t="shared" ca="1" si="19"/>
        <v>1141.8214285714284</v>
      </c>
      <c r="R24" s="359">
        <f t="shared" ca="1" si="20"/>
        <v>0.57197518973559192</v>
      </c>
      <c r="S24" s="360">
        <f t="shared" ca="1" si="21"/>
        <v>11.411213935823936</v>
      </c>
      <c r="T24" s="357">
        <f t="shared" ca="1" si="1"/>
        <v>111.94400871043281</v>
      </c>
      <c r="U24" s="364">
        <f t="shared" ca="1" si="2"/>
        <v>19.438873113297642</v>
      </c>
      <c r="V24" s="359">
        <f t="shared" ca="1" si="3"/>
        <v>1.224844344276754</v>
      </c>
      <c r="W24" s="357">
        <f t="shared" ca="1" si="4"/>
        <v>0.66176473160779536</v>
      </c>
      <c r="X24" s="343"/>
      <c r="Y24" s="367" t="str">
        <f t="shared" ca="1" si="22"/>
        <v/>
      </c>
      <c r="Z24" s="368" t="str">
        <f t="shared" ca="1" si="23"/>
        <v/>
      </c>
      <c r="AA24" s="369" t="str">
        <f t="shared" ca="1" si="24"/>
        <v/>
      </c>
      <c r="AB24" s="344"/>
      <c r="AC24" s="363" t="e">
        <f t="shared" ca="1" si="25"/>
        <v>#N/A</v>
      </c>
      <c r="AD24" s="376" t="e">
        <f t="shared" ca="1" si="26"/>
        <v>#N/A</v>
      </c>
      <c r="AE24" s="377">
        <f t="shared" ca="1" si="5"/>
        <v>1.2707396991133766</v>
      </c>
      <c r="AF24" s="344"/>
      <c r="AG24" s="359">
        <f t="shared" ca="1" si="27"/>
        <v>90.348973313792371</v>
      </c>
      <c r="AH24" s="357">
        <f t="shared" ca="1" si="28"/>
        <v>100.00993737084214</v>
      </c>
    </row>
    <row r="25" spans="1:34" x14ac:dyDescent="0.25">
      <c r="A25" s="402">
        <f t="shared" ca="1" si="6"/>
        <v>0.01</v>
      </c>
      <c r="B25" s="357">
        <f t="shared" ca="1" si="7"/>
        <v>0.21000000000000005</v>
      </c>
      <c r="C25" s="342"/>
      <c r="D25" s="359">
        <f t="shared" ca="1" si="8"/>
        <v>15.461742466506122</v>
      </c>
      <c r="E25" s="360">
        <f t="shared" ca="1" si="9"/>
        <v>87.692752375765863</v>
      </c>
      <c r="F25" s="357">
        <f t="shared" ca="1" si="10"/>
        <v>89.045405829486498</v>
      </c>
      <c r="G25" s="359">
        <f t="shared" ca="1" si="11"/>
        <v>2.8372928363327685</v>
      </c>
      <c r="H25" s="360">
        <f t="shared" ca="1" si="12"/>
        <v>16.091990130055535</v>
      </c>
      <c r="I25" s="357">
        <f t="shared" ca="1" si="13"/>
        <v>16.340207372763356</v>
      </c>
      <c r="J25" s="359">
        <f t="shared" ca="1" si="14"/>
        <v>0.25165267966281074</v>
      </c>
      <c r="K25" s="360">
        <f t="shared" ca="1" si="15"/>
        <v>1.4272749627951438</v>
      </c>
      <c r="L25" s="357">
        <f t="shared" ca="1" si="0"/>
        <v>1.4492904783387464</v>
      </c>
      <c r="M25" s="359">
        <f t="shared" ca="1" si="16"/>
        <v>1.3962634015954636</v>
      </c>
      <c r="N25" s="357">
        <f t="shared" ca="1" si="17"/>
        <v>80</v>
      </c>
      <c r="O25" s="343"/>
      <c r="P25" s="363">
        <f t="shared" ca="1" si="18"/>
        <v>4</v>
      </c>
      <c r="Q25" s="357">
        <f t="shared" ca="1" si="19"/>
        <v>1126.4642857142858</v>
      </c>
      <c r="R25" s="359">
        <f t="shared" ca="1" si="20"/>
        <v>0.56428230144350533</v>
      </c>
      <c r="S25" s="360">
        <f t="shared" ca="1" si="21"/>
        <v>11.405571112809501</v>
      </c>
      <c r="T25" s="357">
        <f t="shared" ca="1" si="1"/>
        <v>111.8886526166612</v>
      </c>
      <c r="U25" s="364">
        <f t="shared" ca="1" si="2"/>
        <v>19.429260628491445</v>
      </c>
      <c r="V25" s="359">
        <f t="shared" ca="1" si="3"/>
        <v>1.2248251712934894</v>
      </c>
      <c r="W25" s="357">
        <f t="shared" ca="1" si="4"/>
        <v>0.74023369235191672</v>
      </c>
      <c r="X25" s="343"/>
      <c r="Y25" s="367" t="str">
        <f t="shared" ca="1" si="22"/>
        <v/>
      </c>
      <c r="Z25" s="368" t="str">
        <f t="shared" ca="1" si="23"/>
        <v/>
      </c>
      <c r="AA25" s="369" t="str">
        <f t="shared" ca="1" si="24"/>
        <v/>
      </c>
      <c r="AB25" s="344"/>
      <c r="AC25" s="363" t="e">
        <f t="shared" ca="1" si="25"/>
        <v>#N/A</v>
      </c>
      <c r="AD25" s="376" t="e">
        <f t="shared" ca="1" si="26"/>
        <v>#N/A</v>
      </c>
      <c r="AE25" s="377">
        <f t="shared" ca="1" si="5"/>
        <v>1.4272749627951438</v>
      </c>
      <c r="AF25" s="344"/>
      <c r="AG25" s="359">
        <f t="shared" ca="1" si="27"/>
        <v>89.045405825498136</v>
      </c>
      <c r="AH25" s="357">
        <f t="shared" ca="1" si="28"/>
        <v>98.706369882547904</v>
      </c>
    </row>
    <row r="26" spans="1:34" x14ac:dyDescent="0.25">
      <c r="A26" s="402">
        <f t="shared" ca="1" si="6"/>
        <v>0.01</v>
      </c>
      <c r="B26" s="357">
        <f t="shared" ca="1" si="7"/>
        <v>0.22000000000000006</v>
      </c>
      <c r="C26" s="342"/>
      <c r="D26" s="359">
        <f t="shared" ca="1" si="8"/>
        <v>15.235002132396888</v>
      </c>
      <c r="E26" s="360">
        <f t="shared" ca="1" si="9"/>
        <v>86.406780211477951</v>
      </c>
      <c r="F26" s="357">
        <f t="shared" ca="1" si="10"/>
        <v>87.739597426069807</v>
      </c>
      <c r="G26" s="359">
        <f t="shared" ca="1" si="11"/>
        <v>2.9896428576567375</v>
      </c>
      <c r="H26" s="360">
        <f t="shared" ca="1" si="12"/>
        <v>16.956057932170314</v>
      </c>
      <c r="I26" s="357">
        <f t="shared" ca="1" si="13"/>
        <v>17.217603347024049</v>
      </c>
      <c r="J26" s="359">
        <f t="shared" ca="1" si="14"/>
        <v>0.28078735813275829</v>
      </c>
      <c r="K26" s="360">
        <f t="shared" ca="1" si="15"/>
        <v>1.592515203106273</v>
      </c>
      <c r="L26" s="357">
        <f t="shared" ca="1" si="0"/>
        <v>1.6170795319376805</v>
      </c>
      <c r="M26" s="359">
        <f t="shared" ca="1" si="16"/>
        <v>1.3962634015954636</v>
      </c>
      <c r="N26" s="357">
        <f t="shared" ca="1" si="17"/>
        <v>80</v>
      </c>
      <c r="O26" s="343"/>
      <c r="P26" s="363">
        <f t="shared" ca="1" si="18"/>
        <v>4</v>
      </c>
      <c r="Q26" s="357">
        <f t="shared" ca="1" si="19"/>
        <v>1111.1071428571427</v>
      </c>
      <c r="R26" s="359">
        <f t="shared" ca="1" si="20"/>
        <v>0.55658941315141852</v>
      </c>
      <c r="S26" s="360">
        <f t="shared" ca="1" si="21"/>
        <v>11.400005218677986</v>
      </c>
      <c r="T26" s="357">
        <f t="shared" ca="1" si="1"/>
        <v>111.83405119523105</v>
      </c>
      <c r="U26" s="364">
        <f t="shared" ca="1" si="2"/>
        <v>19.419779191162075</v>
      </c>
      <c r="V26" s="359">
        <f t="shared" ca="1" si="3"/>
        <v>1.2248049324200241</v>
      </c>
      <c r="W26" s="357">
        <f t="shared" ca="1" si="4"/>
        <v>0.8218488304554955</v>
      </c>
      <c r="X26" s="343"/>
      <c r="Y26" s="367" t="str">
        <f t="shared" ca="1" si="22"/>
        <v/>
      </c>
      <c r="Z26" s="368" t="str">
        <f t="shared" ca="1" si="23"/>
        <v/>
      </c>
      <c r="AA26" s="369" t="str">
        <f t="shared" ca="1" si="24"/>
        <v/>
      </c>
      <c r="AB26" s="344"/>
      <c r="AC26" s="363" t="e">
        <f t="shared" ca="1" si="25"/>
        <v>#N/A</v>
      </c>
      <c r="AD26" s="376" t="e">
        <f t="shared" ca="1" si="26"/>
        <v>#N/A</v>
      </c>
      <c r="AE26" s="377">
        <f t="shared" ca="1" si="5"/>
        <v>1.592515203106273</v>
      </c>
      <c r="AF26" s="344"/>
      <c r="AG26" s="359">
        <f t="shared" ca="1" si="27"/>
        <v>87.739597422127844</v>
      </c>
      <c r="AH26" s="357">
        <f t="shared" ca="1" si="28"/>
        <v>97.400561479177611</v>
      </c>
    </row>
    <row r="27" spans="1:34" x14ac:dyDescent="0.25">
      <c r="A27" s="402">
        <f t="shared" ca="1" si="6"/>
        <v>0.01</v>
      </c>
      <c r="B27" s="357">
        <f t="shared" ca="1" si="7"/>
        <v>0.23000000000000007</v>
      </c>
      <c r="C27" s="342"/>
      <c r="D27" s="359">
        <f t="shared" ca="1" si="8"/>
        <v>15.007879686520543</v>
      </c>
      <c r="E27" s="360">
        <f t="shared" ca="1" si="9"/>
        <v>85.118640889408724</v>
      </c>
      <c r="F27" s="357">
        <f t="shared" ca="1" si="10"/>
        <v>86.431588435856014</v>
      </c>
      <c r="G27" s="359">
        <f t="shared" ca="1" si="11"/>
        <v>3.1397216545219431</v>
      </c>
      <c r="H27" s="360">
        <f t="shared" ca="1" si="12"/>
        <v>17.807244341064401</v>
      </c>
      <c r="I27" s="357">
        <f t="shared" ca="1" si="13"/>
        <v>18.081919231382606</v>
      </c>
      <c r="J27" s="359">
        <f t="shared" ca="1" si="14"/>
        <v>0.3114341806936517</v>
      </c>
      <c r="K27" s="360">
        <f t="shared" ca="1" si="15"/>
        <v>1.7663317144724466</v>
      </c>
      <c r="L27" s="357">
        <f t="shared" ca="1" si="0"/>
        <v>1.7935771448297111</v>
      </c>
      <c r="M27" s="359">
        <f t="shared" ca="1" si="16"/>
        <v>1.3962634015954636</v>
      </c>
      <c r="N27" s="357">
        <f t="shared" ca="1" si="17"/>
        <v>80</v>
      </c>
      <c r="O27" s="343"/>
      <c r="P27" s="363">
        <f t="shared" ca="1" si="18"/>
        <v>4</v>
      </c>
      <c r="Q27" s="357">
        <f t="shared" ca="1" si="19"/>
        <v>1095.75</v>
      </c>
      <c r="R27" s="359">
        <f t="shared" ca="1" si="20"/>
        <v>0.54889652485933182</v>
      </c>
      <c r="S27" s="360">
        <f t="shared" ca="1" si="21"/>
        <v>11.394516253429392</v>
      </c>
      <c r="T27" s="357">
        <f t="shared" ca="1" si="1"/>
        <v>111.78020444614235</v>
      </c>
      <c r="U27" s="364">
        <f t="shared" ca="1" si="2"/>
        <v>19.410428801309532</v>
      </c>
      <c r="V27" s="359">
        <f t="shared" ca="1" si="3"/>
        <v>1.224783643472847</v>
      </c>
      <c r="W27" s="357">
        <f t="shared" ca="1" si="4"/>
        <v>0.90641700741531217</v>
      </c>
      <c r="X27" s="343"/>
      <c r="Y27" s="367" t="str">
        <f t="shared" ca="1" si="22"/>
        <v/>
      </c>
      <c r="Z27" s="368" t="str">
        <f t="shared" ca="1" si="23"/>
        <v/>
      </c>
      <c r="AA27" s="369" t="str">
        <f t="shared" ca="1" si="24"/>
        <v/>
      </c>
      <c r="AB27" s="344"/>
      <c r="AC27" s="363" t="e">
        <f t="shared" ca="1" si="25"/>
        <v>#N/A</v>
      </c>
      <c r="AD27" s="376" t="e">
        <f t="shared" ca="1" si="26"/>
        <v>#N/A</v>
      </c>
      <c r="AE27" s="377">
        <f t="shared" ca="1" si="5"/>
        <v>1.7663317144724466</v>
      </c>
      <c r="AF27" s="344"/>
      <c r="AG27" s="359">
        <f t="shared" ca="1" si="27"/>
        <v>86.431588431960492</v>
      </c>
      <c r="AH27" s="357">
        <f t="shared" ca="1" si="28"/>
        <v>96.092552489010259</v>
      </c>
    </row>
    <row r="28" spans="1:34" x14ac:dyDescent="0.25">
      <c r="A28" s="402">
        <f t="shared" ca="1" si="6"/>
        <v>0.01</v>
      </c>
      <c r="B28" s="357">
        <f t="shared" ca="1" si="7"/>
        <v>0.24000000000000007</v>
      </c>
      <c r="C28" s="342"/>
      <c r="D28" s="359">
        <f t="shared" ca="1" si="8"/>
        <v>14.780382123525753</v>
      </c>
      <c r="E28" s="360">
        <f t="shared" ca="1" si="9"/>
        <v>83.828374079341032</v>
      </c>
      <c r="F28" s="357">
        <f t="shared" ca="1" si="10"/>
        <v>85.121419140562821</v>
      </c>
      <c r="G28" s="359">
        <f t="shared" ca="1" si="11"/>
        <v>3.2875254757572008</v>
      </c>
      <c r="H28" s="360">
        <f t="shared" ca="1" si="12"/>
        <v>18.645528081857812</v>
      </c>
      <c r="I28" s="357">
        <f t="shared" ca="1" si="13"/>
        <v>18.933133422788231</v>
      </c>
      <c r="J28" s="359">
        <f t="shared" ca="1" si="14"/>
        <v>0.34357041634504742</v>
      </c>
      <c r="K28" s="360">
        <f t="shared" ca="1" si="15"/>
        <v>1.9485955765870577</v>
      </c>
      <c r="L28" s="357">
        <f t="shared" ca="1" si="0"/>
        <v>1.978652408100563</v>
      </c>
      <c r="M28" s="359">
        <f t="shared" ca="1" si="16"/>
        <v>1.3962634015954636</v>
      </c>
      <c r="N28" s="357">
        <f t="shared" ca="1" si="17"/>
        <v>80</v>
      </c>
      <c r="O28" s="343"/>
      <c r="P28" s="363">
        <f t="shared" ca="1" si="18"/>
        <v>4</v>
      </c>
      <c r="Q28" s="357">
        <f t="shared" ca="1" si="19"/>
        <v>1080.3928571428571</v>
      </c>
      <c r="R28" s="359">
        <f t="shared" ca="1" si="20"/>
        <v>0.54120363656724513</v>
      </c>
      <c r="S28" s="360">
        <f t="shared" ca="1" si="21"/>
        <v>11.38910421706372</v>
      </c>
      <c r="T28" s="357">
        <f t="shared" ca="1" si="1"/>
        <v>111.7271123693951</v>
      </c>
      <c r="U28" s="364">
        <f t="shared" ca="1" si="2"/>
        <v>19.40120945893382</v>
      </c>
      <c r="V28" s="359">
        <f t="shared" ca="1" si="3"/>
        <v>1.2247613202963787</v>
      </c>
      <c r="W28" s="357">
        <f t="shared" ca="1" si="4"/>
        <v>0.99374754997061399</v>
      </c>
      <c r="X28" s="343"/>
      <c r="Y28" s="367" t="str">
        <f t="shared" ca="1" si="22"/>
        <v/>
      </c>
      <c r="Z28" s="368" t="str">
        <f t="shared" ca="1" si="23"/>
        <v/>
      </c>
      <c r="AA28" s="369" t="str">
        <f t="shared" ca="1" si="24"/>
        <v/>
      </c>
      <c r="AB28" s="344"/>
      <c r="AC28" s="363" t="e">
        <f t="shared" ca="1" si="25"/>
        <v>#N/A</v>
      </c>
      <c r="AD28" s="376" t="e">
        <f t="shared" ca="1" si="26"/>
        <v>#N/A</v>
      </c>
      <c r="AE28" s="377">
        <f t="shared" ca="1" si="5"/>
        <v>1.9485955765870577</v>
      </c>
      <c r="AF28" s="344"/>
      <c r="AG28" s="359">
        <f t="shared" ca="1" si="27"/>
        <v>85.121419136713783</v>
      </c>
      <c r="AH28" s="357">
        <f t="shared" ca="1" si="28"/>
        <v>94.78238319376355</v>
      </c>
    </row>
    <row r="29" spans="1:34" x14ac:dyDescent="0.25">
      <c r="A29" s="402">
        <f t="shared" ca="1" si="6"/>
        <v>0.01</v>
      </c>
      <c r="B29" s="357">
        <f t="shared" ca="1" si="7"/>
        <v>0.25000000000000006</v>
      </c>
      <c r="C29" s="342"/>
      <c r="D29" s="359">
        <f t="shared" ca="1" si="8"/>
        <v>14.552516429062099</v>
      </c>
      <c r="E29" s="360">
        <f t="shared" ca="1" si="9"/>
        <v>82.536019400027385</v>
      </c>
      <c r="F29" s="357">
        <f t="shared" ca="1" si="10"/>
        <v>83.809129770090209</v>
      </c>
      <c r="G29" s="359">
        <f t="shared" ca="1" si="11"/>
        <v>3.4330506400478216</v>
      </c>
      <c r="H29" s="360">
        <f t="shared" ca="1" si="12"/>
        <v>19.470888275858087</v>
      </c>
      <c r="I29" s="357">
        <f t="shared" ca="1" si="13"/>
        <v>19.771224720489133</v>
      </c>
      <c r="J29" s="359">
        <f t="shared" ca="1" si="14"/>
        <v>0.37717329692407253</v>
      </c>
      <c r="K29" s="360">
        <f t="shared" ca="1" si="15"/>
        <v>2.1391776583756372</v>
      </c>
      <c r="L29" s="357">
        <f t="shared" ca="1" si="0"/>
        <v>2.1721741988169478</v>
      </c>
      <c r="M29" s="359">
        <f t="shared" ca="1" si="16"/>
        <v>1.3962634015954636</v>
      </c>
      <c r="N29" s="357">
        <f t="shared" ca="1" si="17"/>
        <v>80</v>
      </c>
      <c r="O29" s="343"/>
      <c r="P29" s="363">
        <f t="shared" ca="1" si="18"/>
        <v>4</v>
      </c>
      <c r="Q29" s="357">
        <f t="shared" ca="1" si="19"/>
        <v>1065.0357142857142</v>
      </c>
      <c r="R29" s="359">
        <f t="shared" ca="1" si="20"/>
        <v>0.53351074827515843</v>
      </c>
      <c r="S29" s="360">
        <f t="shared" ca="1" si="21"/>
        <v>11.383769109580967</v>
      </c>
      <c r="T29" s="357">
        <f t="shared" ca="1" si="1"/>
        <v>111.6747749649893</v>
      </c>
      <c r="U29" s="364">
        <f t="shared" ca="1" si="2"/>
        <v>19.392121164034933</v>
      </c>
      <c r="V29" s="359">
        <f t="shared" ca="1" si="3"/>
        <v>1.2247379787623478</v>
      </c>
      <c r="W29" s="357">
        <f t="shared" ca="1" si="4"/>
        <v>1.0836522771621482</v>
      </c>
      <c r="X29" s="343"/>
      <c r="Y29" s="367" t="str">
        <f t="shared" ca="1" si="22"/>
        <v/>
      </c>
      <c r="Z29" s="368" t="str">
        <f t="shared" ca="1" si="23"/>
        <v/>
      </c>
      <c r="AA29" s="369" t="str">
        <f t="shared" ca="1" si="24"/>
        <v/>
      </c>
      <c r="AB29" s="344"/>
      <c r="AC29" s="363" t="e">
        <f t="shared" ca="1" si="25"/>
        <v>#N/A</v>
      </c>
      <c r="AD29" s="376" t="e">
        <f t="shared" ca="1" si="26"/>
        <v>#N/A</v>
      </c>
      <c r="AE29" s="377">
        <f t="shared" ca="1" si="5"/>
        <v>2.1391776583756372</v>
      </c>
      <c r="AF29" s="344"/>
      <c r="AG29" s="359">
        <f t="shared" ca="1" si="27"/>
        <v>83.809129766287697</v>
      </c>
      <c r="AH29" s="357">
        <f t="shared" ca="1" si="28"/>
        <v>93.47009382333745</v>
      </c>
    </row>
    <row r="30" spans="1:34" x14ac:dyDescent="0.25">
      <c r="A30" s="402">
        <f t="shared" ca="1" si="6"/>
        <v>0.01</v>
      </c>
      <c r="B30" s="357">
        <f t="shared" ca="1" si="7"/>
        <v>0.26000000000000006</v>
      </c>
      <c r="C30" s="342"/>
      <c r="D30" s="359">
        <f t="shared" ca="1" si="8"/>
        <v>14.324289578873451</v>
      </c>
      <c r="E30" s="360">
        <f t="shared" ca="1" si="9"/>
        <v>81.241616414048124</v>
      </c>
      <c r="F30" s="357">
        <f t="shared" ca="1" si="10"/>
        <v>82.494760497299197</v>
      </c>
      <c r="G30" s="359">
        <f t="shared" ca="1" si="11"/>
        <v>3.5762935358365562</v>
      </c>
      <c r="H30" s="360">
        <f t="shared" ca="1" si="12"/>
        <v>20.283304439998567</v>
      </c>
      <c r="I30" s="357">
        <f t="shared" ca="1" si="13"/>
        <v>20.596172325462124</v>
      </c>
      <c r="J30" s="359">
        <f t="shared" ca="1" si="14"/>
        <v>0.41222001780349443</v>
      </c>
      <c r="K30" s="360">
        <f t="shared" ca="1" si="15"/>
        <v>2.3379486219549204</v>
      </c>
      <c r="L30" s="357">
        <f t="shared" ca="1" si="0"/>
        <v>2.3740111840467018</v>
      </c>
      <c r="M30" s="359">
        <f t="shared" ca="1" si="16"/>
        <v>1.3962634015954636</v>
      </c>
      <c r="N30" s="357">
        <f t="shared" ca="1" si="17"/>
        <v>80</v>
      </c>
      <c r="O30" s="343"/>
      <c r="P30" s="363">
        <f t="shared" ca="1" si="18"/>
        <v>4</v>
      </c>
      <c r="Q30" s="357">
        <f t="shared" ca="1" si="19"/>
        <v>1049.6785714285713</v>
      </c>
      <c r="R30" s="359">
        <f t="shared" ca="1" si="20"/>
        <v>0.52581785998307162</v>
      </c>
      <c r="S30" s="360">
        <f t="shared" ca="1" si="21"/>
        <v>11.378510930981136</v>
      </c>
      <c r="T30" s="357">
        <f t="shared" ca="1" si="1"/>
        <v>111.62319223292495</v>
      </c>
      <c r="U30" s="364">
        <f t="shared" ca="1" si="2"/>
        <v>19.38316391661288</v>
      </c>
      <c r="V30" s="359">
        <f t="shared" ca="1" si="3"/>
        <v>1.2247136347691703</v>
      </c>
      <c r="W30" s="357">
        <f t="shared" ca="1" si="4"/>
        <v>1.1759455268749968</v>
      </c>
      <c r="X30" s="343"/>
      <c r="Y30" s="367" t="str">
        <f t="shared" ca="1" si="22"/>
        <v/>
      </c>
      <c r="Z30" s="368" t="str">
        <f t="shared" ca="1" si="23"/>
        <v/>
      </c>
      <c r="AA30" s="369" t="str">
        <f t="shared" ca="1" si="24"/>
        <v/>
      </c>
      <c r="AB30" s="344"/>
      <c r="AC30" s="363" t="e">
        <f t="shared" ca="1" si="25"/>
        <v>#N/A</v>
      </c>
      <c r="AD30" s="376" t="e">
        <f t="shared" ca="1" si="26"/>
        <v>#N/A</v>
      </c>
      <c r="AE30" s="377">
        <f t="shared" ca="1" si="5"/>
        <v>2.3379486219549204</v>
      </c>
      <c r="AF30" s="344"/>
      <c r="AG30" s="359">
        <f t="shared" ca="1" si="27"/>
        <v>82.494760493543254</v>
      </c>
      <c r="AH30" s="357">
        <f t="shared" ca="1" si="28"/>
        <v>92.155724550593007</v>
      </c>
    </row>
    <row r="31" spans="1:34" x14ac:dyDescent="0.25">
      <c r="A31" s="402">
        <f t="shared" ca="1" si="6"/>
        <v>0.01</v>
      </c>
      <c r="B31" s="357">
        <f t="shared" ca="1" si="7"/>
        <v>0.27000000000000007</v>
      </c>
      <c r="C31" s="342"/>
      <c r="D31" s="359">
        <f t="shared" ca="1" si="8"/>
        <v>14.210447435132446</v>
      </c>
      <c r="E31" s="360">
        <f t="shared" ca="1" si="9"/>
        <v>80.595953716645226</v>
      </c>
      <c r="F31" s="357">
        <f t="shared" ca="1" si="10"/>
        <v>81.839138386240862</v>
      </c>
      <c r="G31" s="359">
        <f t="shared" ca="1" si="11"/>
        <v>3.7183980101878804</v>
      </c>
      <c r="H31" s="360">
        <f t="shared" ca="1" si="12"/>
        <v>21.089263977165018</v>
      </c>
      <c r="I31" s="357">
        <f t="shared" ca="1" si="13"/>
        <v>21.414563709324533</v>
      </c>
      <c r="J31" s="359">
        <f t="shared" ca="1" si="14"/>
        <v>0.4486934755336166</v>
      </c>
      <c r="K31" s="360">
        <f t="shared" ca="1" si="15"/>
        <v>2.5448114640407384</v>
      </c>
      <c r="L31" s="357">
        <f t="shared" ca="1" si="0"/>
        <v>2.5840648642206339</v>
      </c>
      <c r="M31" s="359">
        <f t="shared" ca="1" si="16"/>
        <v>1.3962634015954636</v>
      </c>
      <c r="N31" s="357">
        <f t="shared" ca="1" si="17"/>
        <v>80</v>
      </c>
      <c r="O31" s="343"/>
      <c r="P31" s="363">
        <f t="shared" ca="1" si="18"/>
        <v>5</v>
      </c>
      <c r="Q31" s="357">
        <f t="shared" ca="1" si="19"/>
        <v>1041.8333333333333</v>
      </c>
      <c r="R31" s="359">
        <f t="shared" ca="1" si="20"/>
        <v>0.52188792712688159</v>
      </c>
      <c r="S31" s="360">
        <f t="shared" ca="1" si="21"/>
        <v>11.373292051709868</v>
      </c>
      <c r="T31" s="357">
        <f t="shared" ca="1" si="1"/>
        <v>111.57199502727381</v>
      </c>
      <c r="U31" s="364">
        <f t="shared" ca="1" si="2"/>
        <v>19.374273615149921</v>
      </c>
      <c r="V31" s="359">
        <f t="shared" ca="1" si="3"/>
        <v>1.224688300256509</v>
      </c>
      <c r="W31" s="357">
        <f t="shared" ca="1" si="4"/>
        <v>1.2712285800375178</v>
      </c>
      <c r="X31" s="343"/>
      <c r="Y31" s="367" t="str">
        <f t="shared" ca="1" si="22"/>
        <v/>
      </c>
      <c r="Z31" s="368" t="str">
        <f t="shared" ca="1" si="23"/>
        <v/>
      </c>
      <c r="AA31" s="369" t="str">
        <f t="shared" ca="1" si="24"/>
        <v/>
      </c>
      <c r="AB31" s="344"/>
      <c r="AC31" s="363" t="e">
        <f t="shared" ca="1" si="25"/>
        <v>#N/A</v>
      </c>
      <c r="AD31" s="376" t="e">
        <f t="shared" ca="1" si="26"/>
        <v>#N/A</v>
      </c>
      <c r="AE31" s="377">
        <f t="shared" ca="1" si="5"/>
        <v>2.5448114640407384</v>
      </c>
      <c r="AF31" s="344"/>
      <c r="AG31" s="359">
        <f t="shared" ca="1" si="27"/>
        <v>81.839138382507755</v>
      </c>
      <c r="AH31" s="357">
        <f t="shared" ca="1" si="28"/>
        <v>91.500102439557523</v>
      </c>
    </row>
    <row r="32" spans="1:34" x14ac:dyDescent="0.25">
      <c r="A32" s="402">
        <f t="shared" ca="1" si="6"/>
        <v>0.01</v>
      </c>
      <c r="B32" s="357">
        <f t="shared" ca="1" si="7"/>
        <v>0.28000000000000008</v>
      </c>
      <c r="C32" s="342"/>
      <c r="D32" s="359">
        <f t="shared" ca="1" si="8"/>
        <v>14.211192122760544</v>
      </c>
      <c r="E32" s="360">
        <f t="shared" ca="1" si="9"/>
        <v>80.600177675041962</v>
      </c>
      <c r="F32" s="357">
        <f t="shared" ca="1" si="10"/>
        <v>81.843427486868748</v>
      </c>
      <c r="G32" s="359">
        <f t="shared" ca="1" si="11"/>
        <v>3.860509931415486</v>
      </c>
      <c r="H32" s="360">
        <f t="shared" ca="1" si="12"/>
        <v>21.895265753915439</v>
      </c>
      <c r="I32" s="357">
        <f t="shared" ca="1" si="13"/>
        <v>22.232997984193222</v>
      </c>
      <c r="J32" s="359">
        <f t="shared" ca="1" si="14"/>
        <v>0.48658801524163342</v>
      </c>
      <c r="K32" s="360">
        <f t="shared" ca="1" si="15"/>
        <v>2.7597341126961408</v>
      </c>
      <c r="L32" s="357">
        <f t="shared" ca="1" si="0"/>
        <v>2.8023026726882212</v>
      </c>
      <c r="M32" s="359">
        <f t="shared" ca="1" si="16"/>
        <v>1.3962634015954636</v>
      </c>
      <c r="N32" s="357">
        <f t="shared" ca="1" si="17"/>
        <v>80</v>
      </c>
      <c r="O32" s="343"/>
      <c r="P32" s="363">
        <f t="shared" ca="1" si="18"/>
        <v>5</v>
      </c>
      <c r="Q32" s="357">
        <f t="shared" ca="1" si="19"/>
        <v>1041.5</v>
      </c>
      <c r="R32" s="359">
        <f t="shared" ca="1" si="20"/>
        <v>0.52172094970658833</v>
      </c>
      <c r="S32" s="360">
        <f t="shared" ca="1" si="21"/>
        <v>11.368074842212803</v>
      </c>
      <c r="T32" s="357">
        <f t="shared" ca="1" si="1"/>
        <v>111.5208142021076</v>
      </c>
      <c r="U32" s="364">
        <f t="shared" ca="1" si="2"/>
        <v>19.365386158128317</v>
      </c>
      <c r="V32" s="359">
        <f t="shared" ca="1" si="3"/>
        <v>1.2246619792135696</v>
      </c>
      <c r="W32" s="357">
        <f t="shared" ca="1" si="4"/>
        <v>1.3702250726260568</v>
      </c>
      <c r="X32" s="343"/>
      <c r="Y32" s="367" t="str">
        <f t="shared" ca="1" si="22"/>
        <v/>
      </c>
      <c r="Z32" s="368" t="str">
        <f t="shared" ca="1" si="23"/>
        <v/>
      </c>
      <c r="AA32" s="369" t="str">
        <f t="shared" ca="1" si="24"/>
        <v/>
      </c>
      <c r="AB32" s="344"/>
      <c r="AC32" s="363" t="e">
        <f t="shared" ca="1" si="25"/>
        <v>#N/A</v>
      </c>
      <c r="AD32" s="376" t="e">
        <f t="shared" ca="1" si="26"/>
        <v>#N/A</v>
      </c>
      <c r="AE32" s="377">
        <f t="shared" ca="1" si="5"/>
        <v>2.7597341126961408</v>
      </c>
      <c r="AF32" s="344"/>
      <c r="AG32" s="359">
        <f t="shared" ca="1" si="27"/>
        <v>81.843427483134832</v>
      </c>
      <c r="AH32" s="357">
        <f t="shared" ca="1" si="28"/>
        <v>91.504391540184585</v>
      </c>
    </row>
    <row r="33" spans="1:34" x14ac:dyDescent="0.25">
      <c r="A33" s="402">
        <f t="shared" ca="1" si="6"/>
        <v>0.01</v>
      </c>
      <c r="B33" s="357">
        <f t="shared" ca="1" si="7"/>
        <v>0.29000000000000009</v>
      </c>
      <c r="C33" s="342"/>
      <c r="D33" s="359">
        <f t="shared" ca="1" si="8"/>
        <v>14.211878410161889</v>
      </c>
      <c r="E33" s="360">
        <f t="shared" ca="1" si="9"/>
        <v>80.604070429206729</v>
      </c>
      <c r="F33" s="357">
        <f t="shared" ca="1" si="10"/>
        <v>81.847380273908243</v>
      </c>
      <c r="G33" s="359">
        <f t="shared" ca="1" si="11"/>
        <v>4.0026287155171048</v>
      </c>
      <c r="H33" s="360">
        <f t="shared" ca="1" si="12"/>
        <v>22.701306458207505</v>
      </c>
      <c r="I33" s="357">
        <f t="shared" ca="1" si="13"/>
        <v>23.0514717869323</v>
      </c>
      <c r="J33" s="359">
        <f t="shared" ca="1" si="14"/>
        <v>0.52590370847629642</v>
      </c>
      <c r="K33" s="360">
        <f t="shared" ca="1" si="15"/>
        <v>2.9827169737567556</v>
      </c>
      <c r="L33" s="357">
        <f t="shared" ca="1" si="0"/>
        <v>3.0287250215438477</v>
      </c>
      <c r="M33" s="359">
        <f t="shared" ca="1" si="16"/>
        <v>1.3962634015954636</v>
      </c>
      <c r="N33" s="357">
        <f t="shared" ca="1" si="17"/>
        <v>80</v>
      </c>
      <c r="O33" s="343"/>
      <c r="P33" s="363">
        <f t="shared" ca="1" si="18"/>
        <v>5</v>
      </c>
      <c r="Q33" s="357">
        <f t="shared" ca="1" si="19"/>
        <v>1041.1666666666667</v>
      </c>
      <c r="R33" s="359">
        <f t="shared" ca="1" si="20"/>
        <v>0.52155397228629496</v>
      </c>
      <c r="S33" s="360">
        <f t="shared" ca="1" si="21"/>
        <v>11.362859302489939</v>
      </c>
      <c r="T33" s="357">
        <f t="shared" ca="1" si="1"/>
        <v>111.46964975742631</v>
      </c>
      <c r="U33" s="364">
        <f t="shared" ca="1" si="2"/>
        <v>19.35650154554807</v>
      </c>
      <c r="V33" s="359">
        <f t="shared" ca="1" si="3"/>
        <v>1.2246346716542675</v>
      </c>
      <c r="W33" s="357">
        <f t="shared" ca="1" si="4"/>
        <v>1.4729346796305394</v>
      </c>
      <c r="X33" s="343"/>
      <c r="Y33" s="367" t="str">
        <f t="shared" ca="1" si="22"/>
        <v/>
      </c>
      <c r="Z33" s="368" t="str">
        <f t="shared" ca="1" si="23"/>
        <v/>
      </c>
      <c r="AA33" s="369" t="str">
        <f t="shared" ca="1" si="24"/>
        <v/>
      </c>
      <c r="AB33" s="344"/>
      <c r="AC33" s="363" t="e">
        <f t="shared" ca="1" si="25"/>
        <v>#N/A</v>
      </c>
      <c r="AD33" s="376" t="e">
        <f t="shared" ca="1" si="26"/>
        <v>#N/A</v>
      </c>
      <c r="AE33" s="377">
        <f t="shared" ca="1" si="5"/>
        <v>2.9827169737567556</v>
      </c>
      <c r="AF33" s="344"/>
      <c r="AG33" s="359">
        <f t="shared" ca="1" si="27"/>
        <v>81.84738027017346</v>
      </c>
      <c r="AH33" s="357">
        <f t="shared" ca="1" si="28"/>
        <v>91.508344327223213</v>
      </c>
    </row>
    <row r="34" spans="1:34" x14ac:dyDescent="0.25">
      <c r="A34" s="402">
        <f t="shared" ca="1" si="6"/>
        <v>0.01</v>
      </c>
      <c r="B34" s="357">
        <f t="shared" ca="1" si="7"/>
        <v>0.3000000000000001</v>
      </c>
      <c r="C34" s="342"/>
      <c r="D34" s="359">
        <f t="shared" ca="1" si="8"/>
        <v>14.212506221549067</v>
      </c>
      <c r="E34" s="360">
        <f t="shared" ca="1" si="9"/>
        <v>80.607631549327294</v>
      </c>
      <c r="F34" s="357">
        <f t="shared" ca="1" si="10"/>
        <v>81.850996310916557</v>
      </c>
      <c r="G34" s="359">
        <f t="shared" ca="1" si="11"/>
        <v>4.1447537777325953</v>
      </c>
      <c r="H34" s="360">
        <f t="shared" ca="1" si="12"/>
        <v>23.507382773700776</v>
      </c>
      <c r="I34" s="357">
        <f t="shared" ca="1" si="13"/>
        <v>23.869981750041465</v>
      </c>
      <c r="J34" s="359">
        <f t="shared" ca="1" si="14"/>
        <v>0.56664062094254497</v>
      </c>
      <c r="K34" s="360">
        <f t="shared" ca="1" si="15"/>
        <v>3.213760419916297</v>
      </c>
      <c r="L34" s="357">
        <f t="shared" ca="1" si="0"/>
        <v>3.2633322892287153</v>
      </c>
      <c r="M34" s="359">
        <f t="shared" ca="1" si="16"/>
        <v>1.3962634015954636</v>
      </c>
      <c r="N34" s="357">
        <f t="shared" ca="1" si="17"/>
        <v>80</v>
      </c>
      <c r="O34" s="343"/>
      <c r="P34" s="363">
        <f t="shared" ca="1" si="18"/>
        <v>5</v>
      </c>
      <c r="Q34" s="357">
        <f t="shared" ca="1" si="19"/>
        <v>1040.8333333333333</v>
      </c>
      <c r="R34" s="359">
        <f t="shared" ca="1" si="20"/>
        <v>0.5213869948660016</v>
      </c>
      <c r="S34" s="360">
        <f t="shared" ca="1" si="21"/>
        <v>11.357645432541279</v>
      </c>
      <c r="T34" s="357">
        <f t="shared" ca="1" si="1"/>
        <v>111.41850169322996</v>
      </c>
      <c r="U34" s="364">
        <f t="shared" ca="1" si="2"/>
        <v>19.347619777409182</v>
      </c>
      <c r="V34" s="359">
        <f t="shared" ca="1" si="3"/>
        <v>1.2246063775989651</v>
      </c>
      <c r="W34" s="357">
        <f t="shared" ca="1" si="4"/>
        <v>1.5793569964770631</v>
      </c>
      <c r="X34" s="343"/>
      <c r="Y34" s="367" t="str">
        <f t="shared" ca="1" si="22"/>
        <v/>
      </c>
      <c r="Z34" s="368" t="str">
        <f t="shared" ca="1" si="23"/>
        <v/>
      </c>
      <c r="AA34" s="369" t="str">
        <f t="shared" ca="1" si="24"/>
        <v/>
      </c>
      <c r="AB34" s="344"/>
      <c r="AC34" s="363" t="e">
        <f t="shared" ca="1" si="25"/>
        <v>#N/A</v>
      </c>
      <c r="AD34" s="376" t="e">
        <f t="shared" ca="1" si="26"/>
        <v>#N/A</v>
      </c>
      <c r="AE34" s="377">
        <f t="shared" ca="1" si="5"/>
        <v>3.213760419916297</v>
      </c>
      <c r="AF34" s="344"/>
      <c r="AG34" s="359">
        <f t="shared" ca="1" si="27"/>
        <v>81.850996307180878</v>
      </c>
      <c r="AH34" s="357">
        <f t="shared" ca="1" si="28"/>
        <v>91.511960364230646</v>
      </c>
    </row>
    <row r="35" spans="1:34" x14ac:dyDescent="0.25">
      <c r="A35" s="402">
        <f t="shared" ca="1" si="6"/>
        <v>0.01</v>
      </c>
      <c r="B35" s="357">
        <f t="shared" ca="1" si="7"/>
        <v>0.31000000000000011</v>
      </c>
      <c r="C35" s="342"/>
      <c r="D35" s="359">
        <f t="shared" ca="1" si="8"/>
        <v>14.213075482264044</v>
      </c>
      <c r="E35" s="360">
        <f t="shared" ca="1" si="9"/>
        <v>80.610860611996515</v>
      </c>
      <c r="F35" s="357">
        <f t="shared" ca="1" si="10"/>
        <v>81.854275167954825</v>
      </c>
      <c r="G35" s="359">
        <f t="shared" ca="1" si="11"/>
        <v>4.286884532555236</v>
      </c>
      <c r="H35" s="360">
        <f t="shared" ca="1" si="12"/>
        <v>24.313491379820743</v>
      </c>
      <c r="I35" s="357">
        <f t="shared" ca="1" si="13"/>
        <v>24.688524501721016</v>
      </c>
      <c r="J35" s="359">
        <f t="shared" ca="1" si="14"/>
        <v>0.60879881249398415</v>
      </c>
      <c r="K35" s="360">
        <f t="shared" ca="1" si="15"/>
        <v>3.4528647906839045</v>
      </c>
      <c r="L35" s="357">
        <f t="shared" ca="1" si="0"/>
        <v>3.5061248204875266</v>
      </c>
      <c r="M35" s="359">
        <f t="shared" ca="1" si="16"/>
        <v>1.3962634015954636</v>
      </c>
      <c r="N35" s="357">
        <f t="shared" ca="1" si="17"/>
        <v>80</v>
      </c>
      <c r="O35" s="343"/>
      <c r="P35" s="363">
        <f t="shared" ca="1" si="18"/>
        <v>5</v>
      </c>
      <c r="Q35" s="357">
        <f t="shared" ca="1" si="19"/>
        <v>1040.5</v>
      </c>
      <c r="R35" s="359">
        <f t="shared" ca="1" si="20"/>
        <v>0.52122001744570823</v>
      </c>
      <c r="S35" s="360">
        <f t="shared" ca="1" si="21"/>
        <v>11.352433232366822</v>
      </c>
      <c r="T35" s="357">
        <f t="shared" ca="1" si="1"/>
        <v>111.36737000951854</v>
      </c>
      <c r="U35" s="364">
        <f t="shared" ca="1" si="2"/>
        <v>19.338740853711652</v>
      </c>
      <c r="V35" s="359">
        <f t="shared" ca="1" si="3"/>
        <v>1.2245770970744723</v>
      </c>
      <c r="W35" s="357">
        <f t="shared" ca="1" si="4"/>
        <v>1.6894915389401601</v>
      </c>
      <c r="X35" s="343"/>
      <c r="Y35" s="367" t="str">
        <f t="shared" ca="1" si="22"/>
        <v/>
      </c>
      <c r="Z35" s="368" t="str">
        <f t="shared" ca="1" si="23"/>
        <v/>
      </c>
      <c r="AA35" s="369" t="str">
        <f t="shared" ca="1" si="24"/>
        <v/>
      </c>
      <c r="AB35" s="344"/>
      <c r="AC35" s="363" t="e">
        <f t="shared" ca="1" si="25"/>
        <v>#N/A</v>
      </c>
      <c r="AD35" s="376" t="e">
        <f t="shared" ca="1" si="26"/>
        <v>#N/A</v>
      </c>
      <c r="AE35" s="377">
        <f t="shared" ca="1" si="5"/>
        <v>3.4528647906839045</v>
      </c>
      <c r="AF35" s="344"/>
      <c r="AG35" s="359">
        <f t="shared" ca="1" si="27"/>
        <v>81.854275164218265</v>
      </c>
      <c r="AH35" s="357">
        <f t="shared" ca="1" si="28"/>
        <v>91.515239221268033</v>
      </c>
    </row>
    <row r="36" spans="1:34" x14ac:dyDescent="0.25">
      <c r="A36" s="402">
        <f t="shared" ca="1" si="6"/>
        <v>0.01</v>
      </c>
      <c r="B36" s="357">
        <f t="shared" ca="1" si="7"/>
        <v>0.32000000000000012</v>
      </c>
      <c r="C36" s="342"/>
      <c r="D36" s="359">
        <f t="shared" ca="1" si="8"/>
        <v>14.213586118782207</v>
      </c>
      <c r="E36" s="360">
        <f t="shared" ca="1" si="9"/>
        <v>80.613757200235213</v>
      </c>
      <c r="F36" s="357">
        <f t="shared" ca="1" si="10"/>
        <v>81.857216421611312</v>
      </c>
      <c r="G36" s="359">
        <f t="shared" ca="1" si="11"/>
        <v>4.4290203937430581</v>
      </c>
      <c r="H36" s="360">
        <f t="shared" ca="1" si="12"/>
        <v>25.119628951823096</v>
      </c>
      <c r="I36" s="357">
        <f t="shared" ca="1" si="13"/>
        <v>25.50709666593713</v>
      </c>
      <c r="J36" s="359">
        <f t="shared" ca="1" si="14"/>
        <v>0.65237833712547566</v>
      </c>
      <c r="K36" s="360">
        <f t="shared" ca="1" si="15"/>
        <v>3.7000303923421236</v>
      </c>
      <c r="L36" s="357">
        <f t="shared" ca="1" si="0"/>
        <v>3.7571029263258162</v>
      </c>
      <c r="M36" s="359">
        <f t="shared" ca="1" si="16"/>
        <v>1.3962634015954636</v>
      </c>
      <c r="N36" s="357">
        <f t="shared" ca="1" si="17"/>
        <v>80</v>
      </c>
      <c r="O36" s="343"/>
      <c r="P36" s="363">
        <f t="shared" ca="1" si="18"/>
        <v>5</v>
      </c>
      <c r="Q36" s="357">
        <f t="shared" ca="1" si="19"/>
        <v>1040.1666666666667</v>
      </c>
      <c r="R36" s="359">
        <f t="shared" ca="1" si="20"/>
        <v>0.52105304002541497</v>
      </c>
      <c r="S36" s="360">
        <f t="shared" ca="1" si="21"/>
        <v>11.347222701966569</v>
      </c>
      <c r="T36" s="357">
        <f t="shared" ca="1" si="1"/>
        <v>111.31625470629204</v>
      </c>
      <c r="U36" s="364">
        <f t="shared" ca="1" si="2"/>
        <v>19.32986477445548</v>
      </c>
      <c r="V36" s="359">
        <f t="shared" ca="1" si="3"/>
        <v>1.2245468301140556</v>
      </c>
      <c r="W36" s="357">
        <f t="shared" ca="1" si="4"/>
        <v>1.8033377430585535</v>
      </c>
      <c r="X36" s="343"/>
      <c r="Y36" s="367" t="str">
        <f t="shared" ca="1" si="22"/>
        <v>Sortie de rampe</v>
      </c>
      <c r="Z36" s="368" t="str">
        <f t="shared" ca="1" si="23"/>
        <v/>
      </c>
      <c r="AA36" s="369" t="str">
        <f t="shared" ca="1" si="24"/>
        <v/>
      </c>
      <c r="AB36" s="344"/>
      <c r="AC36" s="363" t="e">
        <f t="shared" ca="1" si="25"/>
        <v>#N/A</v>
      </c>
      <c r="AD36" s="376" t="e">
        <f t="shared" ca="1" si="26"/>
        <v>#N/A</v>
      </c>
      <c r="AE36" s="377">
        <f t="shared" ca="1" si="5"/>
        <v>3.7000303923421236</v>
      </c>
      <c r="AF36" s="344"/>
      <c r="AG36" s="359">
        <f t="shared" ca="1" si="27"/>
        <v>81.857216417873843</v>
      </c>
      <c r="AH36" s="357">
        <f t="shared" ca="1" si="28"/>
        <v>91.518180474923611</v>
      </c>
    </row>
    <row r="37" spans="1:34" x14ac:dyDescent="0.25">
      <c r="A37" s="402">
        <f t="shared" ca="1" si="6"/>
        <v>0.01</v>
      </c>
      <c r="B37" s="357">
        <f t="shared" ca="1" si="7"/>
        <v>0.33000000000000013</v>
      </c>
      <c r="C37" s="342"/>
      <c r="D37" s="359">
        <f t="shared" ca="1" si="8"/>
        <v>14.214038058716346</v>
      </c>
      <c r="E37" s="360">
        <f t="shared" ca="1" si="9"/>
        <v>80.616320903514705</v>
      </c>
      <c r="F37" s="357">
        <f t="shared" ca="1" si="10"/>
        <v>81.859819655024268</v>
      </c>
      <c r="G37" s="359">
        <f t="shared" ca="1" si="11"/>
        <v>4.5711607743302212</v>
      </c>
      <c r="H37" s="360">
        <f t="shared" ca="1" si="12"/>
        <v>25.925792160858244</v>
      </c>
      <c r="I37" s="357">
        <f t="shared" ca="1" si="13"/>
        <v>26.325694862487371</v>
      </c>
      <c r="J37" s="359">
        <f t="shared" ca="1" si="14"/>
        <v>0.69737924296584208</v>
      </c>
      <c r="K37" s="360">
        <f t="shared" ca="1" si="15"/>
        <v>3.9552574979055302</v>
      </c>
      <c r="L37" s="357">
        <f t="shared" ca="1" si="0"/>
        <v>4.0162668839679379</v>
      </c>
      <c r="M37" s="359">
        <f t="shared" ca="1" si="16"/>
        <v>1.3962634015954636</v>
      </c>
      <c r="N37" s="357">
        <f t="shared" ca="1" si="17"/>
        <v>80</v>
      </c>
      <c r="O37" s="343"/>
      <c r="P37" s="363">
        <f t="shared" ca="1" si="18"/>
        <v>5</v>
      </c>
      <c r="Q37" s="357">
        <f t="shared" ca="1" si="19"/>
        <v>1039.8333333333333</v>
      </c>
      <c r="R37" s="359">
        <f t="shared" ca="1" si="20"/>
        <v>0.52088606260512149</v>
      </c>
      <c r="S37" s="360">
        <f t="shared" ca="1" si="21"/>
        <v>11.342013841340517</v>
      </c>
      <c r="T37" s="357">
        <f t="shared" ca="1" si="1"/>
        <v>111.26515578355048</v>
      </c>
      <c r="U37" s="364">
        <f t="shared" ca="1" si="2"/>
        <v>0</v>
      </c>
      <c r="V37" s="359">
        <f t="shared" ca="1" si="3"/>
        <v>1.2245155767574396</v>
      </c>
      <c r="W37" s="357">
        <f t="shared" ca="1" si="4"/>
        <v>1.9208949650543861</v>
      </c>
      <c r="X37" s="343"/>
      <c r="Y37" s="367" t="str">
        <f t="shared" ca="1" si="22"/>
        <v/>
      </c>
      <c r="Z37" s="368" t="str">
        <f t="shared" ca="1" si="23"/>
        <v/>
      </c>
      <c r="AA37" s="369" t="str">
        <f t="shared" ca="1" si="24"/>
        <v/>
      </c>
      <c r="AB37" s="344"/>
      <c r="AC37" s="363" t="e">
        <f t="shared" ca="1" si="25"/>
        <v>#N/A</v>
      </c>
      <c r="AD37" s="376" t="e">
        <f t="shared" ca="1" si="26"/>
        <v>#N/A</v>
      </c>
      <c r="AE37" s="377">
        <f t="shared" ca="1" si="5"/>
        <v>3.9552574979055302</v>
      </c>
      <c r="AF37" s="344"/>
      <c r="AG37" s="359">
        <f t="shared" ca="1" si="27"/>
        <v>81.859819651285889</v>
      </c>
      <c r="AH37" s="357">
        <f t="shared" ca="1" si="28"/>
        <v>91.520783708335657</v>
      </c>
    </row>
    <row r="38" spans="1:34" x14ac:dyDescent="0.25">
      <c r="A38" s="402">
        <f t="shared" ca="1" si="6"/>
        <v>0.01</v>
      </c>
      <c r="B38" s="357">
        <f t="shared" ca="1" si="7"/>
        <v>0.34000000000000014</v>
      </c>
      <c r="C38" s="342"/>
      <c r="D38" s="359">
        <f t="shared" ca="1" si="8"/>
        <v>15.892810588494649</v>
      </c>
      <c r="E38" s="360">
        <f t="shared" ca="1" si="9"/>
        <v>80.322607753157499</v>
      </c>
      <c r="F38" s="357">
        <f t="shared" ca="1" si="10"/>
        <v>81.87980669658036</v>
      </c>
      <c r="G38" s="359">
        <f t="shared" ca="1" si="11"/>
        <v>4.7300888802151677</v>
      </c>
      <c r="H38" s="360">
        <f t="shared" ca="1" si="12"/>
        <v>26.72901823838982</v>
      </c>
      <c r="I38" s="357">
        <f t="shared" ca="1" si="13"/>
        <v>27.144320894119101</v>
      </c>
      <c r="J38" s="359">
        <f t="shared" ca="1" si="14"/>
        <v>0.74388549123856906</v>
      </c>
      <c r="K38" s="360">
        <f t="shared" ca="1" si="15"/>
        <v>4.2185315499017708</v>
      </c>
      <c r="L38" s="357">
        <f t="shared" ca="1" si="0"/>
        <v>4.2836169368410948</v>
      </c>
      <c r="M38" s="359">
        <f t="shared" ca="1" si="16"/>
        <v>1.3956451177605158</v>
      </c>
      <c r="N38" s="357">
        <f t="shared" ca="1" si="17"/>
        <v>79.964574945716322</v>
      </c>
      <c r="O38" s="343"/>
      <c r="P38" s="363">
        <f t="shared" ca="1" si="18"/>
        <v>5</v>
      </c>
      <c r="Q38" s="357">
        <f t="shared" ca="1" si="19"/>
        <v>1039.5</v>
      </c>
      <c r="R38" s="359">
        <f t="shared" ca="1" si="20"/>
        <v>0.52071908518482812</v>
      </c>
      <c r="S38" s="360">
        <f t="shared" ca="1" si="21"/>
        <v>11.336806650488668</v>
      </c>
      <c r="T38" s="357">
        <f t="shared" ca="1" si="1"/>
        <v>111.21407324129385</v>
      </c>
      <c r="U38" s="364">
        <f t="shared" ca="1" si="2"/>
        <v>0</v>
      </c>
      <c r="V38" s="359">
        <f t="shared" ca="1" si="3"/>
        <v>1.2244833388627026</v>
      </c>
      <c r="W38" s="357">
        <f t="shared" ca="1" si="4"/>
        <v>2.0421632647583445</v>
      </c>
      <c r="X38" s="343"/>
      <c r="Y38" s="367" t="str">
        <f t="shared" ca="1" si="22"/>
        <v/>
      </c>
      <c r="Z38" s="368" t="str">
        <f t="shared" ca="1" si="23"/>
        <v/>
      </c>
      <c r="AA38" s="369" t="str">
        <f t="shared" ca="1" si="24"/>
        <v/>
      </c>
      <c r="AB38" s="344"/>
      <c r="AC38" s="363" t="e">
        <f t="shared" ca="1" si="25"/>
        <v>#N/A</v>
      </c>
      <c r="AD38" s="376" t="e">
        <f t="shared" ca="1" si="26"/>
        <v>#N/A</v>
      </c>
      <c r="AE38" s="377">
        <f t="shared" ca="1" si="5"/>
        <v>4.2185315499017708</v>
      </c>
      <c r="AF38" s="344"/>
      <c r="AG38" s="359">
        <f t="shared" ca="1" si="27"/>
        <v>81.862084454165796</v>
      </c>
      <c r="AH38" s="357">
        <f t="shared" ca="1" si="28"/>
        <v>91.523048511215549</v>
      </c>
    </row>
    <row r="39" spans="1:34" x14ac:dyDescent="0.25">
      <c r="A39" s="402">
        <f t="shared" ca="1" si="6"/>
        <v>0.01</v>
      </c>
      <c r="B39" s="357">
        <f t="shared" ca="1" si="7"/>
        <v>0.35000000000000014</v>
      </c>
      <c r="C39" s="342"/>
      <c r="D39" s="359">
        <f t="shared" ca="1" si="8"/>
        <v>15.948870683147234</v>
      </c>
      <c r="E39" s="360">
        <f t="shared" ca="1" si="9"/>
        <v>80.314660691824344</v>
      </c>
      <c r="F39" s="357">
        <f t="shared" ca="1" si="10"/>
        <v>81.882911514617192</v>
      </c>
      <c r="G39" s="359">
        <f t="shared" ca="1" si="11"/>
        <v>4.8895775870466398</v>
      </c>
      <c r="H39" s="360">
        <f t="shared" ca="1" si="12"/>
        <v>27.532164845308063</v>
      </c>
      <c r="I39" s="357">
        <f t="shared" ca="1" si="13"/>
        <v>27.962976773744352</v>
      </c>
      <c r="J39" s="359">
        <f t="shared" ca="1" si="14"/>
        <v>0.79198382357487807</v>
      </c>
      <c r="K39" s="360">
        <f t="shared" ca="1" si="15"/>
        <v>4.4898374653202602</v>
      </c>
      <c r="L39" s="357">
        <f t="shared" ca="1" si="0"/>
        <v>4.5591533031691025</v>
      </c>
      <c r="M39" s="359">
        <f t="shared" ca="1" si="16"/>
        <v>1.3950337874164156</v>
      </c>
      <c r="N39" s="357">
        <f t="shared" ca="1" si="17"/>
        <v>79.929548297111111</v>
      </c>
      <c r="O39" s="343"/>
      <c r="P39" s="363">
        <f t="shared" ca="1" si="18"/>
        <v>5</v>
      </c>
      <c r="Q39" s="357">
        <f t="shared" ca="1" si="19"/>
        <v>1039.1666666666667</v>
      </c>
      <c r="R39" s="359">
        <f t="shared" ca="1" si="20"/>
        <v>0.52055210776453487</v>
      </c>
      <c r="S39" s="360">
        <f t="shared" ca="1" si="21"/>
        <v>11.331601129411023</v>
      </c>
      <c r="T39" s="357">
        <f t="shared" ca="1" si="1"/>
        <v>111.16300707952215</v>
      </c>
      <c r="U39" s="364">
        <f t="shared" ca="1" si="2"/>
        <v>0</v>
      </c>
      <c r="V39" s="359">
        <f t="shared" ca="1" si="3"/>
        <v>1.2244501183544592</v>
      </c>
      <c r="W39" s="357">
        <f t="shared" ca="1" si="4"/>
        <v>2.1671427501484022</v>
      </c>
      <c r="X39" s="343"/>
      <c r="Y39" s="367" t="str">
        <f t="shared" ca="1" si="22"/>
        <v/>
      </c>
      <c r="Z39" s="368" t="str">
        <f t="shared" ca="1" si="23"/>
        <v/>
      </c>
      <c r="AA39" s="369" t="str">
        <f t="shared" ca="1" si="24"/>
        <v/>
      </c>
      <c r="AB39" s="344"/>
      <c r="AC39" s="363" t="e">
        <f t="shared" ca="1" si="25"/>
        <v>#N/A</v>
      </c>
      <c r="AD39" s="376" t="e">
        <f t="shared" ca="1" si="26"/>
        <v>#N/A</v>
      </c>
      <c r="AE39" s="377">
        <f t="shared" ca="1" si="5"/>
        <v>4.4898374653202602</v>
      </c>
      <c r="AF39" s="344"/>
      <c r="AG39" s="359">
        <f t="shared" ca="1" si="27"/>
        <v>81.865065439660611</v>
      </c>
      <c r="AH39" s="357">
        <f t="shared" ca="1" si="28"/>
        <v>91.524974410726941</v>
      </c>
    </row>
    <row r="40" spans="1:34" x14ac:dyDescent="0.25">
      <c r="A40" s="402">
        <f t="shared" ca="1" si="6"/>
        <v>0.01</v>
      </c>
      <c r="B40" s="357">
        <f t="shared" ca="1" si="7"/>
        <v>0.36000000000000015</v>
      </c>
      <c r="C40" s="342"/>
      <c r="D40" s="359">
        <f t="shared" ca="1" si="8"/>
        <v>16.004241056307691</v>
      </c>
      <c r="E40" s="360">
        <f t="shared" ca="1" si="9"/>
        <v>80.306455898689876</v>
      </c>
      <c r="F40" s="357">
        <f t="shared" ca="1" si="10"/>
        <v>81.885667798440934</v>
      </c>
      <c r="G40" s="359">
        <f t="shared" ca="1" si="11"/>
        <v>5.0496199976097165</v>
      </c>
      <c r="H40" s="360">
        <f t="shared" ca="1" si="12"/>
        <v>28.335229404294964</v>
      </c>
      <c r="I40" s="357">
        <f t="shared" ca="1" si="13"/>
        <v>28.78165887356533</v>
      </c>
      <c r="J40" s="359">
        <f t="shared" ca="1" si="14"/>
        <v>0.84167981149815985</v>
      </c>
      <c r="K40" s="360">
        <f t="shared" ca="1" si="15"/>
        <v>4.7691744365682753</v>
      </c>
      <c r="L40" s="357">
        <f t="shared" ca="1" si="0"/>
        <v>4.8428761817229962</v>
      </c>
      <c r="M40" s="359">
        <f t="shared" ca="1" si="16"/>
        <v>1.3944377944267137</v>
      </c>
      <c r="N40" s="357">
        <f t="shared" ca="1" si="17"/>
        <v>79.895400414181807</v>
      </c>
      <c r="O40" s="343"/>
      <c r="P40" s="363">
        <f t="shared" ca="1" si="18"/>
        <v>5</v>
      </c>
      <c r="Q40" s="357">
        <f t="shared" ca="1" si="19"/>
        <v>1038.8333333333333</v>
      </c>
      <c r="R40" s="359">
        <f t="shared" ca="1" si="20"/>
        <v>0.52038513034424139</v>
      </c>
      <c r="S40" s="360">
        <f t="shared" ca="1" si="21"/>
        <v>11.326397278107581</v>
      </c>
      <c r="T40" s="357">
        <f t="shared" ca="1" si="1"/>
        <v>111.11195729823538</v>
      </c>
      <c r="U40" s="364">
        <f t="shared" ca="1" si="2"/>
        <v>0</v>
      </c>
      <c r="V40" s="359">
        <f t="shared" ca="1" si="3"/>
        <v>1.2244159154115848</v>
      </c>
      <c r="W40" s="357">
        <f t="shared" ca="1" si="4"/>
        <v>2.2958326453844466</v>
      </c>
      <c r="X40" s="343"/>
      <c r="Y40" s="367" t="str">
        <f t="shared" ca="1" si="22"/>
        <v/>
      </c>
      <c r="Z40" s="368" t="str">
        <f t="shared" ca="1" si="23"/>
        <v/>
      </c>
      <c r="AA40" s="369" t="str">
        <f t="shared" ca="1" si="24"/>
        <v/>
      </c>
      <c r="AB40" s="344"/>
      <c r="AC40" s="363" t="e">
        <f t="shared" ca="1" si="25"/>
        <v>#N/A</v>
      </c>
      <c r="AD40" s="376" t="e">
        <f t="shared" ca="1" si="26"/>
        <v>#N/A</v>
      </c>
      <c r="AE40" s="377">
        <f t="shared" ca="1" si="5"/>
        <v>4.7691744365682753</v>
      </c>
      <c r="AF40" s="344"/>
      <c r="AG40" s="359">
        <f t="shared" ca="1" si="27"/>
        <v>81.867698808851245</v>
      </c>
      <c r="AH40" s="357">
        <f t="shared" ca="1" si="28"/>
        <v>91.526560929212906</v>
      </c>
    </row>
    <row r="41" spans="1:34" x14ac:dyDescent="0.25">
      <c r="A41" s="402">
        <f t="shared" ca="1" si="6"/>
        <v>0.01</v>
      </c>
      <c r="B41" s="357">
        <f t="shared" ca="1" si="7"/>
        <v>0.37000000000000016</v>
      </c>
      <c r="C41" s="342"/>
      <c r="D41" s="359">
        <f t="shared" ca="1" si="8"/>
        <v>16.05816572145736</v>
      </c>
      <c r="E41" s="360">
        <f t="shared" ca="1" si="9"/>
        <v>80.298128878027228</v>
      </c>
      <c r="F41" s="357">
        <f t="shared" ca="1" si="10"/>
        <v>81.888058883148886</v>
      </c>
      <c r="G41" s="359">
        <f t="shared" ca="1" si="11"/>
        <v>5.2102016548242904</v>
      </c>
      <c r="H41" s="360">
        <f t="shared" ca="1" si="12"/>
        <v>29.138210693075237</v>
      </c>
      <c r="I41" s="357">
        <f t="shared" ca="1" si="13"/>
        <v>29.600363573408654</v>
      </c>
      <c r="J41" s="359">
        <f t="shared" ca="1" si="14"/>
        <v>0.89297891976032984</v>
      </c>
      <c r="K41" s="360">
        <f t="shared" ca="1" si="15"/>
        <v>5.0565416370551262</v>
      </c>
      <c r="L41" s="357">
        <f t="shared" ca="1" si="0"/>
        <v>5.1347857480530248</v>
      </c>
      <c r="M41" s="359">
        <f t="shared" ca="1" si="16"/>
        <v>1.393856341096811</v>
      </c>
      <c r="N41" s="357">
        <f t="shared" ca="1" si="17"/>
        <v>79.86208559239455</v>
      </c>
      <c r="O41" s="343"/>
      <c r="P41" s="363">
        <f t="shared" ca="1" si="18"/>
        <v>5</v>
      </c>
      <c r="Q41" s="357">
        <f t="shared" ca="1" si="19"/>
        <v>1038.5</v>
      </c>
      <c r="R41" s="359">
        <f t="shared" ca="1" si="20"/>
        <v>0.52021815292394813</v>
      </c>
      <c r="S41" s="360">
        <f t="shared" ca="1" si="21"/>
        <v>11.321195096578341</v>
      </c>
      <c r="T41" s="357">
        <f t="shared" ca="1" si="1"/>
        <v>111.06092389743354</v>
      </c>
      <c r="U41" s="364">
        <f t="shared" ca="1" si="2"/>
        <v>0</v>
      </c>
      <c r="V41" s="359">
        <f t="shared" ca="1" si="3"/>
        <v>1.2243807302176326</v>
      </c>
      <c r="W41" s="357">
        <f t="shared" ca="1" si="4"/>
        <v>2.4282320922397309</v>
      </c>
      <c r="X41" s="343"/>
      <c r="Y41" s="367" t="str">
        <f t="shared" ca="1" si="22"/>
        <v/>
      </c>
      <c r="Z41" s="368" t="str">
        <f t="shared" ca="1" si="23"/>
        <v/>
      </c>
      <c r="AA41" s="369" t="str">
        <f t="shared" ca="1" si="24"/>
        <v/>
      </c>
      <c r="AB41" s="344"/>
      <c r="AC41" s="363" t="e">
        <f t="shared" ca="1" si="25"/>
        <v>#N/A</v>
      </c>
      <c r="AD41" s="376" t="e">
        <f t="shared" ca="1" si="26"/>
        <v>#N/A</v>
      </c>
      <c r="AE41" s="377">
        <f t="shared" ca="1" si="5"/>
        <v>5.0565416370551262</v>
      </c>
      <c r="AF41" s="344"/>
      <c r="AG41" s="359">
        <f t="shared" ca="1" si="27"/>
        <v>81.869969607997518</v>
      </c>
      <c r="AH41" s="357">
        <f t="shared" ca="1" si="28"/>
        <v>91.527807666506206</v>
      </c>
    </row>
    <row r="42" spans="1:34" x14ac:dyDescent="0.25">
      <c r="A42" s="402">
        <f t="shared" ca="1" si="6"/>
        <v>0.01</v>
      </c>
      <c r="B42" s="357">
        <f t="shared" ca="1" si="7"/>
        <v>0.38000000000000017</v>
      </c>
      <c r="C42" s="342"/>
      <c r="D42" s="359">
        <f t="shared" ca="1" si="8"/>
        <v>16.110716247072215</v>
      </c>
      <c r="E42" s="360">
        <f t="shared" ca="1" si="9"/>
        <v>80.289668980925853</v>
      </c>
      <c r="F42" s="357">
        <f t="shared" ca="1" si="10"/>
        <v>81.890085621278502</v>
      </c>
      <c r="G42" s="359">
        <f t="shared" ca="1" si="11"/>
        <v>5.371308817295013</v>
      </c>
      <c r="H42" s="360">
        <f t="shared" ca="1" si="12"/>
        <v>29.941107382884496</v>
      </c>
      <c r="I42" s="357">
        <f t="shared" ca="1" si="13"/>
        <v>30.419087259879635</v>
      </c>
      <c r="J42" s="359">
        <f t="shared" ca="1" si="14"/>
        <v>0.94588647212092636</v>
      </c>
      <c r="K42" s="360">
        <f t="shared" ca="1" si="15"/>
        <v>5.3519382274349248</v>
      </c>
      <c r="L42" s="357">
        <f t="shared" ca="1" si="0"/>
        <v>5.434882152210907</v>
      </c>
      <c r="M42" s="359">
        <f t="shared" ca="1" si="16"/>
        <v>1.3932886914929798</v>
      </c>
      <c r="N42" s="357">
        <f t="shared" ca="1" si="17"/>
        <v>79.829561665852751</v>
      </c>
      <c r="O42" s="343"/>
      <c r="P42" s="363">
        <f t="shared" ca="1" si="18"/>
        <v>5</v>
      </c>
      <c r="Q42" s="357">
        <f t="shared" ca="1" si="19"/>
        <v>1038.1666666666667</v>
      </c>
      <c r="R42" s="359">
        <f t="shared" ca="1" si="20"/>
        <v>0.52005117550365476</v>
      </c>
      <c r="S42" s="360">
        <f t="shared" ca="1" si="21"/>
        <v>11.315994584823304</v>
      </c>
      <c r="T42" s="357">
        <f t="shared" ca="1" si="1"/>
        <v>111.00990687711662</v>
      </c>
      <c r="U42" s="364">
        <f t="shared" ca="1" si="2"/>
        <v>0</v>
      </c>
      <c r="V42" s="359">
        <f t="shared" ca="1" si="3"/>
        <v>1.2243445629600667</v>
      </c>
      <c r="W42" s="357">
        <f t="shared" ca="1" si="4"/>
        <v>2.5643401501437224</v>
      </c>
      <c r="X42" s="343"/>
      <c r="Y42" s="367" t="str">
        <f t="shared" ca="1" si="22"/>
        <v/>
      </c>
      <c r="Z42" s="368" t="str">
        <f t="shared" ca="1" si="23"/>
        <v/>
      </c>
      <c r="AA42" s="369" t="str">
        <f t="shared" ca="1" si="24"/>
        <v/>
      </c>
      <c r="AB42" s="344"/>
      <c r="AC42" s="363" t="e">
        <f t="shared" ca="1" si="25"/>
        <v>#N/A</v>
      </c>
      <c r="AD42" s="376" t="e">
        <f t="shared" ca="1" si="26"/>
        <v>#N/A</v>
      </c>
      <c r="AE42" s="377">
        <f t="shared" ca="1" si="5"/>
        <v>5.3519382274349248</v>
      </c>
      <c r="AF42" s="344"/>
      <c r="AG42" s="359">
        <f t="shared" ca="1" si="27"/>
        <v>81.871878555960336</v>
      </c>
      <c r="AH42" s="357">
        <f t="shared" ca="1" si="28"/>
        <v>91.528714229284844</v>
      </c>
    </row>
    <row r="43" spans="1:34" x14ac:dyDescent="0.25">
      <c r="A43" s="402">
        <f t="shared" ca="1" si="6"/>
        <v>0.01</v>
      </c>
      <c r="B43" s="357">
        <f t="shared" ca="1" si="7"/>
        <v>0.39000000000000018</v>
      </c>
      <c r="C43" s="342"/>
      <c r="D43" s="359">
        <f t="shared" ca="1" si="8"/>
        <v>16.161958632937537</v>
      </c>
      <c r="E43" s="360">
        <f t="shared" ca="1" si="9"/>
        <v>80.281066331616174</v>
      </c>
      <c r="F43" s="357">
        <f t="shared" ca="1" si="10"/>
        <v>81.891748779679503</v>
      </c>
      <c r="G43" s="359">
        <f t="shared" ca="1" si="11"/>
        <v>5.5329284036243882</v>
      </c>
      <c r="H43" s="360">
        <f t="shared" ca="1" si="12"/>
        <v>30.743918046200658</v>
      </c>
      <c r="I43" s="357">
        <f t="shared" ca="1" si="13"/>
        <v>31.237826325644619</v>
      </c>
      <c r="J43" s="359">
        <f t="shared" ca="1" si="14"/>
        <v>1.0004076582255235</v>
      </c>
      <c r="K43" s="360">
        <f t="shared" ca="1" si="15"/>
        <v>5.6553633545803503</v>
      </c>
      <c r="L43" s="357">
        <f t="shared" ca="1" si="0"/>
        <v>5.7431655169398157</v>
      </c>
      <c r="M43" s="359">
        <f t="shared" ca="1" si="16"/>
        <v>1.3927341651691467</v>
      </c>
      <c r="N43" s="357">
        <f t="shared" ca="1" si="17"/>
        <v>79.797789647868214</v>
      </c>
      <c r="O43" s="343"/>
      <c r="P43" s="363">
        <f t="shared" ca="1" si="18"/>
        <v>5</v>
      </c>
      <c r="Q43" s="357">
        <f t="shared" ca="1" si="19"/>
        <v>1037.8333333333333</v>
      </c>
      <c r="R43" s="359">
        <f t="shared" ca="1" si="20"/>
        <v>0.51988419808336139</v>
      </c>
      <c r="S43" s="360">
        <f t="shared" ca="1" si="21"/>
        <v>11.310795742842471</v>
      </c>
      <c r="T43" s="357">
        <f t="shared" ca="1" si="1"/>
        <v>110.95890623728464</v>
      </c>
      <c r="U43" s="364">
        <f t="shared" ca="1" si="2"/>
        <v>0</v>
      </c>
      <c r="V43" s="359">
        <f t="shared" ca="1" si="3"/>
        <v>1.2243074138303862</v>
      </c>
      <c r="W43" s="357">
        <f t="shared" ca="1" si="4"/>
        <v>2.7041557962272602</v>
      </c>
      <c r="X43" s="343"/>
      <c r="Y43" s="367" t="str">
        <f t="shared" ca="1" si="22"/>
        <v/>
      </c>
      <c r="Z43" s="368" t="str">
        <f t="shared" ca="1" si="23"/>
        <v/>
      </c>
      <c r="AA43" s="369" t="str">
        <f t="shared" ca="1" si="24"/>
        <v/>
      </c>
      <c r="AB43" s="344"/>
      <c r="AC43" s="363" t="e">
        <f t="shared" ca="1" si="25"/>
        <v>#N/A</v>
      </c>
      <c r="AD43" s="376" t="e">
        <f t="shared" ca="1" si="26"/>
        <v>#N/A</v>
      </c>
      <c r="AE43" s="377">
        <f t="shared" ca="1" si="5"/>
        <v>5.6553633545803503</v>
      </c>
      <c r="AF43" s="344"/>
      <c r="AG43" s="359">
        <f t="shared" ca="1" si="27"/>
        <v>81.873426295799462</v>
      </c>
      <c r="AH43" s="357">
        <f t="shared" ca="1" si="28"/>
        <v>91.529280231084797</v>
      </c>
    </row>
    <row r="44" spans="1:34" x14ac:dyDescent="0.25">
      <c r="A44" s="402">
        <f t="shared" ca="1" si="6"/>
        <v>0.01</v>
      </c>
      <c r="B44" s="357">
        <f t="shared" ca="1" si="7"/>
        <v>0.40000000000000019</v>
      </c>
      <c r="C44" s="342"/>
      <c r="D44" s="359">
        <f t="shared" ca="1" si="8"/>
        <v>16.211953876757889</v>
      </c>
      <c r="E44" s="360">
        <f t="shared" ca="1" si="9"/>
        <v>80.272311751826848</v>
      </c>
      <c r="F44" s="357">
        <f t="shared" ca="1" si="10"/>
        <v>81.893049048650056</v>
      </c>
      <c r="G44" s="359">
        <f t="shared" ca="1" si="11"/>
        <v>5.6950479423919669</v>
      </c>
      <c r="H44" s="360">
        <f t="shared" ca="1" si="12"/>
        <v>31.546641163718927</v>
      </c>
      <c r="I44" s="357">
        <f t="shared" ca="1" si="13"/>
        <v>32.05657716879</v>
      </c>
      <c r="J44" s="359">
        <f t="shared" ca="1" si="14"/>
        <v>1.0565475399556052</v>
      </c>
      <c r="K44" s="360">
        <f t="shared" ca="1" si="15"/>
        <v>5.9668161506299482</v>
      </c>
      <c r="L44" s="357">
        <f t="shared" ca="1" si="0"/>
        <v>6.0596359362262548</v>
      </c>
      <c r="M44" s="359">
        <f t="shared" ca="1" si="16"/>
        <v>1.3921921316746062</v>
      </c>
      <c r="N44" s="357">
        <f t="shared" ca="1" si="17"/>
        <v>79.76673341627631</v>
      </c>
      <c r="O44" s="343"/>
      <c r="P44" s="363">
        <f t="shared" ca="1" si="18"/>
        <v>5</v>
      </c>
      <c r="Q44" s="357">
        <f t="shared" ca="1" si="19"/>
        <v>1037.5</v>
      </c>
      <c r="R44" s="359">
        <f t="shared" ca="1" si="20"/>
        <v>0.51971722066306802</v>
      </c>
      <c r="S44" s="360">
        <f t="shared" ca="1" si="21"/>
        <v>11.305598570635841</v>
      </c>
      <c r="T44" s="357">
        <f t="shared" ca="1" si="1"/>
        <v>110.9079219779376</v>
      </c>
      <c r="U44" s="364">
        <f t="shared" ca="1" si="2"/>
        <v>0</v>
      </c>
      <c r="V44" s="359">
        <f t="shared" ca="1" si="3"/>
        <v>1.2242692830242403</v>
      </c>
      <c r="W44" s="357">
        <f t="shared" ca="1" si="4"/>
        <v>2.8476779253635418</v>
      </c>
      <c r="X44" s="343"/>
      <c r="Y44" s="367" t="str">
        <f t="shared" ca="1" si="22"/>
        <v/>
      </c>
      <c r="Z44" s="368" t="str">
        <f t="shared" ca="1" si="23"/>
        <v/>
      </c>
      <c r="AA44" s="369" t="str">
        <f t="shared" ca="1" si="24"/>
        <v/>
      </c>
      <c r="AB44" s="344"/>
      <c r="AC44" s="363" t="e">
        <f t="shared" ca="1" si="25"/>
        <v>#N/A</v>
      </c>
      <c r="AD44" s="376" t="e">
        <f t="shared" ca="1" si="26"/>
        <v>#N/A</v>
      </c>
      <c r="AE44" s="377">
        <f t="shared" ca="1" si="5"/>
        <v>5.9668161506299482</v>
      </c>
      <c r="AF44" s="344"/>
      <c r="AG44" s="359">
        <f t="shared" ca="1" si="27"/>
        <v>81.874613402935566</v>
      </c>
      <c r="AH44" s="357">
        <f t="shared" ca="1" si="28"/>
        <v>91.529505292312408</v>
      </c>
    </row>
    <row r="45" spans="1:34" x14ac:dyDescent="0.25">
      <c r="A45" s="402">
        <f t="shared" ca="1" si="6"/>
        <v>0.01</v>
      </c>
      <c r="B45" s="357">
        <f t="shared" ca="1" si="7"/>
        <v>0.4100000000000002</v>
      </c>
      <c r="C45" s="342"/>
      <c r="D45" s="359">
        <f t="shared" ca="1" si="8"/>
        <v>16.26075847017152</v>
      </c>
      <c r="E45" s="360">
        <f t="shared" ca="1" si="9"/>
        <v>80.263396694348387</v>
      </c>
      <c r="F45" s="357">
        <f t="shared" ca="1" si="10"/>
        <v>81.893987049963499</v>
      </c>
      <c r="G45" s="359">
        <f t="shared" ca="1" si="11"/>
        <v>5.8576555270936819</v>
      </c>
      <c r="H45" s="360">
        <f t="shared" ca="1" si="12"/>
        <v>32.349275130662413</v>
      </c>
      <c r="I45" s="357">
        <f t="shared" ca="1" si="13"/>
        <v>32.875336192248817</v>
      </c>
      <c r="J45" s="359">
        <f t="shared" ca="1" si="14"/>
        <v>1.1143110573030335</v>
      </c>
      <c r="K45" s="360">
        <f t="shared" ca="1" si="15"/>
        <v>6.2862957321018547</v>
      </c>
      <c r="L45" s="357">
        <f t="shared" ca="1" si="0"/>
        <v>6.384293474133985</v>
      </c>
      <c r="M45" s="359">
        <f t="shared" ca="1" si="16"/>
        <v>1.3916620057284497</v>
      </c>
      <c r="N45" s="357">
        <f t="shared" ca="1" si="17"/>
        <v>79.736359436951162</v>
      </c>
      <c r="O45" s="343"/>
      <c r="P45" s="363">
        <f t="shared" ca="1" si="18"/>
        <v>5</v>
      </c>
      <c r="Q45" s="357">
        <f t="shared" ca="1" si="19"/>
        <v>1037.1666666666667</v>
      </c>
      <c r="R45" s="359">
        <f t="shared" ca="1" si="20"/>
        <v>0.51955024324277477</v>
      </c>
      <c r="S45" s="360">
        <f t="shared" ca="1" si="21"/>
        <v>11.300403068203412</v>
      </c>
      <c r="T45" s="357">
        <f t="shared" ca="1" si="1"/>
        <v>110.85695409907548</v>
      </c>
      <c r="U45" s="364">
        <f t="shared" ca="1" si="2"/>
        <v>0</v>
      </c>
      <c r="V45" s="359">
        <f t="shared" ca="1" si="3"/>
        <v>1.2242301707415368</v>
      </c>
      <c r="W45" s="357">
        <f t="shared" ca="1" si="4"/>
        <v>2.9949053502057312</v>
      </c>
      <c r="X45" s="343"/>
      <c r="Y45" s="367" t="str">
        <f t="shared" ca="1" si="22"/>
        <v/>
      </c>
      <c r="Z45" s="368" t="str">
        <f t="shared" ca="1" si="23"/>
        <v/>
      </c>
      <c r="AA45" s="369" t="str">
        <f t="shared" ca="1" si="24"/>
        <v/>
      </c>
      <c r="AB45" s="344"/>
      <c r="AC45" s="363" t="e">
        <f t="shared" ca="1" si="25"/>
        <v>#N/A</v>
      </c>
      <c r="AD45" s="376" t="e">
        <f t="shared" ca="1" si="26"/>
        <v>#N/A</v>
      </c>
      <c r="AE45" s="377">
        <f t="shared" ca="1" si="5"/>
        <v>6.2862957321018547</v>
      </c>
      <c r="AF45" s="344"/>
      <c r="AG45" s="359">
        <f t="shared" ca="1" si="27"/>
        <v>81.875440392321352</v>
      </c>
      <c r="AH45" s="357">
        <f t="shared" ca="1" si="28"/>
        <v>91.52938904025693</v>
      </c>
    </row>
    <row r="46" spans="1:34" x14ac:dyDescent="0.25">
      <c r="A46" s="402">
        <f t="shared" ca="1" si="6"/>
        <v>0.01</v>
      </c>
      <c r="B46" s="357">
        <f t="shared" ca="1" si="7"/>
        <v>0.42000000000000021</v>
      </c>
      <c r="C46" s="342"/>
      <c r="D46" s="359">
        <f t="shared" ca="1" si="8"/>
        <v>16.308424834500343</v>
      </c>
      <c r="E46" s="360">
        <f t="shared" ca="1" si="9"/>
        <v>80.254313184482271</v>
      </c>
      <c r="F46" s="357">
        <f t="shared" ca="1" si="10"/>
        <v>81.894563343945563</v>
      </c>
      <c r="G46" s="359">
        <f t="shared" ca="1" si="11"/>
        <v>6.0207397754386855</v>
      </c>
      <c r="H46" s="360">
        <f t="shared" ca="1" si="12"/>
        <v>33.151818262507234</v>
      </c>
      <c r="I46" s="357">
        <f t="shared" ca="1" si="13"/>
        <v>33.694099803286889</v>
      </c>
      <c r="J46" s="359">
        <f t="shared" ca="1" si="14"/>
        <v>1.1737030338156953</v>
      </c>
      <c r="K46" s="360">
        <f t="shared" ca="1" si="15"/>
        <v>6.6138011990677033</v>
      </c>
      <c r="L46" s="357">
        <f t="shared" ca="1" si="0"/>
        <v>6.7171381638594836</v>
      </c>
      <c r="M46" s="359">
        <f t="shared" ca="1" si="16"/>
        <v>1.3911432429655586</v>
      </c>
      <c r="N46" s="357">
        <f t="shared" ca="1" si="17"/>
        <v>79.706636520068955</v>
      </c>
      <c r="O46" s="343"/>
      <c r="P46" s="363">
        <f t="shared" ca="1" si="18"/>
        <v>5</v>
      </c>
      <c r="Q46" s="357">
        <f t="shared" ca="1" si="19"/>
        <v>1036.8333333333333</v>
      </c>
      <c r="R46" s="359">
        <f t="shared" ca="1" si="20"/>
        <v>0.51938326582248129</v>
      </c>
      <c r="S46" s="360">
        <f t="shared" ca="1" si="21"/>
        <v>11.295209235545187</v>
      </c>
      <c r="T46" s="357">
        <f t="shared" ca="1" si="1"/>
        <v>110.80600260069829</v>
      </c>
      <c r="U46" s="364">
        <f t="shared" ca="1" si="2"/>
        <v>0</v>
      </c>
      <c r="V46" s="359">
        <f t="shared" ca="1" si="3"/>
        <v>1.2241900771865382</v>
      </c>
      <c r="W46" s="357">
        <f t="shared" ca="1" si="4"/>
        <v>3.1458368012217917</v>
      </c>
      <c r="X46" s="343"/>
      <c r="Y46" s="367" t="str">
        <f t="shared" ca="1" si="22"/>
        <v/>
      </c>
      <c r="Z46" s="368" t="str">
        <f t="shared" ca="1" si="23"/>
        <v/>
      </c>
      <c r="AA46" s="369" t="str">
        <f t="shared" ca="1" si="24"/>
        <v/>
      </c>
      <c r="AB46" s="344"/>
      <c r="AC46" s="363" t="e">
        <f t="shared" ca="1" si="25"/>
        <v>#N/A</v>
      </c>
      <c r="AD46" s="376" t="e">
        <f t="shared" ca="1" si="26"/>
        <v>#N/A</v>
      </c>
      <c r="AE46" s="377">
        <f t="shared" ca="1" si="5"/>
        <v>6.6138011990677033</v>
      </c>
      <c r="AF46" s="344"/>
      <c r="AG46" s="359">
        <f t="shared" ca="1" si="27"/>
        <v>81.875907724764289</v>
      </c>
      <c r="AH46" s="357">
        <f t="shared" ca="1" si="28"/>
        <v>91.528931109103723</v>
      </c>
    </row>
    <row r="47" spans="1:34" x14ac:dyDescent="0.25">
      <c r="A47" s="402">
        <f t="shared" ca="1" si="6"/>
        <v>0.01</v>
      </c>
      <c r="B47" s="357">
        <f t="shared" ca="1" si="7"/>
        <v>0.43000000000000022</v>
      </c>
      <c r="C47" s="342"/>
      <c r="D47" s="359">
        <f t="shared" ca="1" si="8"/>
        <v>16.355001704841325</v>
      </c>
      <c r="E47" s="360">
        <f t="shared" ca="1" si="9"/>
        <v>80.245053768270438</v>
      </c>
      <c r="F47" s="357">
        <f t="shared" ca="1" si="10"/>
        <v>81.894778435734082</v>
      </c>
      <c r="G47" s="359">
        <f t="shared" ca="1" si="11"/>
        <v>6.1842897924870988</v>
      </c>
      <c r="H47" s="360">
        <f t="shared" ca="1" si="12"/>
        <v>33.954268800189936</v>
      </c>
      <c r="I47" s="357">
        <f t="shared" ca="1" si="13"/>
        <v>34.512864413041868</v>
      </c>
      <c r="J47" s="359">
        <f t="shared" ca="1" si="14"/>
        <v>1.2347281816553242</v>
      </c>
      <c r="K47" s="360">
        <f t="shared" ca="1" si="15"/>
        <v>6.9493316343811893</v>
      </c>
      <c r="L47" s="357">
        <f t="shared" ca="1" si="0"/>
        <v>7.0581700069624986</v>
      </c>
      <c r="M47" s="359">
        <f t="shared" ca="1" si="16"/>
        <v>1.3906353361745261</v>
      </c>
      <c r="N47" s="357">
        <f t="shared" ca="1" si="17"/>
        <v>79.677535604556766</v>
      </c>
      <c r="O47" s="343"/>
      <c r="P47" s="363">
        <f t="shared" ca="1" si="18"/>
        <v>5</v>
      </c>
      <c r="Q47" s="357">
        <f t="shared" ca="1" si="19"/>
        <v>1036.5</v>
      </c>
      <c r="R47" s="359">
        <f t="shared" ca="1" si="20"/>
        <v>0.51921628840218792</v>
      </c>
      <c r="S47" s="360">
        <f t="shared" ca="1" si="21"/>
        <v>11.290017072661165</v>
      </c>
      <c r="T47" s="357">
        <f t="shared" ca="1" si="1"/>
        <v>110.75506748280603</v>
      </c>
      <c r="U47" s="364">
        <f t="shared" ca="1" si="2"/>
        <v>0</v>
      </c>
      <c r="V47" s="359">
        <f t="shared" ca="1" si="3"/>
        <v>1.2241490025679573</v>
      </c>
      <c r="W47" s="357">
        <f t="shared" ca="1" si="4"/>
        <v>3.300470926727217</v>
      </c>
      <c r="X47" s="343"/>
      <c r="Y47" s="367" t="str">
        <f t="shared" ca="1" si="22"/>
        <v/>
      </c>
      <c r="Z47" s="368" t="str">
        <f t="shared" ca="1" si="23"/>
        <v/>
      </c>
      <c r="AA47" s="369" t="str">
        <f t="shared" ca="1" si="24"/>
        <v/>
      </c>
      <c r="AB47" s="344"/>
      <c r="AC47" s="363" t="e">
        <f t="shared" ca="1" si="25"/>
        <v>#N/A</v>
      </c>
      <c r="AD47" s="376" t="e">
        <f t="shared" ca="1" si="26"/>
        <v>#N/A</v>
      </c>
      <c r="AE47" s="377">
        <f t="shared" ca="1" si="5"/>
        <v>6.9493316343811893</v>
      </c>
      <c r="AF47" s="344"/>
      <c r="AG47" s="359">
        <f t="shared" ca="1" si="27"/>
        <v>81.87601581251954</v>
      </c>
      <c r="AH47" s="357">
        <f t="shared" ca="1" si="28"/>
        <v>91.52813113994759</v>
      </c>
    </row>
    <row r="48" spans="1:34" x14ac:dyDescent="0.25">
      <c r="A48" s="402">
        <f t="shared" ca="1" si="6"/>
        <v>0.01</v>
      </c>
      <c r="B48" s="357">
        <f t="shared" ca="1" si="7"/>
        <v>0.44000000000000022</v>
      </c>
      <c r="C48" s="342"/>
      <c r="D48" s="359">
        <f t="shared" ca="1" si="8"/>
        <v>16.400534469701316</v>
      </c>
      <c r="E48" s="360">
        <f t="shared" ca="1" si="9"/>
        <v>80.235611466578192</v>
      </c>
      <c r="F48" s="357">
        <f t="shared" ca="1" si="10"/>
        <v>81.894632780833405</v>
      </c>
      <c r="G48" s="359">
        <f t="shared" ca="1" si="11"/>
        <v>6.3482951371841123</v>
      </c>
      <c r="H48" s="360">
        <f t="shared" ca="1" si="12"/>
        <v>34.75662491485572</v>
      </c>
      <c r="I48" s="357">
        <f t="shared" ca="1" si="13"/>
        <v>35.331626436109119</v>
      </c>
      <c r="J48" s="359">
        <f t="shared" ca="1" si="14"/>
        <v>1.2973911063036803</v>
      </c>
      <c r="K48" s="360">
        <f t="shared" ca="1" si="15"/>
        <v>7.2928861029564178</v>
      </c>
      <c r="L48" s="357">
        <f t="shared" ca="1" si="0"/>
        <v>7.4073889727359887</v>
      </c>
      <c r="M48" s="359">
        <f t="shared" ca="1" si="16"/>
        <v>1.3901378119605536</v>
      </c>
      <c r="N48" s="357">
        <f t="shared" ca="1" si="17"/>
        <v>79.649029566890576</v>
      </c>
      <c r="O48" s="343"/>
      <c r="P48" s="363">
        <f t="shared" ca="1" si="18"/>
        <v>5</v>
      </c>
      <c r="Q48" s="357">
        <f t="shared" ca="1" si="19"/>
        <v>1036.1666666666667</v>
      </c>
      <c r="R48" s="359">
        <f t="shared" ca="1" si="20"/>
        <v>0.51904931098189466</v>
      </c>
      <c r="S48" s="360">
        <f t="shared" ca="1" si="21"/>
        <v>11.284826579551346</v>
      </c>
      <c r="T48" s="357">
        <f t="shared" ca="1" si="1"/>
        <v>110.70414874539871</v>
      </c>
      <c r="U48" s="364">
        <f t="shared" ca="1" si="2"/>
        <v>0</v>
      </c>
      <c r="V48" s="359">
        <f t="shared" ca="1" si="3"/>
        <v>1.2241069470990422</v>
      </c>
      <c r="W48" s="357">
        <f t="shared" ca="1" si="4"/>
        <v>3.458806292916107</v>
      </c>
      <c r="X48" s="343"/>
      <c r="Y48" s="367" t="str">
        <f t="shared" ca="1" si="22"/>
        <v/>
      </c>
      <c r="Z48" s="368" t="str">
        <f t="shared" ca="1" si="23"/>
        <v/>
      </c>
      <c r="AA48" s="369" t="str">
        <f t="shared" ca="1" si="24"/>
        <v/>
      </c>
      <c r="AB48" s="344"/>
      <c r="AC48" s="363" t="e">
        <f t="shared" ca="1" si="25"/>
        <v>#N/A</v>
      </c>
      <c r="AD48" s="376" t="e">
        <f t="shared" ca="1" si="26"/>
        <v>#N/A</v>
      </c>
      <c r="AE48" s="377">
        <f t="shared" ca="1" si="5"/>
        <v>7.2928861029564178</v>
      </c>
      <c r="AF48" s="344"/>
      <c r="AG48" s="359">
        <f t="shared" ca="1" si="27"/>
        <v>81.875765024252573</v>
      </c>
      <c r="AH48" s="357">
        <f t="shared" ca="1" si="28"/>
        <v>91.526988780806178</v>
      </c>
    </row>
    <row r="49" spans="1:34" x14ac:dyDescent="0.25">
      <c r="A49" s="402">
        <f t="shared" ca="1" si="6"/>
        <v>0.01</v>
      </c>
      <c r="B49" s="357">
        <f t="shared" ca="1" si="7"/>
        <v>0.45000000000000023</v>
      </c>
      <c r="C49" s="342"/>
      <c r="D49" s="359">
        <f t="shared" ca="1" si="8"/>
        <v>16.445065472229917</v>
      </c>
      <c r="E49" s="360">
        <f t="shared" ca="1" si="9"/>
        <v>80.225979734248995</v>
      </c>
      <c r="F49" s="357">
        <f t="shared" ca="1" si="10"/>
        <v>81.894126790057783</v>
      </c>
      <c r="G49" s="359">
        <f t="shared" ca="1" si="11"/>
        <v>6.5127457919064113</v>
      </c>
      <c r="H49" s="360">
        <f t="shared" ca="1" si="12"/>
        <v>35.558884712198207</v>
      </c>
      <c r="I49" s="357">
        <f t="shared" ca="1" si="13"/>
        <v>36.150382290169468</v>
      </c>
      <c r="J49" s="359">
        <f t="shared" ca="1" si="14"/>
        <v>1.3616963109491329</v>
      </c>
      <c r="K49" s="360">
        <f t="shared" ca="1" si="15"/>
        <v>7.6444636510916872</v>
      </c>
      <c r="L49" s="357">
        <f t="shared" ca="1" si="0"/>
        <v>7.7647949976876101</v>
      </c>
      <c r="M49" s="359">
        <f t="shared" ca="1" si="16"/>
        <v>1.3896502277767875</v>
      </c>
      <c r="N49" s="357">
        <f t="shared" ca="1" si="17"/>
        <v>79.621093051003442</v>
      </c>
      <c r="O49" s="343"/>
      <c r="P49" s="363">
        <f t="shared" ca="1" si="18"/>
        <v>5</v>
      </c>
      <c r="Q49" s="357">
        <f t="shared" ca="1" si="19"/>
        <v>1035.8333333333333</v>
      </c>
      <c r="R49" s="359">
        <f t="shared" ca="1" si="20"/>
        <v>0.51888233356160118</v>
      </c>
      <c r="S49" s="360">
        <f t="shared" ca="1" si="21"/>
        <v>11.279637756215731</v>
      </c>
      <c r="T49" s="357">
        <f t="shared" ca="1" si="1"/>
        <v>110.65324638847633</v>
      </c>
      <c r="U49" s="364">
        <f t="shared" ca="1" si="2"/>
        <v>0</v>
      </c>
      <c r="V49" s="359">
        <f t="shared" ca="1" si="3"/>
        <v>1.2240639109976588</v>
      </c>
      <c r="W49" s="357">
        <f t="shared" ca="1" si="4"/>
        <v>3.62084138389111</v>
      </c>
      <c r="X49" s="343"/>
      <c r="Y49" s="367" t="str">
        <f t="shared" ca="1" si="22"/>
        <v/>
      </c>
      <c r="Z49" s="368" t="str">
        <f t="shared" ca="1" si="23"/>
        <v/>
      </c>
      <c r="AA49" s="369" t="str">
        <f t="shared" ca="1" si="24"/>
        <v/>
      </c>
      <c r="AB49" s="344"/>
      <c r="AC49" s="363" t="e">
        <f t="shared" ca="1" si="25"/>
        <v>#N/A</v>
      </c>
      <c r="AD49" s="376" t="e">
        <f t="shared" ca="1" si="26"/>
        <v>#N/A</v>
      </c>
      <c r="AE49" s="377">
        <f t="shared" ca="1" si="5"/>
        <v>7.6444636510916872</v>
      </c>
      <c r="AF49" s="344"/>
      <c r="AG49" s="359">
        <f t="shared" ca="1" si="27"/>
        <v>81.875155689456193</v>
      </c>
      <c r="AH49" s="357">
        <f t="shared" ca="1" si="28"/>
        <v>91.52550368663384</v>
      </c>
    </row>
    <row r="50" spans="1:34" x14ac:dyDescent="0.25">
      <c r="A50" s="402">
        <f t="shared" ca="1" si="6"/>
        <v>0.01</v>
      </c>
      <c r="B50" s="357">
        <f t="shared" ca="1" si="7"/>
        <v>0.46000000000000024</v>
      </c>
      <c r="C50" s="342"/>
      <c r="D50" s="359">
        <f t="shared" ca="1" si="8"/>
        <v>16.488634278162301</v>
      </c>
      <c r="E50" s="360">
        <f t="shared" ca="1" si="9"/>
        <v>80.216152423668547</v>
      </c>
      <c r="F50" s="357">
        <f t="shared" ca="1" si="10"/>
        <v>81.893260833942946</v>
      </c>
      <c r="G50" s="359">
        <f t="shared" ca="1" si="11"/>
        <v>6.6776321346880341</v>
      </c>
      <c r="H50" s="360">
        <f t="shared" ca="1" si="12"/>
        <v>36.361046236434895</v>
      </c>
      <c r="I50" s="357">
        <f t="shared" ca="1" si="13"/>
        <v>36.969128395654316</v>
      </c>
      <c r="J50" s="359">
        <f t="shared" ca="1" si="14"/>
        <v>1.4276482005821052</v>
      </c>
      <c r="K50" s="360">
        <f t="shared" ca="1" si="15"/>
        <v>8.0040633058348529</v>
      </c>
      <c r="L50" s="357">
        <f t="shared" ca="1" si="0"/>
        <v>8.1303879851109979</v>
      </c>
      <c r="M50" s="359">
        <f t="shared" ca="1" si="16"/>
        <v>1.38917216927617</v>
      </c>
      <c r="N50" s="357">
        <f t="shared" ca="1" si="17"/>
        <v>79.59370231655771</v>
      </c>
      <c r="O50" s="343"/>
      <c r="P50" s="363">
        <f t="shared" ca="1" si="18"/>
        <v>5</v>
      </c>
      <c r="Q50" s="357">
        <f t="shared" ca="1" si="19"/>
        <v>1035.5</v>
      </c>
      <c r="R50" s="359">
        <f t="shared" ca="1" si="20"/>
        <v>0.51871535614130793</v>
      </c>
      <c r="S50" s="360">
        <f t="shared" ca="1" si="21"/>
        <v>11.274450602654317</v>
      </c>
      <c r="T50" s="357">
        <f t="shared" ca="1" si="1"/>
        <v>110.60236041203886</v>
      </c>
      <c r="U50" s="364">
        <f t="shared" ca="1" si="2"/>
        <v>0</v>
      </c>
      <c r="V50" s="359">
        <f t="shared" ca="1" si="3"/>
        <v>1.2240198944863643</v>
      </c>
      <c r="W50" s="357">
        <f t="shared" ca="1" si="4"/>
        <v>3.7865746016926067</v>
      </c>
      <c r="X50" s="343"/>
      <c r="Y50" s="367" t="str">
        <f t="shared" ca="1" si="22"/>
        <v/>
      </c>
      <c r="Z50" s="368" t="str">
        <f t="shared" ca="1" si="23"/>
        <v/>
      </c>
      <c r="AA50" s="369" t="str">
        <f t="shared" ca="1" si="24"/>
        <v/>
      </c>
      <c r="AB50" s="344"/>
      <c r="AC50" s="363" t="e">
        <f t="shared" ca="1" si="25"/>
        <v>#N/A</v>
      </c>
      <c r="AD50" s="376" t="e">
        <f t="shared" ca="1" si="26"/>
        <v>#N/A</v>
      </c>
      <c r="AE50" s="377">
        <f t="shared" ca="1" si="5"/>
        <v>8.0040633058348529</v>
      </c>
      <c r="AF50" s="344"/>
      <c r="AG50" s="359">
        <f t="shared" ca="1" si="27"/>
        <v>81.874188102392523</v>
      </c>
      <c r="AH50" s="357">
        <f t="shared" ca="1" si="28"/>
        <v>91.523675519335384</v>
      </c>
    </row>
    <row r="51" spans="1:34" x14ac:dyDescent="0.25">
      <c r="A51" s="402">
        <f t="shared" ca="1" si="6"/>
        <v>0.01</v>
      </c>
      <c r="B51" s="357">
        <f t="shared" ca="1" si="7"/>
        <v>0.47000000000000025</v>
      </c>
      <c r="C51" s="342"/>
      <c r="D51" s="359">
        <f t="shared" ca="1" si="8"/>
        <v>16.531277914805049</v>
      </c>
      <c r="E51" s="360">
        <f t="shared" ca="1" si="9"/>
        <v>80.206123752175472</v>
      </c>
      <c r="F51" s="357">
        <f t="shared" ca="1" si="10"/>
        <v>81.892035246694221</v>
      </c>
      <c r="G51" s="359">
        <f t="shared" ca="1" si="11"/>
        <v>6.8429449138360843</v>
      </c>
      <c r="H51" s="360">
        <f t="shared" ca="1" si="12"/>
        <v>37.16310747395665</v>
      </c>
      <c r="I51" s="357">
        <f t="shared" ca="1" si="13"/>
        <v>37.787861175444263</v>
      </c>
      <c r="J51" s="359">
        <f t="shared" ca="1" si="14"/>
        <v>1.4952510858247257</v>
      </c>
      <c r="K51" s="360">
        <f t="shared" ca="1" si="15"/>
        <v>8.3716840743868115</v>
      </c>
      <c r="L51" s="357">
        <f t="shared" ca="1" si="0"/>
        <v>8.504167804729736</v>
      </c>
      <c r="M51" s="359">
        <f t="shared" ca="1" si="16"/>
        <v>1.3887032479430077</v>
      </c>
      <c r="N51" s="357">
        <f t="shared" ca="1" si="17"/>
        <v>79.566835103243861</v>
      </c>
      <c r="O51" s="343"/>
      <c r="P51" s="363">
        <f t="shared" ca="1" si="18"/>
        <v>5</v>
      </c>
      <c r="Q51" s="357">
        <f t="shared" ca="1" si="19"/>
        <v>1035.1666666666667</v>
      </c>
      <c r="R51" s="359">
        <f t="shared" ca="1" si="20"/>
        <v>0.51854837872101456</v>
      </c>
      <c r="S51" s="360">
        <f t="shared" ca="1" si="21"/>
        <v>11.269265118867107</v>
      </c>
      <c r="T51" s="357">
        <f t="shared" ca="1" si="1"/>
        <v>110.55149081608633</v>
      </c>
      <c r="U51" s="364">
        <f t="shared" ca="1" si="2"/>
        <v>0</v>
      </c>
      <c r="V51" s="359">
        <f t="shared" ca="1" si="3"/>
        <v>1.2239748977924789</v>
      </c>
      <c r="W51" s="357">
        <f t="shared" ca="1" si="4"/>
        <v>3.9560042663275476</v>
      </c>
      <c r="X51" s="343"/>
      <c r="Y51" s="367" t="str">
        <f t="shared" ca="1" si="22"/>
        <v/>
      </c>
      <c r="Z51" s="368" t="str">
        <f t="shared" ca="1" si="23"/>
        <v/>
      </c>
      <c r="AA51" s="369" t="str">
        <f t="shared" ca="1" si="24"/>
        <v/>
      </c>
      <c r="AB51" s="344"/>
      <c r="AC51" s="363" t="e">
        <f t="shared" ca="1" si="25"/>
        <v>#N/A</v>
      </c>
      <c r="AD51" s="376" t="e">
        <f t="shared" ca="1" si="26"/>
        <v>#N/A</v>
      </c>
      <c r="AE51" s="377">
        <f t="shared" ca="1" si="5"/>
        <v>8.3716840743868115</v>
      </c>
      <c r="AF51" s="344"/>
      <c r="AG51" s="359">
        <f t="shared" ca="1" si="27"/>
        <v>81.872862525620846</v>
      </c>
      <c r="AH51" s="357">
        <f t="shared" ca="1" si="28"/>
        <v>91.521503947779891</v>
      </c>
    </row>
    <row r="52" spans="1:34" x14ac:dyDescent="0.25">
      <c r="A52" s="402">
        <f t="shared" ca="1" si="6"/>
        <v>0.01</v>
      </c>
      <c r="B52" s="357">
        <f t="shared" ca="1" si="7"/>
        <v>0.48000000000000026</v>
      </c>
      <c r="C52" s="342"/>
      <c r="D52" s="359">
        <f t="shared" ca="1" si="8"/>
        <v>16.573031084753488</v>
      </c>
      <c r="E52" s="360">
        <f t="shared" ca="1" si="9"/>
        <v>80.195888272838317</v>
      </c>
      <c r="F52" s="357">
        <f t="shared" ca="1" si="10"/>
        <v>81.89045032972875</v>
      </c>
      <c r="G52" s="359">
        <f t="shared" ca="1" si="11"/>
        <v>7.0086752246836195</v>
      </c>
      <c r="H52" s="360">
        <f t="shared" ca="1" si="12"/>
        <v>37.965066356685035</v>
      </c>
      <c r="I52" s="357">
        <f t="shared" ca="1" si="13"/>
        <v>38.606577054597729</v>
      </c>
      <c r="J52" s="359">
        <f t="shared" ca="1" si="14"/>
        <v>1.5645091865173242</v>
      </c>
      <c r="K52" s="360">
        <f t="shared" ca="1" si="15"/>
        <v>8.7473249435400202</v>
      </c>
      <c r="L52" s="357">
        <f t="shared" ca="1" si="0"/>
        <v>8.8861342924004099</v>
      </c>
      <c r="M52" s="359">
        <f t="shared" ca="1" si="16"/>
        <v>1.3882430989694192</v>
      </c>
      <c r="N52" s="357">
        <f t="shared" ca="1" si="17"/>
        <v>79.540470509109966</v>
      </c>
      <c r="O52" s="343"/>
      <c r="P52" s="363">
        <f t="shared" ca="1" si="18"/>
        <v>5</v>
      </c>
      <c r="Q52" s="357">
        <f t="shared" ca="1" si="19"/>
        <v>1034.8333333333333</v>
      </c>
      <c r="R52" s="359">
        <f t="shared" ca="1" si="20"/>
        <v>0.51838140130072119</v>
      </c>
      <c r="S52" s="360">
        <f t="shared" ca="1" si="21"/>
        <v>11.2640813048541</v>
      </c>
      <c r="T52" s="357">
        <f t="shared" ca="1" si="1"/>
        <v>110.50063760061873</v>
      </c>
      <c r="U52" s="364">
        <f t="shared" ca="1" si="2"/>
        <v>0</v>
      </c>
      <c r="V52" s="359">
        <f t="shared" ca="1" si="3"/>
        <v>1.2239289211481545</v>
      </c>
      <c r="W52" s="357">
        <f t="shared" ca="1" si="4"/>
        <v>4.1291286157982432</v>
      </c>
      <c r="X52" s="343"/>
      <c r="Y52" s="367" t="str">
        <f t="shared" ca="1" si="22"/>
        <v/>
      </c>
      <c r="Z52" s="368" t="str">
        <f t="shared" ca="1" si="23"/>
        <v/>
      </c>
      <c r="AA52" s="369" t="str">
        <f t="shared" ca="1" si="24"/>
        <v/>
      </c>
      <c r="AB52" s="344"/>
      <c r="AC52" s="363" t="e">
        <f t="shared" ca="1" si="25"/>
        <v>#N/A</v>
      </c>
      <c r="AD52" s="376" t="e">
        <f t="shared" ca="1" si="26"/>
        <v>#N/A</v>
      </c>
      <c r="AE52" s="377">
        <f t="shared" ca="1" si="5"/>
        <v>8.7473249435400202</v>
      </c>
      <c r="AF52" s="344"/>
      <c r="AG52" s="359">
        <f t="shared" ca="1" si="27"/>
        <v>81.871179193163201</v>
      </c>
      <c r="AH52" s="357">
        <f t="shared" ca="1" si="28"/>
        <v>91.518988647814837</v>
      </c>
    </row>
    <row r="53" spans="1:34" x14ac:dyDescent="0.25">
      <c r="A53" s="402">
        <f t="shared" ca="1" si="6"/>
        <v>0.01</v>
      </c>
      <c r="B53" s="357">
        <f t="shared" ca="1" si="7"/>
        <v>0.49000000000000027</v>
      </c>
      <c r="C53" s="342"/>
      <c r="D53" s="359">
        <f t="shared" ca="1" si="8"/>
        <v>16.61392635748955</v>
      </c>
      <c r="E53" s="360">
        <f t="shared" ca="1" si="9"/>
        <v>80.185440848187156</v>
      </c>
      <c r="F53" s="357">
        <f t="shared" ca="1" si="10"/>
        <v>81.88850635486159</v>
      </c>
      <c r="G53" s="359">
        <f t="shared" ca="1" si="11"/>
        <v>7.174814488258515</v>
      </c>
      <c r="H53" s="360">
        <f t="shared" ca="1" si="12"/>
        <v>38.766920765166908</v>
      </c>
      <c r="I53" s="357">
        <f t="shared" ca="1" si="13"/>
        <v>39.425272460106775</v>
      </c>
      <c r="J53" s="359">
        <f t="shared" ca="1" si="14"/>
        <v>1.6354266350820348</v>
      </c>
      <c r="K53" s="360">
        <f t="shared" ca="1" si="15"/>
        <v>9.1309848791492794</v>
      </c>
      <c r="L53" s="357">
        <f t="shared" ca="1" si="0"/>
        <v>9.2762872498639517</v>
      </c>
      <c r="M53" s="359">
        <f t="shared" ca="1" si="16"/>
        <v>1.3877913793467811</v>
      </c>
      <c r="N53" s="357">
        <f t="shared" ca="1" si="17"/>
        <v>79.514588881209562</v>
      </c>
      <c r="O53" s="343"/>
      <c r="P53" s="363">
        <f t="shared" ca="1" si="18"/>
        <v>5</v>
      </c>
      <c r="Q53" s="357">
        <f t="shared" ca="1" si="19"/>
        <v>1034.5</v>
      </c>
      <c r="R53" s="359">
        <f t="shared" ca="1" si="20"/>
        <v>0.51821442388042782</v>
      </c>
      <c r="S53" s="360">
        <f t="shared" ca="1" si="21"/>
        <v>11.258899160615297</v>
      </c>
      <c r="T53" s="357">
        <f t="shared" ca="1" si="1"/>
        <v>110.44980076563607</v>
      </c>
      <c r="U53" s="364">
        <f t="shared" ca="1" si="2"/>
        <v>0</v>
      </c>
      <c r="V53" s="359">
        <f t="shared" ca="1" si="3"/>
        <v>1.223881964790434</v>
      </c>
      <c r="W53" s="357">
        <f t="shared" ca="1" si="4"/>
        <v>4.3059458061314286</v>
      </c>
      <c r="X53" s="343"/>
      <c r="Y53" s="367" t="str">
        <f t="shared" ca="1" si="22"/>
        <v/>
      </c>
      <c r="Z53" s="368" t="str">
        <f t="shared" ca="1" si="23"/>
        <v/>
      </c>
      <c r="AA53" s="369" t="str">
        <f t="shared" ca="1" si="24"/>
        <v/>
      </c>
      <c r="AB53" s="344"/>
      <c r="AC53" s="363" t="e">
        <f t="shared" ca="1" si="25"/>
        <v>#N/A</v>
      </c>
      <c r="AD53" s="376" t="e">
        <f t="shared" ca="1" si="26"/>
        <v>#N/A</v>
      </c>
      <c r="AE53" s="377">
        <f t="shared" ca="1" si="5"/>
        <v>9.1309848791492794</v>
      </c>
      <c r="AF53" s="344"/>
      <c r="AG53" s="359">
        <f t="shared" ca="1" si="27"/>
        <v>81.869138313351499</v>
      </c>
      <c r="AH53" s="357">
        <f t="shared" ca="1" si="28"/>
        <v>91.516129302280049</v>
      </c>
    </row>
    <row r="54" spans="1:34" x14ac:dyDescent="0.25">
      <c r="A54" s="402">
        <f t="shared" ca="1" si="6"/>
        <v>0.01</v>
      </c>
      <c r="B54" s="357">
        <f t="shared" ca="1" si="7"/>
        <v>0.50000000000000022</v>
      </c>
      <c r="C54" s="342"/>
      <c r="D54" s="359">
        <f t="shared" ca="1" si="8"/>
        <v>16.653994341561376</v>
      </c>
      <c r="E54" s="360">
        <f t="shared" ca="1" si="9"/>
        <v>80.174776626545892</v>
      </c>
      <c r="F54" s="357">
        <f t="shared" ca="1" si="10"/>
        <v>81.88620356717783</v>
      </c>
      <c r="G54" s="359">
        <f t="shared" ca="1" si="11"/>
        <v>7.3413544316741284</v>
      </c>
      <c r="H54" s="360">
        <f t="shared" ca="1" si="12"/>
        <v>39.568668531432365</v>
      </c>
      <c r="I54" s="357">
        <f t="shared" ca="1" si="13"/>
        <v>40.243943820677259</v>
      </c>
      <c r="J54" s="359">
        <f t="shared" ca="1" si="14"/>
        <v>1.708007479681698</v>
      </c>
      <c r="K54" s="360">
        <f t="shared" ca="1" si="15"/>
        <v>9.5226628256322758</v>
      </c>
      <c r="L54" s="357">
        <f t="shared" ca="1" si="0"/>
        <v>9.6746264445366315</v>
      </c>
      <c r="M54" s="359">
        <f t="shared" ca="1" si="16"/>
        <v>1.3873477661464859</v>
      </c>
      <c r="N54" s="357">
        <f t="shared" ca="1" si="17"/>
        <v>79.489171717096355</v>
      </c>
      <c r="O54" s="343"/>
      <c r="P54" s="363">
        <f t="shared" ca="1" si="18"/>
        <v>5</v>
      </c>
      <c r="Q54" s="357">
        <f t="shared" ca="1" si="19"/>
        <v>1034.1666666666667</v>
      </c>
      <c r="R54" s="359">
        <f t="shared" ca="1" si="20"/>
        <v>0.51804744646013456</v>
      </c>
      <c r="S54" s="360">
        <f t="shared" ca="1" si="21"/>
        <v>11.253718686150695</v>
      </c>
      <c r="T54" s="357">
        <f t="shared" ca="1" si="1"/>
        <v>110.39898031113832</v>
      </c>
      <c r="U54" s="364">
        <f t="shared" ca="1" si="2"/>
        <v>0</v>
      </c>
      <c r="V54" s="359">
        <f t="shared" ca="1" si="3"/>
        <v>1.2238340289613137</v>
      </c>
      <c r="W54" s="357">
        <f t="shared" ca="1" si="4"/>
        <v>4.4864539114078719</v>
      </c>
      <c r="X54" s="343"/>
      <c r="Y54" s="367" t="str">
        <f t="shared" ca="1" si="22"/>
        <v/>
      </c>
      <c r="Z54" s="368" t="str">
        <f t="shared" ca="1" si="23"/>
        <v/>
      </c>
      <c r="AA54" s="369" t="str">
        <f t="shared" ca="1" si="24"/>
        <v/>
      </c>
      <c r="AB54" s="344"/>
      <c r="AC54" s="363" t="e">
        <f t="shared" ca="1" si="25"/>
        <v>#N/A</v>
      </c>
      <c r="AD54" s="376" t="e">
        <f t="shared" ca="1" si="26"/>
        <v>#N/A</v>
      </c>
      <c r="AE54" s="377">
        <f t="shared" ca="1" si="5"/>
        <v>9.5226628256322758</v>
      </c>
      <c r="AF54" s="344"/>
      <c r="AG54" s="359">
        <f t="shared" ca="1" si="27"/>
        <v>81.866740071394531</v>
      </c>
      <c r="AH54" s="357">
        <f t="shared" ca="1" si="28"/>
        <v>91.512925601021621</v>
      </c>
    </row>
    <row r="55" spans="1:34" x14ac:dyDescent="0.25">
      <c r="A55" s="402">
        <f t="shared" ca="1" si="6"/>
        <v>0.01</v>
      </c>
      <c r="B55" s="357">
        <f t="shared" ca="1" si="7"/>
        <v>0.51000000000000023</v>
      </c>
      <c r="C55" s="342"/>
      <c r="D55" s="359">
        <f t="shared" ca="1" si="8"/>
        <v>16.693263839666074</v>
      </c>
      <c r="E55" s="360">
        <f t="shared" ca="1" si="9"/>
        <v>80.163891020660699</v>
      </c>
      <c r="F55" s="357">
        <f t="shared" ca="1" si="10"/>
        <v>81.88354218762808</v>
      </c>
      <c r="G55" s="359">
        <f t="shared" ca="1" si="11"/>
        <v>7.5082870700707893</v>
      </c>
      <c r="H55" s="360">
        <f t="shared" ca="1" si="12"/>
        <v>40.370307441638971</v>
      </c>
      <c r="I55" s="357">
        <f t="shared" ca="1" si="13"/>
        <v>41.062587566531207</v>
      </c>
      <c r="J55" s="359">
        <f t="shared" ca="1" si="14"/>
        <v>1.7822556871904225</v>
      </c>
      <c r="K55" s="360">
        <f t="shared" ca="1" si="15"/>
        <v>9.9223577054976317</v>
      </c>
      <c r="L55" s="357">
        <f t="shared" ca="1" si="0"/>
        <v>10.08115160933367</v>
      </c>
      <c r="M55" s="359">
        <f t="shared" ca="1" si="16"/>
        <v>1.3869119549678306</v>
      </c>
      <c r="N55" s="357">
        <f t="shared" ca="1" si="17"/>
        <v>79.464201575894776</v>
      </c>
      <c r="O55" s="343"/>
      <c r="P55" s="363">
        <f t="shared" ca="1" si="18"/>
        <v>5</v>
      </c>
      <c r="Q55" s="357">
        <f t="shared" ca="1" si="19"/>
        <v>1033.8333333333333</v>
      </c>
      <c r="R55" s="359">
        <f t="shared" ca="1" si="20"/>
        <v>0.51788046903984108</v>
      </c>
      <c r="S55" s="360">
        <f t="shared" ca="1" si="21"/>
        <v>11.248539881460296</v>
      </c>
      <c r="T55" s="357">
        <f t="shared" ca="1" si="1"/>
        <v>110.34817623712551</v>
      </c>
      <c r="U55" s="364">
        <f t="shared" ca="1" si="2"/>
        <v>0</v>
      </c>
      <c r="V55" s="359">
        <f t="shared" ca="1" si="3"/>
        <v>1.2237851139077955</v>
      </c>
      <c r="W55" s="357">
        <f t="shared" ca="1" si="4"/>
        <v>4.6706509237927634</v>
      </c>
      <c r="X55" s="343"/>
      <c r="Y55" s="367" t="str">
        <f t="shared" ca="1" si="22"/>
        <v/>
      </c>
      <c r="Z55" s="368" t="str">
        <f t="shared" ca="1" si="23"/>
        <v/>
      </c>
      <c r="AA55" s="369" t="str">
        <f t="shared" ca="1" si="24"/>
        <v/>
      </c>
      <c r="AB55" s="344"/>
      <c r="AC55" s="363" t="e">
        <f t="shared" ca="1" si="25"/>
        <v>#N/A</v>
      </c>
      <c r="AD55" s="376" t="e">
        <f t="shared" ca="1" si="26"/>
        <v>#N/A</v>
      </c>
      <c r="AE55" s="377">
        <f t="shared" ca="1" si="5"/>
        <v>9.9223577054976317</v>
      </c>
      <c r="AF55" s="344"/>
      <c r="AG55" s="359">
        <f t="shared" ca="1" si="27"/>
        <v>81.86398463169769</v>
      </c>
      <c r="AH55" s="357">
        <f t="shared" ca="1" si="28"/>
        <v>91.50937724090592</v>
      </c>
    </row>
    <row r="56" spans="1:34" x14ac:dyDescent="0.25">
      <c r="A56" s="402">
        <f t="shared" ca="1" si="6"/>
        <v>0.01</v>
      </c>
      <c r="B56" s="357">
        <f t="shared" ca="1" si="7"/>
        <v>0.52000000000000024</v>
      </c>
      <c r="C56" s="342"/>
      <c r="D56" s="359">
        <f t="shared" ca="1" si="8"/>
        <v>16.731761988640443</v>
      </c>
      <c r="E56" s="360">
        <f t="shared" ca="1" si="9"/>
        <v>80.152779688360425</v>
      </c>
      <c r="F56" s="357">
        <f t="shared" ca="1" si="10"/>
        <v>81.880522415378834</v>
      </c>
      <c r="G56" s="359">
        <f t="shared" ca="1" si="11"/>
        <v>7.6756046899571935</v>
      </c>
      <c r="H56" s="360">
        <f t="shared" ca="1" si="12"/>
        <v>41.171835238522576</v>
      </c>
      <c r="I56" s="357">
        <f t="shared" ca="1" si="13"/>
        <v>41.881200129229136</v>
      </c>
      <c r="J56" s="359">
        <f t="shared" ca="1" si="14"/>
        <v>1.8581751459905624</v>
      </c>
      <c r="K56" s="360">
        <f t="shared" ca="1" si="15"/>
        <v>10.33006841889844</v>
      </c>
      <c r="L56" s="357">
        <f t="shared" ca="1" si="0"/>
        <v>10.495862442519908</v>
      </c>
      <c r="M56" s="359">
        <f t="shared" ca="1" si="16"/>
        <v>1.3864836585338456</v>
      </c>
      <c r="N56" s="357">
        <f t="shared" ca="1" si="17"/>
        <v>79.43966199784694</v>
      </c>
      <c r="O56" s="343"/>
      <c r="P56" s="363">
        <f t="shared" ca="1" si="18"/>
        <v>5</v>
      </c>
      <c r="Q56" s="357">
        <f t="shared" ca="1" si="19"/>
        <v>1033.5</v>
      </c>
      <c r="R56" s="359">
        <f t="shared" ca="1" si="20"/>
        <v>0.51771349161954783</v>
      </c>
      <c r="S56" s="360">
        <f t="shared" ca="1" si="21"/>
        <v>11.243362746544101</v>
      </c>
      <c r="T56" s="357">
        <f t="shared" ca="1" si="1"/>
        <v>110.29738854359763</v>
      </c>
      <c r="U56" s="364">
        <f t="shared" ca="1" si="2"/>
        <v>0</v>
      </c>
      <c r="V56" s="359">
        <f t="shared" ca="1" si="3"/>
        <v>1.2237352198819429</v>
      </c>
      <c r="W56" s="357">
        <f t="shared" ca="1" si="4"/>
        <v>4.8585347535671133</v>
      </c>
      <c r="X56" s="343"/>
      <c r="Y56" s="367" t="str">
        <f t="shared" ca="1" si="22"/>
        <v/>
      </c>
      <c r="Z56" s="368" t="str">
        <f t="shared" ca="1" si="23"/>
        <v/>
      </c>
      <c r="AA56" s="369" t="str">
        <f t="shared" ca="1" si="24"/>
        <v/>
      </c>
      <c r="AB56" s="344"/>
      <c r="AC56" s="363" t="e">
        <f t="shared" ca="1" si="25"/>
        <v>#N/A</v>
      </c>
      <c r="AD56" s="376" t="e">
        <f t="shared" ca="1" si="26"/>
        <v>#N/A</v>
      </c>
      <c r="AE56" s="377">
        <f t="shared" ca="1" si="5"/>
        <v>10.33006841889844</v>
      </c>
      <c r="AF56" s="344"/>
      <c r="AG56" s="359">
        <f t="shared" ca="1" si="27"/>
        <v>81.860872139963774</v>
      </c>
      <c r="AH56" s="357">
        <f t="shared" ca="1" si="28"/>
        <v>91.505483925833587</v>
      </c>
    </row>
    <row r="57" spans="1:34" x14ac:dyDescent="0.25">
      <c r="A57" s="402">
        <f t="shared" ca="1" si="6"/>
        <v>0.01</v>
      </c>
      <c r="B57" s="357">
        <f t="shared" ca="1" si="7"/>
        <v>0.53000000000000025</v>
      </c>
      <c r="C57" s="342"/>
      <c r="D57" s="359">
        <f t="shared" ca="1" si="8"/>
        <v>16.769514386093654</v>
      </c>
      <c r="E57" s="360">
        <f t="shared" ca="1" si="9"/>
        <v>80.141438515019743</v>
      </c>
      <c r="F57" s="357">
        <f t="shared" ca="1" si="10"/>
        <v>81.877144429945119</v>
      </c>
      <c r="G57" s="359">
        <f t="shared" ca="1" si="11"/>
        <v>7.8432998338181301</v>
      </c>
      <c r="H57" s="360">
        <f t="shared" ca="1" si="12"/>
        <v>41.973249623672771</v>
      </c>
      <c r="I57" s="357">
        <f t="shared" ca="1" si="13"/>
        <v>42.699777941510632</v>
      </c>
      <c r="J57" s="359">
        <f t="shared" ca="1" si="14"/>
        <v>1.935769668609439</v>
      </c>
      <c r="K57" s="360">
        <f t="shared" ca="1" si="15"/>
        <v>10.745793843209418</v>
      </c>
      <c r="L57" s="357">
        <f t="shared" ca="1" si="0"/>
        <v>10.918758607582904</v>
      </c>
      <c r="M57" s="359">
        <f t="shared" ca="1" si="16"/>
        <v>1.3860626054184013</v>
      </c>
      <c r="N57" s="357">
        <f t="shared" ca="1" si="17"/>
        <v>79.415537431381139</v>
      </c>
      <c r="O57" s="343"/>
      <c r="P57" s="363">
        <f t="shared" ca="1" si="18"/>
        <v>5</v>
      </c>
      <c r="Q57" s="357">
        <f t="shared" ca="1" si="19"/>
        <v>1033.1666666666667</v>
      </c>
      <c r="R57" s="359">
        <f t="shared" ca="1" si="20"/>
        <v>0.51754651419925446</v>
      </c>
      <c r="S57" s="360">
        <f t="shared" ca="1" si="21"/>
        <v>11.238187281402109</v>
      </c>
      <c r="T57" s="357">
        <f t="shared" ca="1" si="1"/>
        <v>110.24661723055469</v>
      </c>
      <c r="U57" s="364">
        <f t="shared" ca="1" si="2"/>
        <v>0</v>
      </c>
      <c r="V57" s="359">
        <f t="shared" ca="1" si="3"/>
        <v>1.2236843471409267</v>
      </c>
      <c r="W57" s="357">
        <f t="shared" ca="1" si="4"/>
        <v>5.0501032291603565</v>
      </c>
      <c r="X57" s="343"/>
      <c r="Y57" s="367" t="str">
        <f t="shared" ca="1" si="22"/>
        <v/>
      </c>
      <c r="Z57" s="368" t="str">
        <f t="shared" ca="1" si="23"/>
        <v/>
      </c>
      <c r="AA57" s="369" t="str">
        <f t="shared" ca="1" si="24"/>
        <v/>
      </c>
      <c r="AB57" s="344"/>
      <c r="AC57" s="363" t="e">
        <f t="shared" ca="1" si="25"/>
        <v>#N/A</v>
      </c>
      <c r="AD57" s="376" t="e">
        <f t="shared" ca="1" si="26"/>
        <v>#N/A</v>
      </c>
      <c r="AE57" s="377">
        <f t="shared" ca="1" si="5"/>
        <v>10.745793843209418</v>
      </c>
      <c r="AF57" s="344"/>
      <c r="AG57" s="359">
        <f t="shared" ca="1" si="27"/>
        <v>81.857402725099192</v>
      </c>
      <c r="AH57" s="357">
        <f t="shared" ca="1" si="28"/>
        <v>91.501245366753224</v>
      </c>
    </row>
    <row r="58" spans="1:34" x14ac:dyDescent="0.25">
      <c r="A58" s="402">
        <f t="shared" ca="1" si="6"/>
        <v>0.01</v>
      </c>
      <c r="B58" s="357">
        <f t="shared" ca="1" si="7"/>
        <v>0.54000000000000026</v>
      </c>
      <c r="C58" s="342"/>
      <c r="D58" s="359">
        <f t="shared" ca="1" si="8"/>
        <v>16.80654520518776</v>
      </c>
      <c r="E58" s="360">
        <f t="shared" ca="1" si="9"/>
        <v>80.129863597626169</v>
      </c>
      <c r="F58" s="357">
        <f t="shared" ca="1" si="10"/>
        <v>81.873408393129665</v>
      </c>
      <c r="G58" s="359">
        <f t="shared" ca="1" si="11"/>
        <v>8.0113652858700082</v>
      </c>
      <c r="H58" s="360">
        <f t="shared" ca="1" si="12"/>
        <v>42.774548259649031</v>
      </c>
      <c r="I58" s="357">
        <f t="shared" ca="1" si="13"/>
        <v>43.518317437151531</v>
      </c>
      <c r="J58" s="359">
        <f t="shared" ca="1" si="14"/>
        <v>2.0150429942078798</v>
      </c>
      <c r="K58" s="360">
        <f t="shared" ca="1" si="15"/>
        <v>11.169532832626027</v>
      </c>
      <c r="L58" s="357">
        <f t="shared" ca="1" si="0"/>
        <v>11.349839733124741</v>
      </c>
      <c r="M58" s="359">
        <f t="shared" ca="1" si="16"/>
        <v>1.3856485388900768</v>
      </c>
      <c r="N58" s="357">
        <f t="shared" ca="1" si="17"/>
        <v>79.39181316687052</v>
      </c>
      <c r="O58" s="343"/>
      <c r="P58" s="363">
        <f t="shared" ca="1" si="18"/>
        <v>5</v>
      </c>
      <c r="Q58" s="357">
        <f t="shared" ca="1" si="19"/>
        <v>1032.8333333333333</v>
      </c>
      <c r="R58" s="359">
        <f t="shared" ca="1" si="20"/>
        <v>0.51737953677896098</v>
      </c>
      <c r="S58" s="360">
        <f t="shared" ca="1" si="21"/>
        <v>11.233013486034318</v>
      </c>
      <c r="T58" s="357">
        <f t="shared" ca="1" si="1"/>
        <v>110.19586229799667</v>
      </c>
      <c r="U58" s="364">
        <f t="shared" ca="1" si="2"/>
        <v>0</v>
      </c>
      <c r="V58" s="359">
        <f t="shared" ca="1" si="3"/>
        <v>1.2236324959470741</v>
      </c>
      <c r="W58" s="357">
        <f t="shared" ca="1" si="4"/>
        <v>5.2453540971843617</v>
      </c>
      <c r="X58" s="343"/>
      <c r="Y58" s="367" t="str">
        <f t="shared" ca="1" si="22"/>
        <v/>
      </c>
      <c r="Z58" s="368" t="str">
        <f t="shared" ca="1" si="23"/>
        <v/>
      </c>
      <c r="AA58" s="369" t="str">
        <f t="shared" ca="1" si="24"/>
        <v/>
      </c>
      <c r="AB58" s="344"/>
      <c r="AC58" s="363" t="e">
        <f t="shared" ca="1" si="25"/>
        <v>#N/A</v>
      </c>
      <c r="AD58" s="376" t="e">
        <f t="shared" ca="1" si="26"/>
        <v>#N/A</v>
      </c>
      <c r="AE58" s="377">
        <f t="shared" ca="1" si="5"/>
        <v>11.169532832626027</v>
      </c>
      <c r="AF58" s="344"/>
      <c r="AG58" s="359">
        <f t="shared" ca="1" si="27"/>
        <v>81.853576500947696</v>
      </c>
      <c r="AH58" s="357">
        <f t="shared" ca="1" si="28"/>
        <v>91.496661281675316</v>
      </c>
    </row>
    <row r="59" spans="1:34" x14ac:dyDescent="0.25">
      <c r="A59" s="402">
        <f t="shared" ca="1" si="6"/>
        <v>0.01</v>
      </c>
      <c r="B59" s="357">
        <f t="shared" ca="1" si="7"/>
        <v>0.55000000000000027</v>
      </c>
      <c r="C59" s="342"/>
      <c r="D59" s="359">
        <f t="shared" ca="1" si="8"/>
        <v>16.842877298877418</v>
      </c>
      <c r="E59" s="360">
        <f t="shared" ca="1" si="9"/>
        <v>80.118051230276819</v>
      </c>
      <c r="F59" s="357">
        <f t="shared" ca="1" si="10"/>
        <v>81.869314450789815</v>
      </c>
      <c r="G59" s="359">
        <f t="shared" ca="1" si="11"/>
        <v>8.1797940588587821</v>
      </c>
      <c r="H59" s="360">
        <f t="shared" ca="1" si="12"/>
        <v>43.575728771951802</v>
      </c>
      <c r="I59" s="357">
        <f t="shared" ca="1" si="13"/>
        <v>44.336815050836137</v>
      </c>
      <c r="J59" s="359">
        <f t="shared" ca="1" si="14"/>
        <v>2.0959987909315236</v>
      </c>
      <c r="K59" s="360">
        <f t="shared" ca="1" si="15"/>
        <v>11.601284217784031</v>
      </c>
      <c r="L59" s="357">
        <f t="shared" ca="1" si="0"/>
        <v>11.789105412769503</v>
      </c>
      <c r="M59" s="359">
        <f t="shared" ca="1" si="16"/>
        <v>1.3852412158601299</v>
      </c>
      <c r="N59" s="357">
        <f t="shared" ca="1" si="17"/>
        <v>79.368475276356079</v>
      </c>
      <c r="O59" s="343"/>
      <c r="P59" s="363">
        <f t="shared" ca="1" si="18"/>
        <v>5</v>
      </c>
      <c r="Q59" s="357">
        <f t="shared" ca="1" si="19"/>
        <v>1032.5</v>
      </c>
      <c r="R59" s="359">
        <f t="shared" ca="1" si="20"/>
        <v>0.51721255935866772</v>
      </c>
      <c r="S59" s="360">
        <f t="shared" ca="1" si="21"/>
        <v>11.227841360440731</v>
      </c>
      <c r="T59" s="357">
        <f t="shared" ca="1" si="1"/>
        <v>110.14512374592358</v>
      </c>
      <c r="U59" s="364">
        <f t="shared" ca="1" si="2"/>
        <v>0</v>
      </c>
      <c r="V59" s="359">
        <f t="shared" ca="1" si="3"/>
        <v>1.2235796665679131</v>
      </c>
      <c r="W59" s="357">
        <f t="shared" ca="1" si="4"/>
        <v>5.4442850224689936</v>
      </c>
      <c r="X59" s="343"/>
      <c r="Y59" s="367" t="str">
        <f t="shared" ca="1" si="22"/>
        <v/>
      </c>
      <c r="Z59" s="368" t="str">
        <f t="shared" ca="1" si="23"/>
        <v/>
      </c>
      <c r="AA59" s="369" t="str">
        <f t="shared" ca="1" si="24"/>
        <v/>
      </c>
      <c r="AB59" s="344"/>
      <c r="AC59" s="363" t="e">
        <f t="shared" ca="1" si="25"/>
        <v>#N/A</v>
      </c>
      <c r="AD59" s="376" t="e">
        <f t="shared" ca="1" si="26"/>
        <v>#N/A</v>
      </c>
      <c r="AE59" s="377">
        <f t="shared" ca="1" si="5"/>
        <v>11.601284217784031</v>
      </c>
      <c r="AF59" s="344"/>
      <c r="AG59" s="359">
        <f t="shared" ca="1" si="27"/>
        <v>81.849393567869726</v>
      </c>
      <c r="AH59" s="357">
        <f t="shared" ca="1" si="28"/>
        <v>91.491731395685875</v>
      </c>
    </row>
    <row r="60" spans="1:34" x14ac:dyDescent="0.25">
      <c r="A60" s="402">
        <f t="shared" ca="1" si="6"/>
        <v>0.01</v>
      </c>
      <c r="B60" s="357">
        <f t="shared" ca="1" si="7"/>
        <v>0.56000000000000028</v>
      </c>
      <c r="C60" s="342"/>
      <c r="D60" s="359">
        <f t="shared" ca="1" si="8"/>
        <v>16.878532294752628</v>
      </c>
      <c r="E60" s="360">
        <f t="shared" ca="1" si="9"/>
        <v>80.105997890952224</v>
      </c>
      <c r="F60" s="357">
        <f t="shared" ca="1" si="10"/>
        <v>81.864862734449446</v>
      </c>
      <c r="G60" s="359">
        <f t="shared" ca="1" si="11"/>
        <v>8.3485793818063083</v>
      </c>
      <c r="H60" s="360">
        <f t="shared" ca="1" si="12"/>
        <v>44.376788750861323</v>
      </c>
      <c r="I60" s="357">
        <f t="shared" ca="1" si="13"/>
        <v>45.155267218043278</v>
      </c>
      <c r="J60" s="359">
        <f t="shared" ca="1" si="14"/>
        <v>2.178640658134849</v>
      </c>
      <c r="K60" s="360">
        <f t="shared" ca="1" si="15"/>
        <v>12.041046805398096</v>
      </c>
      <c r="L60" s="357">
        <f t="shared" ca="1" si="0"/>
        <v>12.236555205083903</v>
      </c>
      <c r="M60" s="359">
        <f t="shared" ca="1" si="16"/>
        <v>1.3848404059234753</v>
      </c>
      <c r="N60" s="357">
        <f t="shared" ca="1" si="17"/>
        <v>79.34551055859886</v>
      </c>
      <c r="O60" s="343"/>
      <c r="P60" s="363">
        <f t="shared" ca="1" si="18"/>
        <v>5</v>
      </c>
      <c r="Q60" s="357">
        <f t="shared" ca="1" si="19"/>
        <v>1032.1666666666667</v>
      </c>
      <c r="R60" s="359">
        <f t="shared" ca="1" si="20"/>
        <v>0.51704558193837435</v>
      </c>
      <c r="S60" s="360">
        <f t="shared" ca="1" si="21"/>
        <v>11.222670904621348</v>
      </c>
      <c r="T60" s="357">
        <f t="shared" ca="1" si="1"/>
        <v>110.09440157433542</v>
      </c>
      <c r="U60" s="364">
        <f t="shared" ca="1" si="2"/>
        <v>0</v>
      </c>
      <c r="V60" s="359">
        <f t="shared" ca="1" si="3"/>
        <v>1.2235258592762113</v>
      </c>
      <c r="W60" s="357">
        <f t="shared" ca="1" si="4"/>
        <v>5.646893588099366</v>
      </c>
      <c r="X60" s="343"/>
      <c r="Y60" s="367" t="str">
        <f t="shared" ca="1" si="22"/>
        <v/>
      </c>
      <c r="Z60" s="368" t="str">
        <f t="shared" ca="1" si="23"/>
        <v/>
      </c>
      <c r="AA60" s="369" t="str">
        <f t="shared" ca="1" si="24"/>
        <v/>
      </c>
      <c r="AB60" s="344"/>
      <c r="AC60" s="363" t="e">
        <f t="shared" ca="1" si="25"/>
        <v>#N/A</v>
      </c>
      <c r="AD60" s="376" t="e">
        <f t="shared" ca="1" si="26"/>
        <v>#N/A</v>
      </c>
      <c r="AE60" s="377">
        <f t="shared" ca="1" si="5"/>
        <v>12.041046805398096</v>
      </c>
      <c r="AF60" s="344"/>
      <c r="AG60" s="359">
        <f t="shared" ca="1" si="27"/>
        <v>81.844854014183809</v>
      </c>
      <c r="AH60" s="357">
        <f t="shared" ca="1" si="28"/>
        <v>91.486455440959858</v>
      </c>
    </row>
    <row r="61" spans="1:34" x14ac:dyDescent="0.25">
      <c r="A61" s="402">
        <f t="shared" ca="1" si="6"/>
        <v>0.01</v>
      </c>
      <c r="B61" s="357">
        <f t="shared" ca="1" si="7"/>
        <v>0.57000000000000028</v>
      </c>
      <c r="C61" s="342"/>
      <c r="D61" s="359">
        <f t="shared" ca="1" si="8"/>
        <v>16.913530681486861</v>
      </c>
      <c r="E61" s="360">
        <f t="shared" ca="1" si="9"/>
        <v>80.093700229434745</v>
      </c>
      <c r="F61" s="357">
        <f t="shared" ca="1" si="10"/>
        <v>81.86005336277367</v>
      </c>
      <c r="G61" s="359">
        <f t="shared" ca="1" si="11"/>
        <v>8.5177146886211776</v>
      </c>
      <c r="H61" s="360">
        <f t="shared" ca="1" si="12"/>
        <v>45.17772575315567</v>
      </c>
      <c r="I61" s="357">
        <f t="shared" ca="1" si="13"/>
        <v>45.97367037494503</v>
      </c>
      <c r="J61" s="359">
        <f t="shared" ca="1" si="14"/>
        <v>2.2629721284869864</v>
      </c>
      <c r="K61" s="360">
        <f t="shared" ca="1" si="15"/>
        <v>12.488819377918182</v>
      </c>
      <c r="L61" s="357">
        <f t="shared" ca="1" si="0"/>
        <v>12.692188633508941</v>
      </c>
      <c r="M61" s="359">
        <f t="shared" ca="1" si="16"/>
        <v>1.3844458904829409</v>
      </c>
      <c r="N61" s="357">
        <f t="shared" ca="1" si="17"/>
        <v>79.322906488903499</v>
      </c>
      <c r="O61" s="343"/>
      <c r="P61" s="363">
        <f t="shared" ca="1" si="18"/>
        <v>5</v>
      </c>
      <c r="Q61" s="357">
        <f t="shared" ca="1" si="19"/>
        <v>1031.8333333333333</v>
      </c>
      <c r="R61" s="359">
        <f t="shared" ca="1" si="20"/>
        <v>0.51687860451808099</v>
      </c>
      <c r="S61" s="360">
        <f t="shared" ca="1" si="21"/>
        <v>11.217502118576167</v>
      </c>
      <c r="T61" s="357">
        <f t="shared" ca="1" si="1"/>
        <v>110.04369578323221</v>
      </c>
      <c r="U61" s="364">
        <f t="shared" ca="1" si="2"/>
        <v>0</v>
      </c>
      <c r="V61" s="359">
        <f t="shared" ca="1" si="3"/>
        <v>1.2234710743500194</v>
      </c>
      <c r="W61" s="357">
        <f t="shared" ca="1" si="4"/>
        <v>5.8531772954550032</v>
      </c>
      <c r="X61" s="343"/>
      <c r="Y61" s="367" t="str">
        <f t="shared" ca="1" si="22"/>
        <v/>
      </c>
      <c r="Z61" s="368" t="str">
        <f t="shared" ca="1" si="23"/>
        <v/>
      </c>
      <c r="AA61" s="369" t="str">
        <f t="shared" ca="1" si="24"/>
        <v/>
      </c>
      <c r="AB61" s="344"/>
      <c r="AC61" s="363" t="e">
        <f t="shared" ca="1" si="25"/>
        <v>#N/A</v>
      </c>
      <c r="AD61" s="376" t="e">
        <f t="shared" ca="1" si="26"/>
        <v>#N/A</v>
      </c>
      <c r="AE61" s="377">
        <f t="shared" ca="1" si="5"/>
        <v>12.488819377918182</v>
      </c>
      <c r="AF61" s="344"/>
      <c r="AG61" s="359">
        <f t="shared" ca="1" si="27"/>
        <v>81.839957917484938</v>
      </c>
      <c r="AH61" s="357">
        <f t="shared" ca="1" si="28"/>
        <v>91.480833156774779</v>
      </c>
    </row>
    <row r="62" spans="1:34" x14ac:dyDescent="0.25">
      <c r="A62" s="402">
        <f t="shared" ca="1" si="6"/>
        <v>0.01</v>
      </c>
      <c r="B62" s="357">
        <f t="shared" ca="1" si="7"/>
        <v>0.58000000000000029</v>
      </c>
      <c r="C62" s="342"/>
      <c r="D62" s="359">
        <f t="shared" ca="1" si="8"/>
        <v>16.947891887769195</v>
      </c>
      <c r="E62" s="360">
        <f t="shared" ca="1" si="9"/>
        <v>80.081155056252825</v>
      </c>
      <c r="F62" s="357">
        <f t="shared" ca="1" si="10"/>
        <v>81.854886442918726</v>
      </c>
      <c r="G62" s="359">
        <f t="shared" ca="1" si="11"/>
        <v>8.6871936074988696</v>
      </c>
      <c r="H62" s="360">
        <f t="shared" ca="1" si="12"/>
        <v>45.978537303718198</v>
      </c>
      <c r="I62" s="357">
        <f t="shared" ca="1" si="13"/>
        <v>46.792020958316975</v>
      </c>
      <c r="J62" s="359">
        <f t="shared" ca="1" si="14"/>
        <v>2.3489966699675864</v>
      </c>
      <c r="K62" s="360">
        <f t="shared" ca="1" si="15"/>
        <v>12.944600693202551</v>
      </c>
      <c r="L62" s="357">
        <f t="shared" ca="1" si="0"/>
        <v>13.156005186300998</v>
      </c>
      <c r="M62" s="359">
        <f t="shared" ca="1" si="16"/>
        <v>1.3840574619482411</v>
      </c>
      <c r="N62" s="357">
        <f t="shared" ca="1" si="17"/>
        <v>79.300651173222747</v>
      </c>
      <c r="O62" s="343"/>
      <c r="P62" s="363">
        <f t="shared" ca="1" si="18"/>
        <v>5</v>
      </c>
      <c r="Q62" s="357">
        <f t="shared" ca="1" si="19"/>
        <v>1031.5</v>
      </c>
      <c r="R62" s="359">
        <f t="shared" ca="1" si="20"/>
        <v>0.51671162709778762</v>
      </c>
      <c r="S62" s="360">
        <f t="shared" ca="1" si="21"/>
        <v>11.21233500230519</v>
      </c>
      <c r="T62" s="357">
        <f t="shared" ca="1" si="1"/>
        <v>109.99300637261392</v>
      </c>
      <c r="U62" s="364">
        <f t="shared" ca="1" si="2"/>
        <v>0</v>
      </c>
      <c r="V62" s="359">
        <f t="shared" ca="1" si="3"/>
        <v>1.2234153120727052</v>
      </c>
      <c r="W62" s="357">
        <f t="shared" ca="1" si="4"/>
        <v>6.0631335642509177</v>
      </c>
      <c r="X62" s="343"/>
      <c r="Y62" s="367" t="str">
        <f t="shared" ca="1" si="22"/>
        <v/>
      </c>
      <c r="Z62" s="368" t="str">
        <f t="shared" ca="1" si="23"/>
        <v/>
      </c>
      <c r="AA62" s="369" t="str">
        <f t="shared" ca="1" si="24"/>
        <v/>
      </c>
      <c r="AB62" s="344"/>
      <c r="AC62" s="363" t="e">
        <f t="shared" ca="1" si="25"/>
        <v>#N/A</v>
      </c>
      <c r="AD62" s="376" t="e">
        <f t="shared" ca="1" si="26"/>
        <v>#N/A</v>
      </c>
      <c r="AE62" s="377">
        <f t="shared" ca="1" si="5"/>
        <v>12.944600693202551</v>
      </c>
      <c r="AF62" s="344"/>
      <c r="AG62" s="359">
        <f t="shared" ca="1" si="27"/>
        <v>81.834705345851773</v>
      </c>
      <c r="AH62" s="357">
        <f t="shared" ca="1" si="28"/>
        <v>91.474864289523822</v>
      </c>
    </row>
    <row r="63" spans="1:34" x14ac:dyDescent="0.25">
      <c r="A63" s="402">
        <f t="shared" ca="1" si="6"/>
        <v>0.01</v>
      </c>
      <c r="B63" s="357">
        <f t="shared" ca="1" si="7"/>
        <v>0.5900000000000003</v>
      </c>
      <c r="C63" s="342"/>
      <c r="D63" s="359">
        <f t="shared" ca="1" si="8"/>
        <v>16.981634354493945</v>
      </c>
      <c r="E63" s="360">
        <f t="shared" ca="1" si="9"/>
        <v>80.068359332548511</v>
      </c>
      <c r="F63" s="357">
        <f t="shared" ca="1" si="10"/>
        <v>81.849362071770827</v>
      </c>
      <c r="G63" s="359">
        <f t="shared" ca="1" si="11"/>
        <v>8.8570099510438087</v>
      </c>
      <c r="H63" s="360">
        <f t="shared" ca="1" si="12"/>
        <v>46.779220897043686</v>
      </c>
      <c r="I63" s="357">
        <f t="shared" ca="1" si="13"/>
        <v>47.610315405459112</v>
      </c>
      <c r="J63" s="359">
        <f t="shared" ca="1" si="14"/>
        <v>2.4367176877602996</v>
      </c>
      <c r="K63" s="360">
        <f t="shared" ca="1" si="15"/>
        <v>13.40838948420636</v>
      </c>
      <c r="L63" s="357">
        <f t="shared" ca="1" si="0"/>
        <v>13.62800431648081</v>
      </c>
      <c r="M63" s="359">
        <f t="shared" ca="1" si="16"/>
        <v>1.3836749230021201</v>
      </c>
      <c r="N63" s="357">
        <f t="shared" ca="1" si="17"/>
        <v>79.278733306110638</v>
      </c>
      <c r="O63" s="343"/>
      <c r="P63" s="363">
        <f t="shared" ca="1" si="18"/>
        <v>5</v>
      </c>
      <c r="Q63" s="357">
        <f t="shared" ca="1" si="19"/>
        <v>1031.1666666666667</v>
      </c>
      <c r="R63" s="359">
        <f t="shared" ca="1" si="20"/>
        <v>0.51654464967749436</v>
      </c>
      <c r="S63" s="360">
        <f t="shared" ca="1" si="21"/>
        <v>11.207169555808415</v>
      </c>
      <c r="T63" s="357">
        <f t="shared" ca="1" si="1"/>
        <v>109.94233334248055</v>
      </c>
      <c r="U63" s="364">
        <f t="shared" ca="1" si="2"/>
        <v>0</v>
      </c>
      <c r="V63" s="359">
        <f t="shared" ca="1" si="3"/>
        <v>1.2233585727329899</v>
      </c>
      <c r="W63" s="357">
        <f t="shared" ca="1" si="4"/>
        <v>6.2767597325808255</v>
      </c>
      <c r="X63" s="343"/>
      <c r="Y63" s="367" t="str">
        <f t="shared" ca="1" si="22"/>
        <v/>
      </c>
      <c r="Z63" s="368" t="str">
        <f t="shared" ca="1" si="23"/>
        <v/>
      </c>
      <c r="AA63" s="369" t="str">
        <f t="shared" ca="1" si="24"/>
        <v/>
      </c>
      <c r="AB63" s="344"/>
      <c r="AC63" s="363" t="e">
        <f t="shared" ca="1" si="25"/>
        <v>#N/A</v>
      </c>
      <c r="AD63" s="376" t="e">
        <f t="shared" ca="1" si="26"/>
        <v>#N/A</v>
      </c>
      <c r="AE63" s="377">
        <f t="shared" ca="1" si="5"/>
        <v>13.40838948420636</v>
      </c>
      <c r="AF63" s="344"/>
      <c r="AG63" s="359">
        <f t="shared" ca="1" si="27"/>
        <v>81.829096358954502</v>
      </c>
      <c r="AH63" s="357">
        <f t="shared" ca="1" si="28"/>
        <v>91.468548592729078</v>
      </c>
    </row>
    <row r="64" spans="1:34" x14ac:dyDescent="0.25">
      <c r="A64" s="402">
        <f t="shared" ca="1" si="6"/>
        <v>0.01</v>
      </c>
      <c r="B64" s="357">
        <f t="shared" ca="1" si="7"/>
        <v>0.60000000000000031</v>
      </c>
      <c r="C64" s="342"/>
      <c r="D64" s="359">
        <f t="shared" ca="1" si="8"/>
        <v>17.014775600889365</v>
      </c>
      <c r="E64" s="360">
        <f t="shared" ca="1" si="9"/>
        <v>80.055310160776202</v>
      </c>
      <c r="F64" s="357">
        <f t="shared" ca="1" si="10"/>
        <v>81.843480337084259</v>
      </c>
      <c r="G64" s="359">
        <f t="shared" ca="1" si="11"/>
        <v>9.0271577070527016</v>
      </c>
      <c r="H64" s="360">
        <f t="shared" ca="1" si="12"/>
        <v>47.579773998651447</v>
      </c>
      <c r="I64" s="357">
        <f t="shared" ca="1" si="13"/>
        <v>48.42855015412654</v>
      </c>
      <c r="J64" s="359">
        <f t="shared" ca="1" si="14"/>
        <v>2.526138526050782</v>
      </c>
      <c r="K64" s="360">
        <f t="shared" ca="1" si="15"/>
        <v>13.880184458684836</v>
      </c>
      <c r="L64" s="357">
        <f t="shared" ca="1" si="0"/>
        <v>14.108185441789248</v>
      </c>
      <c r="M64" s="359">
        <f t="shared" ca="1" si="16"/>
        <v>1.383298085926989</v>
      </c>
      <c r="N64" s="357">
        <f t="shared" ca="1" si="17"/>
        <v>79.257142132141567</v>
      </c>
      <c r="O64" s="343"/>
      <c r="P64" s="363">
        <f t="shared" ca="1" si="18"/>
        <v>5</v>
      </c>
      <c r="Q64" s="357">
        <f t="shared" ca="1" si="19"/>
        <v>1030.8333333333333</v>
      </c>
      <c r="R64" s="359">
        <f t="shared" ca="1" si="20"/>
        <v>0.51637767225720088</v>
      </c>
      <c r="S64" s="360">
        <f t="shared" ca="1" si="21"/>
        <v>11.202005779085843</v>
      </c>
      <c r="T64" s="357">
        <f t="shared" ca="1" si="1"/>
        <v>109.89167669283212</v>
      </c>
      <c r="U64" s="364">
        <f t="shared" ca="1" si="2"/>
        <v>0</v>
      </c>
      <c r="V64" s="359">
        <f t="shared" ca="1" si="3"/>
        <v>1.2233008566249843</v>
      </c>
      <c r="W64" s="357">
        <f t="shared" ca="1" si="4"/>
        <v>6.4940530569625725</v>
      </c>
      <c r="X64" s="343"/>
      <c r="Y64" s="367" t="str">
        <f t="shared" ca="1" si="22"/>
        <v/>
      </c>
      <c r="Z64" s="368" t="str">
        <f t="shared" ca="1" si="23"/>
        <v/>
      </c>
      <c r="AA64" s="369" t="str">
        <f t="shared" ca="1" si="24"/>
        <v/>
      </c>
      <c r="AB64" s="344"/>
      <c r="AC64" s="363" t="e">
        <f t="shared" ca="1" si="25"/>
        <v>#N/A</v>
      </c>
      <c r="AD64" s="376" t="e">
        <f t="shared" ca="1" si="26"/>
        <v>#N/A</v>
      </c>
      <c r="AE64" s="377">
        <f t="shared" ca="1" si="5"/>
        <v>13.880184458684836</v>
      </c>
      <c r="AF64" s="344"/>
      <c r="AG64" s="359">
        <f t="shared" ca="1" si="27"/>
        <v>81.82313100907264</v>
      </c>
      <c r="AH64" s="357">
        <f t="shared" ca="1" si="28"/>
        <v>91.46188582705436</v>
      </c>
    </row>
    <row r="65" spans="1:34" x14ac:dyDescent="0.25">
      <c r="A65" s="402">
        <f t="shared" ca="1" si="6"/>
        <v>0.01</v>
      </c>
      <c r="B65" s="357">
        <f t="shared" ca="1" si="7"/>
        <v>0.61000000000000032</v>
      </c>
      <c r="C65" s="342"/>
      <c r="D65" s="359">
        <f t="shared" ca="1" si="8"/>
        <v>17.047332285188318</v>
      </c>
      <c r="E65" s="360">
        <f t="shared" ca="1" si="9"/>
        <v>80.042004776151799</v>
      </c>
      <c r="F65" s="357">
        <f t="shared" ca="1" si="10"/>
        <v>81.837241318528882</v>
      </c>
      <c r="G65" s="359">
        <f t="shared" ca="1" si="11"/>
        <v>9.1976310299045849</v>
      </c>
      <c r="H65" s="360">
        <f t="shared" ca="1" si="12"/>
        <v>48.380194046412967</v>
      </c>
      <c r="I65" s="357">
        <f t="shared" ca="1" si="13"/>
        <v>49.246721642469119</v>
      </c>
      <c r="J65" s="359">
        <f t="shared" ca="1" si="14"/>
        <v>2.6172624697355684</v>
      </c>
      <c r="K65" s="360">
        <f t="shared" ca="1" si="15"/>
        <v>14.359984298910158</v>
      </c>
      <c r="L65" s="357">
        <f t="shared" ca="1" si="0"/>
        <v>14.596547944648851</v>
      </c>
      <c r="M65" s="359">
        <f t="shared" ca="1" si="16"/>
        <v>1.3829267719861538</v>
      </c>
      <c r="N65" s="357">
        <f t="shared" ca="1" si="17"/>
        <v>79.235867410457331</v>
      </c>
      <c r="O65" s="343"/>
      <c r="P65" s="363">
        <f t="shared" ca="1" si="18"/>
        <v>5</v>
      </c>
      <c r="Q65" s="357">
        <f t="shared" ca="1" si="19"/>
        <v>1030.5</v>
      </c>
      <c r="R65" s="359">
        <f t="shared" ca="1" si="20"/>
        <v>0.51621069483690762</v>
      </c>
      <c r="S65" s="360">
        <f t="shared" ca="1" si="21"/>
        <v>11.196843672137474</v>
      </c>
      <c r="T65" s="357">
        <f t="shared" ca="1" si="1"/>
        <v>109.84103642366863</v>
      </c>
      <c r="U65" s="364">
        <f t="shared" ca="1" si="2"/>
        <v>0</v>
      </c>
      <c r="V65" s="359">
        <f t="shared" ca="1" si="3"/>
        <v>1.223242164048217</v>
      </c>
      <c r="W65" s="357">
        <f t="shared" ca="1" si="4"/>
        <v>6.7150107123858094</v>
      </c>
      <c r="X65" s="343"/>
      <c r="Y65" s="367" t="str">
        <f t="shared" ca="1" si="22"/>
        <v/>
      </c>
      <c r="Z65" s="368" t="str">
        <f t="shared" ca="1" si="23"/>
        <v/>
      </c>
      <c r="AA65" s="369" t="str">
        <f t="shared" ca="1" si="24"/>
        <v/>
      </c>
      <c r="AB65" s="344"/>
      <c r="AC65" s="363" t="e">
        <f t="shared" ca="1" si="25"/>
        <v>#N/A</v>
      </c>
      <c r="AD65" s="376" t="e">
        <f t="shared" ca="1" si="26"/>
        <v>#N/A</v>
      </c>
      <c r="AE65" s="377">
        <f t="shared" ca="1" si="5"/>
        <v>14.359984298910158</v>
      </c>
      <c r="AF65" s="344"/>
      <c r="AG65" s="359">
        <f t="shared" ca="1" si="27"/>
        <v>81.816809342032073</v>
      </c>
      <c r="AH65" s="357">
        <f t="shared" ca="1" si="28"/>
        <v>91.45487576031816</v>
      </c>
    </row>
    <row r="66" spans="1:34" x14ac:dyDescent="0.25">
      <c r="A66" s="402">
        <f t="shared" ca="1" si="6"/>
        <v>0.01</v>
      </c>
      <c r="B66" s="357">
        <f t="shared" ca="1" si="7"/>
        <v>0.62000000000000033</v>
      </c>
      <c r="C66" s="342"/>
      <c r="D66" s="359">
        <f t="shared" ca="1" si="8"/>
        <v>17.079320260373912</v>
      </c>
      <c r="E66" s="360">
        <f t="shared" ca="1" si="9"/>
        <v>80.028440538780188</v>
      </c>
      <c r="F66" s="357">
        <f t="shared" ca="1" si="10"/>
        <v>81.830645088655473</v>
      </c>
      <c r="G66" s="359">
        <f t="shared" ca="1" si="11"/>
        <v>9.3684242325083247</v>
      </c>
      <c r="H66" s="360">
        <f t="shared" ca="1" si="12"/>
        <v>49.180478451800766</v>
      </c>
      <c r="I66" s="357">
        <f t="shared" ca="1" si="13"/>
        <v>50.064826308979526</v>
      </c>
      <c r="J66" s="359">
        <f t="shared" ca="1" si="14"/>
        <v>2.710092746047633</v>
      </c>
      <c r="K66" s="360">
        <f t="shared" ca="1" si="15"/>
        <v>14.847787661401227</v>
      </c>
      <c r="L66" s="357">
        <f t="shared" ca="1" si="0"/>
        <v>15.093091172130331</v>
      </c>
      <c r="M66" s="359">
        <f t="shared" ca="1" si="16"/>
        <v>1.3825608108543841</v>
      </c>
      <c r="N66" s="357">
        <f t="shared" ca="1" si="17"/>
        <v>79.214899382141098</v>
      </c>
      <c r="O66" s="343"/>
      <c r="P66" s="363">
        <f t="shared" ca="1" si="18"/>
        <v>5</v>
      </c>
      <c r="Q66" s="357">
        <f t="shared" ca="1" si="19"/>
        <v>1030.1666666666667</v>
      </c>
      <c r="R66" s="359">
        <f t="shared" ca="1" si="20"/>
        <v>0.51604371741661426</v>
      </c>
      <c r="S66" s="360">
        <f t="shared" ca="1" si="21"/>
        <v>11.191683234963309</v>
      </c>
      <c r="T66" s="357">
        <f t="shared" ca="1" si="1"/>
        <v>109.79041253499007</v>
      </c>
      <c r="U66" s="364">
        <f t="shared" ca="1" si="2"/>
        <v>0</v>
      </c>
      <c r="V66" s="359">
        <f t="shared" ca="1" si="3"/>
        <v>1.2231824953076658</v>
      </c>
      <c r="W66" s="357">
        <f t="shared" ca="1" si="4"/>
        <v>6.9396297923621306</v>
      </c>
      <c r="X66" s="343"/>
      <c r="Y66" s="367" t="str">
        <f t="shared" ca="1" si="22"/>
        <v/>
      </c>
      <c r="Z66" s="368" t="str">
        <f t="shared" ca="1" si="23"/>
        <v/>
      </c>
      <c r="AA66" s="369" t="str">
        <f t="shared" ca="1" si="24"/>
        <v/>
      </c>
      <c r="AB66" s="344"/>
      <c r="AC66" s="363" t="e">
        <f t="shared" ca="1" si="25"/>
        <v>#N/A</v>
      </c>
      <c r="AD66" s="376" t="e">
        <f t="shared" ca="1" si="26"/>
        <v>#N/A</v>
      </c>
      <c r="AE66" s="377">
        <f t="shared" ca="1" si="5"/>
        <v>14.847787661401227</v>
      </c>
      <c r="AF66" s="344"/>
      <c r="AG66" s="359">
        <f t="shared" ca="1" si="27"/>
        <v>81.810131398068478</v>
      </c>
      <c r="AH66" s="357">
        <f t="shared" ca="1" si="28"/>
        <v>91.447518167506132</v>
      </c>
    </row>
    <row r="67" spans="1:34" x14ac:dyDescent="0.25">
      <c r="A67" s="402">
        <f t="shared" ca="1" si="6"/>
        <v>0.01</v>
      </c>
      <c r="B67" s="357">
        <f t="shared" ca="1" si="7"/>
        <v>0.63000000000000034</v>
      </c>
      <c r="C67" s="342"/>
      <c r="D67" s="359">
        <f t="shared" ca="1" si="8"/>
        <v>17.110754625474247</v>
      </c>
      <c r="E67" s="360">
        <f t="shared" ca="1" si="9"/>
        <v>80.014614926397044</v>
      </c>
      <c r="F67" s="357">
        <f t="shared" ca="1" si="10"/>
        <v>81.823691713786602</v>
      </c>
      <c r="G67" s="359">
        <f t="shared" ca="1" si="11"/>
        <v>9.5395317787630667</v>
      </c>
      <c r="H67" s="360">
        <f t="shared" ca="1" si="12"/>
        <v>49.98062460106474</v>
      </c>
      <c r="I67" s="357">
        <f t="shared" ca="1" si="13"/>
        <v>50.882860592448885</v>
      </c>
      <c r="J67" s="359">
        <f t="shared" ca="1" si="14"/>
        <v>2.8046325261039899</v>
      </c>
      <c r="K67" s="360">
        <f t="shared" ca="1" si="15"/>
        <v>15.343593176665555</v>
      </c>
      <c r="L67" s="357">
        <f t="shared" ca="1" si="0"/>
        <v>15.597814435923331</v>
      </c>
      <c r="M67" s="359">
        <f t="shared" ca="1" si="16"/>
        <v>1.3822000400931609</v>
      </c>
      <c r="N67" s="357">
        <f t="shared" ca="1" si="17"/>
        <v>79.194228740151289</v>
      </c>
      <c r="O67" s="343"/>
      <c r="P67" s="363">
        <f t="shared" ca="1" si="18"/>
        <v>5</v>
      </c>
      <c r="Q67" s="357">
        <f t="shared" ca="1" si="19"/>
        <v>1029.8333333333333</v>
      </c>
      <c r="R67" s="359">
        <f t="shared" ca="1" si="20"/>
        <v>0.51587673999632078</v>
      </c>
      <c r="S67" s="360">
        <f t="shared" ca="1" si="21"/>
        <v>11.186524467563345</v>
      </c>
      <c r="T67" s="357">
        <f t="shared" ca="1" si="1"/>
        <v>109.73980502679642</v>
      </c>
      <c r="U67" s="364">
        <f t="shared" ca="1" si="2"/>
        <v>0</v>
      </c>
      <c r="V67" s="359">
        <f t="shared" ca="1" si="3"/>
        <v>1.2231218507137873</v>
      </c>
      <c r="W67" s="357">
        <f t="shared" ca="1" si="4"/>
        <v>7.1679073089776582</v>
      </c>
      <c r="X67" s="343"/>
      <c r="Y67" s="367" t="str">
        <f t="shared" ca="1" si="22"/>
        <v/>
      </c>
      <c r="Z67" s="368" t="str">
        <f t="shared" ca="1" si="23"/>
        <v/>
      </c>
      <c r="AA67" s="369" t="str">
        <f t="shared" ca="1" si="24"/>
        <v/>
      </c>
      <c r="AB67" s="344"/>
      <c r="AC67" s="363" t="e">
        <f t="shared" ca="1" si="25"/>
        <v>#N/A</v>
      </c>
      <c r="AD67" s="376" t="e">
        <f t="shared" ca="1" si="26"/>
        <v>#N/A</v>
      </c>
      <c r="AE67" s="377">
        <f t="shared" ca="1" si="5"/>
        <v>15.343593176665555</v>
      </c>
      <c r="AF67" s="344"/>
      <c r="AG67" s="359">
        <f t="shared" ca="1" si="27"/>
        <v>81.803097212624294</v>
      </c>
      <c r="AH67" s="357">
        <f t="shared" ca="1" si="28"/>
        <v>91.439812830783396</v>
      </c>
    </row>
    <row r="68" spans="1:34" x14ac:dyDescent="0.25">
      <c r="A68" s="402">
        <f t="shared" ca="1" si="6"/>
        <v>0.01</v>
      </c>
      <c r="B68" s="357">
        <f t="shared" ca="1" si="7"/>
        <v>0.64000000000000035</v>
      </c>
      <c r="C68" s="342"/>
      <c r="D68" s="359">
        <f t="shared" ca="1" si="8"/>
        <v>17.141649772827208</v>
      </c>
      <c r="E68" s="360">
        <f t="shared" ca="1" si="9"/>
        <v>80.000525527668245</v>
      </c>
      <c r="F68" s="357">
        <f t="shared" ca="1" si="10"/>
        <v>81.816381254840195</v>
      </c>
      <c r="G68" s="359">
        <f t="shared" ca="1" si="11"/>
        <v>9.7109482764913384</v>
      </c>
      <c r="H68" s="360">
        <f t="shared" ca="1" si="12"/>
        <v>50.78062985634142</v>
      </c>
      <c r="I68" s="357">
        <f t="shared" ca="1" si="13"/>
        <v>51.700820931929542</v>
      </c>
      <c r="J68" s="359">
        <f t="shared" ca="1" si="14"/>
        <v>2.9008849263802619</v>
      </c>
      <c r="K68" s="360">
        <f t="shared" ca="1" si="15"/>
        <v>15.847399448952586</v>
      </c>
      <c r="L68" s="357">
        <f t="shared" ref="L68:L131" ca="1" si="29">SQRT(pos_x^2+pos_z^2)</f>
        <v>16.110717012310872</v>
      </c>
      <c r="M68" s="359">
        <f t="shared" ca="1" si="16"/>
        <v>1.3818443046664457</v>
      </c>
      <c r="N68" s="357">
        <f t="shared" ca="1" si="17"/>
        <v>79.173846601577225</v>
      </c>
      <c r="O68" s="343"/>
      <c r="P68" s="363">
        <f t="shared" ca="1" si="18"/>
        <v>5</v>
      </c>
      <c r="Q68" s="357">
        <f t="shared" ca="1" si="19"/>
        <v>1029.5</v>
      </c>
      <c r="R68" s="359">
        <f t="shared" ca="1" si="20"/>
        <v>0.51570976257602752</v>
      </c>
      <c r="S68" s="360">
        <f t="shared" ca="1" si="21"/>
        <v>11.181367369937584</v>
      </c>
      <c r="T68" s="357">
        <f t="shared" ref="T68:T131" ca="1" si="30">m*g</f>
        <v>109.6892138990877</v>
      </c>
      <c r="U68" s="364">
        <f t="shared" ref="U68:U131" ca="1" si="31">IF(pos_xz&lt;L_rampe,Poids*COS(Beta),0)</f>
        <v>0</v>
      </c>
      <c r="V68" s="359">
        <f t="shared" ref="V68:V131" ca="1" si="32">Rho_moyen*(20000-Alt_rampe-pos_z)/(20000+Alt_rampe+pos_z)</f>
        <v>1.2230602305825431</v>
      </c>
      <c r="W68" s="357">
        <f t="shared" ref="W68:W131" ca="1" si="33">1/2*Rho*Sref*Cx*vit_xz^2</f>
        <v>7.3998401929481741</v>
      </c>
      <c r="X68" s="343"/>
      <c r="Y68" s="367" t="str">
        <f t="shared" ca="1" si="22"/>
        <v/>
      </c>
      <c r="Z68" s="368" t="str">
        <f t="shared" ca="1" si="23"/>
        <v/>
      </c>
      <c r="AA68" s="369" t="str">
        <f t="shared" ca="1" si="24"/>
        <v/>
      </c>
      <c r="AB68" s="344"/>
      <c r="AC68" s="363" t="e">
        <f t="shared" ca="1" si="25"/>
        <v>#N/A</v>
      </c>
      <c r="AD68" s="376" t="e">
        <f t="shared" ca="1" si="26"/>
        <v>#N/A</v>
      </c>
      <c r="AE68" s="377">
        <f t="shared" ref="AE68:AE131" ca="1" si="34">IF(t&lt;T_para, pos_z, NA())</f>
        <v>15.847399448952586</v>
      </c>
      <c r="AF68" s="344"/>
      <c r="AG68" s="359">
        <f t="shared" ca="1" si="27"/>
        <v>81.795706817085744</v>
      </c>
      <c r="AH68" s="357">
        <f t="shared" ca="1" si="28"/>
        <v>91.431759539506942</v>
      </c>
    </row>
    <row r="69" spans="1:34" x14ac:dyDescent="0.25">
      <c r="A69" s="402">
        <f t="shared" ref="A69:A132" ca="1" si="35">IF(B68+0.01&lt;=T_ini+ROUNDUP(Temps_fin_propu,0), 0.01, IF(K68&gt;0, 0.1, 0.0001))</f>
        <v>0.01</v>
      </c>
      <c r="B69" s="357">
        <f t="shared" ref="B69:B132" ca="1" si="36">B68+pas</f>
        <v>0.65000000000000036</v>
      </c>
      <c r="C69" s="342"/>
      <c r="D69" s="359">
        <f t="shared" ref="D69:D132" ca="1" si="37">IF(AND(L68&lt;L_rampe,Poussee&lt;Poids*SIN(M68)),0,(-W68+Poussee)/m*COS(M68)-U68/m*SIN(M68))</f>
        <v>17.17201943169044</v>
      </c>
      <c r="E69" s="360">
        <f t="shared" ref="E69:E132" ca="1" si="38">IF(AND(L68&lt;L_rampe,Poussee&lt;Poids*SIN(M68)),0,(-W68+Poussee)/m*SIN(M68)+U68/m*COS(M68)-Poids/m)</f>
        <v>79.986170035995556</v>
      </c>
      <c r="F69" s="357">
        <f t="shared" ref="F69:F132" ca="1" si="39">SQRT(acc_x^2+acc_z^2)</f>
        <v>81.808713768091636</v>
      </c>
      <c r="G69" s="359">
        <f t="shared" ref="G69:G132" ca="1" si="40">G68+acc_x*pas</f>
        <v>9.8826684708082428</v>
      </c>
      <c r="H69" s="360">
        <f t="shared" ref="H69:H132" ca="1" si="41">H68+acc_z*pas</f>
        <v>51.580491556701375</v>
      </c>
      <c r="I69" s="357">
        <f t="shared" ref="I69:I132" ca="1" si="42">SQRT(vit_x^2+vit_z^2)</f>
        <v>52.518703766704384</v>
      </c>
      <c r="J69" s="359">
        <f t="shared" ref="J69:J132" ca="1" si="43">J68+0.5*(vit_x+G68)*pas*(K68&gt;=0)</f>
        <v>2.9988530101167599</v>
      </c>
      <c r="K69" s="360">
        <f t="shared" ref="K69:K132" ca="1" si="44">K68+0.5*(vit_z+H68)*pas</f>
        <v>16.3592050560178</v>
      </c>
      <c r="L69" s="357">
        <f t="shared" ca="1" si="29"/>
        <v>16.631798142147009</v>
      </c>
      <c r="M69" s="359">
        <f t="shared" ref="M69:M132" ca="1" si="45">IF(AND(L68&gt;L_rampe,G69&gt;0),ATAN2(G69,H69),$M$4)</f>
        <v>1.3814934564932591</v>
      </c>
      <c r="N69" s="357">
        <f t="shared" ref="N69:N132" ca="1" si="46">DEGREES(Beta)</f>
        <v>79.153744482003759</v>
      </c>
      <c r="O69" s="343"/>
      <c r="P69" s="363">
        <f t="shared" ref="P69:P132" ca="1" si="47">MATCH(t-pas/2-T_ini,CdP_t)</f>
        <v>5</v>
      </c>
      <c r="Q69" s="357">
        <f t="shared" ref="Q69:Q132" ca="1" si="48">(INDEX(CdP,2,i_P+1)-INDEX(CdP,2,i_P+0))/(INDEX(CdP,1,i_P+1)-INDEX(CdP,1,i_P+0))*(t-pas/2-T_ini-INDEX(CdP,1,i_P+0))+INDEX(CdP,2,i_P+0)</f>
        <v>1029.1666666666667</v>
      </c>
      <c r="R69" s="359">
        <f t="shared" ref="R69:R132" ca="1" si="49">Poussee/(g*ISP)</f>
        <v>0.51554278515573415</v>
      </c>
      <c r="S69" s="360">
        <f t="shared" ref="S69:S132" ca="1" si="50">S68-Débit*pas</f>
        <v>11.176211942086027</v>
      </c>
      <c r="T69" s="357">
        <f t="shared" ca="1" si="30"/>
        <v>109.63863915186393</v>
      </c>
      <c r="U69" s="364">
        <f t="shared" ca="1" si="31"/>
        <v>0</v>
      </c>
      <c r="V69" s="359">
        <f t="shared" ca="1" si="32"/>
        <v>1.222997635235427</v>
      </c>
      <c r="W69" s="357">
        <f t="shared" ca="1" si="33"/>
        <v>7.6354252936769011</v>
      </c>
      <c r="X69" s="343"/>
      <c r="Y69" s="367" t="str">
        <f t="shared" ref="Y69:Y132" ca="1" si="51">IF(AND(pos_z&lt;=0,K68&gt;0),"Impact balistique","") &amp; IF(AND(H70&lt;0,vit_z&gt;=0),"Apogée","") &amp; IF(AND(Poussee=0,Q68&gt;0),"Fin de propulsion","") &amp; IF(AND(L70&gt;L_rampe,pos_xz&lt;=L_rampe),"Sortie de rampe","")</f>
        <v/>
      </c>
      <c r="Z69" s="368" t="str">
        <f t="shared" ref="Z69:Z132" ca="1" si="52">IF(ABS(t-T_para)&lt;pas/2,"Para","")</f>
        <v/>
      </c>
      <c r="AA69" s="369" t="str">
        <f t="shared" ref="AA69:AA132" ca="1" si="53">IF(ABS(t-T_satellite)&lt;pas/2,"Satellite","")</f>
        <v/>
      </c>
      <c r="AB69" s="344"/>
      <c r="AC69" s="363" t="e">
        <f t="shared" ref="AC69:AC132" ca="1" si="54">IF(ABS(t-ROUND(t,0))&lt;0.001,t,NA())</f>
        <v>#N/A</v>
      </c>
      <c r="AD69" s="376" t="e">
        <f t="shared" ref="AD69:AD132" ca="1" si="55">IF(ABS(t-ROUND(t,0))&lt;0.001,pos_x,NA())</f>
        <v>#N/A</v>
      </c>
      <c r="AE69" s="377">
        <f t="shared" ca="1" si="34"/>
        <v>16.3592050560178</v>
      </c>
      <c r="AF69" s="344"/>
      <c r="AG69" s="359">
        <f t="shared" ref="AG69:AG132" ca="1" si="56">IF(AND(L68&lt;L_rampe,Poussee&lt;Poids*SIN(M68)),0,(-W68+Poussee)/m-Poids*SIN(M68)/m)</f>
        <v>81.787960239464496</v>
      </c>
      <c r="AH69" s="357">
        <f t="shared" ref="AH69:AH132" ca="1" si="57">IF(AND(L68&lt;L_rampe,Poussee&lt;Poids*SIN(M68)), g*SIN(M68), (-W68+Poussee)/m)</f>
        <v>91.423358090237414</v>
      </c>
    </row>
    <row r="70" spans="1:34" x14ac:dyDescent="0.25">
      <c r="A70" s="402">
        <f t="shared" ca="1" si="35"/>
        <v>0.01</v>
      </c>
      <c r="B70" s="357">
        <f t="shared" ca="1" si="36"/>
        <v>0.66000000000000036</v>
      </c>
      <c r="C70" s="342"/>
      <c r="D70" s="359">
        <f t="shared" ca="1" si="37"/>
        <v>17.201876708531913</v>
      </c>
      <c r="E70" s="360">
        <f t="shared" ca="1" si="38"/>
        <v>79.971546243783209</v>
      </c>
      <c r="F70" s="357">
        <f t="shared" ca="1" si="39"/>
        <v>81.800689305879871</v>
      </c>
      <c r="G70" s="359">
        <f t="shared" ca="1" si="40"/>
        <v>10.054687237893562</v>
      </c>
      <c r="H70" s="360">
        <f t="shared" ca="1" si="41"/>
        <v>52.380207019139206</v>
      </c>
      <c r="I70" s="357">
        <f t="shared" ca="1" si="42"/>
        <v>53.336505536262308</v>
      </c>
      <c r="J70" s="359">
        <f t="shared" ca="1" si="43"/>
        <v>3.0985397886602688</v>
      </c>
      <c r="K70" s="360">
        <f t="shared" ca="1" si="44"/>
        <v>16.879008548897001</v>
      </c>
      <c r="L70" s="357">
        <f t="shared" ca="1" si="29"/>
        <v>17.161057030837259</v>
      </c>
      <c r="M70" s="359">
        <f t="shared" ca="1" si="45"/>
        <v>1.3811473540337489</v>
      </c>
      <c r="N70" s="357">
        <f t="shared" ca="1" si="46"/>
        <v>79.133914271794723</v>
      </c>
      <c r="O70" s="343"/>
      <c r="P70" s="363">
        <f t="shared" ca="1" si="47"/>
        <v>5</v>
      </c>
      <c r="Q70" s="357">
        <f t="shared" ca="1" si="48"/>
        <v>1028.8333333333333</v>
      </c>
      <c r="R70" s="359">
        <f t="shared" ca="1" si="49"/>
        <v>0.51537580773544078</v>
      </c>
      <c r="S70" s="360">
        <f t="shared" ca="1" si="50"/>
        <v>11.171058184008674</v>
      </c>
      <c r="T70" s="357">
        <f t="shared" ca="1" si="30"/>
        <v>109.58808078512509</v>
      </c>
      <c r="U70" s="364">
        <f t="shared" ca="1" si="31"/>
        <v>0</v>
      </c>
      <c r="V70" s="359">
        <f t="shared" ca="1" si="32"/>
        <v>1.2229340649994869</v>
      </c>
      <c r="W70" s="357">
        <f t="shared" ca="1" si="33"/>
        <v>7.8746593793149549</v>
      </c>
      <c r="X70" s="343"/>
      <c r="Y70" s="367" t="str">
        <f t="shared" ca="1" si="51"/>
        <v/>
      </c>
      <c r="Z70" s="368" t="str">
        <f t="shared" ca="1" si="52"/>
        <v/>
      </c>
      <c r="AA70" s="369" t="str">
        <f t="shared" ca="1" si="53"/>
        <v/>
      </c>
      <c r="AB70" s="344"/>
      <c r="AC70" s="363" t="e">
        <f t="shared" ca="1" si="54"/>
        <v>#N/A</v>
      </c>
      <c r="AD70" s="376" t="e">
        <f t="shared" ca="1" si="55"/>
        <v>#N/A</v>
      </c>
      <c r="AE70" s="377">
        <f t="shared" ca="1" si="34"/>
        <v>16.879008548897001</v>
      </c>
      <c r="AF70" s="344"/>
      <c r="AG70" s="359">
        <f t="shared" ca="1" si="56"/>
        <v>81.779857505029725</v>
      </c>
      <c r="AH70" s="357">
        <f t="shared" ca="1" si="57"/>
        <v>91.414608286750948</v>
      </c>
    </row>
    <row r="71" spans="1:34" x14ac:dyDescent="0.25">
      <c r="A71" s="402">
        <f t="shared" ca="1" si="35"/>
        <v>0.01</v>
      </c>
      <c r="B71" s="357">
        <f t="shared" ca="1" si="36"/>
        <v>0.67000000000000037</v>
      </c>
      <c r="C71" s="342"/>
      <c r="D71" s="359">
        <f t="shared" ca="1" si="37"/>
        <v>17.231234124300432</v>
      </c>
      <c r="E71" s="360">
        <f t="shared" ca="1" si="38"/>
        <v>79.956652037124968</v>
      </c>
      <c r="F71" s="357">
        <f t="shared" ca="1" si="39"/>
        <v>81.792307917262832</v>
      </c>
      <c r="G71" s="359">
        <f t="shared" ca="1" si="40"/>
        <v>10.226999579136567</v>
      </c>
      <c r="H71" s="360">
        <f t="shared" ca="1" si="41"/>
        <v>53.179773539510457</v>
      </c>
      <c r="I71" s="357">
        <f t="shared" ca="1" si="42"/>
        <v>54.154222680279297</v>
      </c>
      <c r="J71" s="359">
        <f t="shared" ca="1" si="43"/>
        <v>3.1999482227454195</v>
      </c>
      <c r="K71" s="360">
        <f t="shared" ca="1" si="44"/>
        <v>17.406808451690249</v>
      </c>
      <c r="L71" s="357">
        <f t="shared" ca="1" si="29"/>
        <v>17.698492848321482</v>
      </c>
      <c r="M71" s="359">
        <f t="shared" ca="1" si="45"/>
        <v>1.3808058619057761</v>
      </c>
      <c r="N71" s="357">
        <f t="shared" ca="1" si="46"/>
        <v>79.114348214124945</v>
      </c>
      <c r="O71" s="343"/>
      <c r="P71" s="363">
        <f t="shared" ca="1" si="47"/>
        <v>5</v>
      </c>
      <c r="Q71" s="357">
        <f t="shared" ca="1" si="48"/>
        <v>1028.5</v>
      </c>
      <c r="R71" s="359">
        <f t="shared" ca="1" si="49"/>
        <v>0.51520883031514741</v>
      </c>
      <c r="S71" s="360">
        <f t="shared" ca="1" si="50"/>
        <v>11.165906095705521</v>
      </c>
      <c r="T71" s="357">
        <f t="shared" ca="1" si="30"/>
        <v>109.53753879887117</v>
      </c>
      <c r="U71" s="364">
        <f t="shared" ca="1" si="31"/>
        <v>0</v>
      </c>
      <c r="V71" s="359">
        <f t="shared" ca="1" si="32"/>
        <v>1.222869520207351</v>
      </c>
      <c r="W71" s="357">
        <f t="shared" ca="1" si="33"/>
        <v>8.1175391368245879</v>
      </c>
      <c r="X71" s="343"/>
      <c r="Y71" s="367" t="str">
        <f t="shared" ca="1" si="51"/>
        <v/>
      </c>
      <c r="Z71" s="368" t="str">
        <f t="shared" ca="1" si="52"/>
        <v/>
      </c>
      <c r="AA71" s="369" t="str">
        <f t="shared" ca="1" si="53"/>
        <v/>
      </c>
      <c r="AB71" s="344"/>
      <c r="AC71" s="363" t="e">
        <f t="shared" ca="1" si="54"/>
        <v>#N/A</v>
      </c>
      <c r="AD71" s="376" t="e">
        <f t="shared" ca="1" si="55"/>
        <v>#N/A</v>
      </c>
      <c r="AE71" s="377">
        <f t="shared" ca="1" si="34"/>
        <v>17.406808451690249</v>
      </c>
      <c r="AF71" s="344"/>
      <c r="AG71" s="359">
        <f t="shared" ca="1" si="56"/>
        <v>81.771398636894659</v>
      </c>
      <c r="AH71" s="357">
        <f t="shared" ca="1" si="57"/>
        <v>91.40550994005082</v>
      </c>
    </row>
    <row r="72" spans="1:34" x14ac:dyDescent="0.25">
      <c r="A72" s="402">
        <f t="shared" ca="1" si="35"/>
        <v>0.01</v>
      </c>
      <c r="B72" s="357">
        <f t="shared" ca="1" si="36"/>
        <v>0.68000000000000038</v>
      </c>
      <c r="C72" s="342"/>
      <c r="D72" s="359">
        <f t="shared" ca="1" si="37"/>
        <v>17.260103648944579</v>
      </c>
      <c r="E72" s="360">
        <f t="shared" ca="1" si="38"/>
        <v>79.941485390874078</v>
      </c>
      <c r="F72" s="357">
        <f t="shared" ca="1" si="39"/>
        <v>81.7835696486259</v>
      </c>
      <c r="G72" s="359">
        <f t="shared" ca="1" si="40"/>
        <v>10.399600615626014</v>
      </c>
      <c r="H72" s="360">
        <f t="shared" ca="1" si="41"/>
        <v>53.9791883934192</v>
      </c>
      <c r="I72" s="357">
        <f t="shared" ca="1" si="42"/>
        <v>54.971851638604747</v>
      </c>
      <c r="J72" s="359">
        <f t="shared" ca="1" si="43"/>
        <v>3.3030812237192322</v>
      </c>
      <c r="K72" s="360">
        <f t="shared" ca="1" si="44"/>
        <v>17.942603261354897</v>
      </c>
      <c r="L72" s="357">
        <f t="shared" ca="1" si="29"/>
        <v>18.244104729058918</v>
      </c>
      <c r="M72" s="359">
        <f t="shared" ca="1" si="45"/>
        <v>1.380468850529343</v>
      </c>
      <c r="N72" s="357">
        <f t="shared" ca="1" si="46"/>
        <v>79.095038884607433</v>
      </c>
      <c r="O72" s="343"/>
      <c r="P72" s="363">
        <f t="shared" ca="1" si="47"/>
        <v>5</v>
      </c>
      <c r="Q72" s="357">
        <f t="shared" ca="1" si="48"/>
        <v>1028.1666666666667</v>
      </c>
      <c r="R72" s="359">
        <f t="shared" ca="1" si="49"/>
        <v>0.51504185289485416</v>
      </c>
      <c r="S72" s="360">
        <f t="shared" ca="1" si="50"/>
        <v>11.160755677176573</v>
      </c>
      <c r="T72" s="357">
        <f t="shared" ca="1" si="30"/>
        <v>109.48701319310219</v>
      </c>
      <c r="U72" s="364">
        <f t="shared" ca="1" si="31"/>
        <v>0</v>
      </c>
      <c r="V72" s="359">
        <f t="shared" ca="1" si="32"/>
        <v>1.2228040011972481</v>
      </c>
      <c r="W72" s="357">
        <f t="shared" ca="1" si="33"/>
        <v>8.3640611720451936</v>
      </c>
      <c r="X72" s="343"/>
      <c r="Y72" s="367" t="str">
        <f t="shared" ca="1" si="51"/>
        <v/>
      </c>
      <c r="Z72" s="368" t="str">
        <f t="shared" ca="1" si="52"/>
        <v/>
      </c>
      <c r="AA72" s="369" t="str">
        <f t="shared" ca="1" si="53"/>
        <v/>
      </c>
      <c r="AB72" s="344"/>
      <c r="AC72" s="363" t="e">
        <f t="shared" ca="1" si="54"/>
        <v>#N/A</v>
      </c>
      <c r="AD72" s="376" t="e">
        <f t="shared" ca="1" si="55"/>
        <v>#N/A</v>
      </c>
      <c r="AE72" s="377">
        <f t="shared" ca="1" si="34"/>
        <v>17.942603261354897</v>
      </c>
      <c r="AF72" s="344"/>
      <c r="AG72" s="359">
        <f t="shared" ca="1" si="56"/>
        <v>81.762583656561148</v>
      </c>
      <c r="AH72" s="357">
        <f t="shared" ca="1" si="57"/>
        <v>91.396062868378493</v>
      </c>
    </row>
    <row r="73" spans="1:34" x14ac:dyDescent="0.25">
      <c r="A73" s="402">
        <f t="shared" ca="1" si="35"/>
        <v>0.01</v>
      </c>
      <c r="B73" s="357">
        <f t="shared" ca="1" si="36"/>
        <v>0.69000000000000039</v>
      </c>
      <c r="C73" s="342"/>
      <c r="D73" s="359">
        <f t="shared" ca="1" si="37"/>
        <v>17.288496733421383</v>
      </c>
      <c r="E73" s="360">
        <f t="shared" ca="1" si="38"/>
        <v>79.926044364064182</v>
      </c>
      <c r="F73" s="357">
        <f t="shared" ca="1" si="39"/>
        <v>81.774474544248093</v>
      </c>
      <c r="G73" s="359">
        <f t="shared" ca="1" si="40"/>
        <v>10.572485582960228</v>
      </c>
      <c r="H73" s="360">
        <f t="shared" ca="1" si="41"/>
        <v>54.778448837059841</v>
      </c>
      <c r="I73" s="357">
        <f t="shared" ca="1" si="42"/>
        <v>55.789388851252745</v>
      </c>
      <c r="J73" s="359">
        <f t="shared" ca="1" si="43"/>
        <v>3.4079416547121633</v>
      </c>
      <c r="K73" s="360">
        <f t="shared" ca="1" si="44"/>
        <v>18.486391447507291</v>
      </c>
      <c r="L73" s="357">
        <f t="shared" ca="1" si="29"/>
        <v>18.797891772015099</v>
      </c>
      <c r="M73" s="359">
        <f t="shared" ca="1" si="45"/>
        <v>1.3801361957964675</v>
      </c>
      <c r="N73" s="357">
        <f t="shared" ca="1" si="46"/>
        <v>79.075979172378624</v>
      </c>
      <c r="O73" s="343"/>
      <c r="P73" s="363">
        <f t="shared" ca="1" si="47"/>
        <v>5</v>
      </c>
      <c r="Q73" s="357">
        <f t="shared" ca="1" si="48"/>
        <v>1027.8333333333333</v>
      </c>
      <c r="R73" s="359">
        <f t="shared" ca="1" si="49"/>
        <v>0.51487487547456068</v>
      </c>
      <c r="S73" s="360">
        <f t="shared" ca="1" si="50"/>
        <v>11.155606928421827</v>
      </c>
      <c r="T73" s="357">
        <f t="shared" ca="1" si="30"/>
        <v>109.43650396781813</v>
      </c>
      <c r="U73" s="364">
        <f t="shared" ca="1" si="31"/>
        <v>0</v>
      </c>
      <c r="V73" s="359">
        <f t="shared" ca="1" si="32"/>
        <v>1.2227375083130292</v>
      </c>
      <c r="W73" s="357">
        <f t="shared" ca="1" si="33"/>
        <v>8.6142220097622211</v>
      </c>
      <c r="X73" s="343"/>
      <c r="Y73" s="367" t="str">
        <f t="shared" ca="1" si="51"/>
        <v/>
      </c>
      <c r="Z73" s="368" t="str">
        <f t="shared" ca="1" si="52"/>
        <v/>
      </c>
      <c r="AA73" s="369" t="str">
        <f t="shared" ca="1" si="53"/>
        <v/>
      </c>
      <c r="AB73" s="344"/>
      <c r="AC73" s="363" t="e">
        <f t="shared" ca="1" si="54"/>
        <v>#N/A</v>
      </c>
      <c r="AD73" s="376" t="e">
        <f t="shared" ca="1" si="55"/>
        <v>#N/A</v>
      </c>
      <c r="AE73" s="377">
        <f t="shared" ca="1" si="34"/>
        <v>18.486391447507291</v>
      </c>
      <c r="AF73" s="344"/>
      <c r="AG73" s="359">
        <f t="shared" ca="1" si="56"/>
        <v>81.75341258442657</v>
      </c>
      <c r="AH73" s="357">
        <f t="shared" ca="1" si="57"/>
        <v>91.386266897224871</v>
      </c>
    </row>
    <row r="74" spans="1:34" x14ac:dyDescent="0.25">
      <c r="A74" s="402">
        <f t="shared" ca="1" si="35"/>
        <v>0.01</v>
      </c>
      <c r="B74" s="357">
        <f t="shared" ca="1" si="36"/>
        <v>0.7000000000000004</v>
      </c>
      <c r="C74" s="342"/>
      <c r="D74" s="359">
        <f t="shared" ca="1" si="37"/>
        <v>17.316424339411064</v>
      </c>
      <c r="E74" s="360">
        <f t="shared" ca="1" si="38"/>
        <v>79.91032709565107</v>
      </c>
      <c r="F74" s="357">
        <f t="shared" ca="1" si="39"/>
        <v>81.765022646829209</v>
      </c>
      <c r="G74" s="359">
        <f t="shared" ca="1" si="40"/>
        <v>10.745649826354338</v>
      </c>
      <c r="H74" s="360">
        <f t="shared" ca="1" si="41"/>
        <v>55.577552108016349</v>
      </c>
      <c r="I74" s="357">
        <f t="shared" ca="1" si="42"/>
        <v>56.606830758397891</v>
      </c>
      <c r="J74" s="359">
        <f t="shared" ca="1" si="43"/>
        <v>3.514532331758736</v>
      </c>
      <c r="K74" s="360">
        <f t="shared" ca="1" si="44"/>
        <v>19.038171452232671</v>
      </c>
      <c r="L74" s="357">
        <f t="shared" ca="1" si="29"/>
        <v>19.359853040650503</v>
      </c>
      <c r="M74" s="359">
        <f t="shared" ca="1" si="45"/>
        <v>1.3798077787643392</v>
      </c>
      <c r="N74" s="357">
        <f t="shared" ca="1" si="46"/>
        <v>79.057162262517451</v>
      </c>
      <c r="O74" s="343"/>
      <c r="P74" s="363">
        <f t="shared" ca="1" si="47"/>
        <v>5</v>
      </c>
      <c r="Q74" s="357">
        <f t="shared" ca="1" si="48"/>
        <v>1027.5</v>
      </c>
      <c r="R74" s="359">
        <f t="shared" ca="1" si="49"/>
        <v>0.51470789805426742</v>
      </c>
      <c r="S74" s="360">
        <f t="shared" ca="1" si="50"/>
        <v>11.150459849441285</v>
      </c>
      <c r="T74" s="357">
        <f t="shared" ca="1" si="30"/>
        <v>109.38601112301902</v>
      </c>
      <c r="U74" s="364">
        <f t="shared" ca="1" si="31"/>
        <v>0</v>
      </c>
      <c r="V74" s="359">
        <f t="shared" ca="1" si="32"/>
        <v>1.2226700419041867</v>
      </c>
      <c r="W74" s="357">
        <f t="shared" ca="1" si="33"/>
        <v>8.8680180937789768</v>
      </c>
      <c r="X74" s="343"/>
      <c r="Y74" s="367" t="str">
        <f t="shared" ca="1" si="51"/>
        <v/>
      </c>
      <c r="Z74" s="368" t="str">
        <f t="shared" ca="1" si="52"/>
        <v/>
      </c>
      <c r="AA74" s="369" t="str">
        <f t="shared" ca="1" si="53"/>
        <v/>
      </c>
      <c r="AB74" s="344"/>
      <c r="AC74" s="363" t="e">
        <f t="shared" ca="1" si="54"/>
        <v>#N/A</v>
      </c>
      <c r="AD74" s="376" t="e">
        <f t="shared" ca="1" si="55"/>
        <v>#N/A</v>
      </c>
      <c r="AE74" s="377">
        <f t="shared" ca="1" si="34"/>
        <v>19.038171452232671</v>
      </c>
      <c r="AF74" s="344"/>
      <c r="AG74" s="359">
        <f t="shared" ca="1" si="56"/>
        <v>81.74388544025571</v>
      </c>
      <c r="AH74" s="357">
        <f t="shared" ca="1" si="57"/>
        <v>91.376121859341168</v>
      </c>
    </row>
    <row r="75" spans="1:34" x14ac:dyDescent="0.25">
      <c r="A75" s="402">
        <f t="shared" ca="1" si="35"/>
        <v>0.01</v>
      </c>
      <c r="B75" s="357">
        <f t="shared" ca="1" si="36"/>
        <v>0.71000000000000041</v>
      </c>
      <c r="C75" s="342"/>
      <c r="D75" s="359">
        <f t="shared" ca="1" si="37"/>
        <v>17.343896966933105</v>
      </c>
      <c r="E75" s="360">
        <f t="shared" ca="1" si="38"/>
        <v>79.894331800548088</v>
      </c>
      <c r="F75" s="357">
        <f t="shared" ca="1" si="39"/>
        <v>81.75521399798096</v>
      </c>
      <c r="G75" s="359">
        <f t="shared" ca="1" si="40"/>
        <v>10.919088796023669</v>
      </c>
      <c r="H75" s="360">
        <f t="shared" ca="1" si="41"/>
        <v>56.376495426021826</v>
      </c>
      <c r="I75" s="357">
        <f t="shared" ca="1" si="42"/>
        <v>57.4241738003753</v>
      </c>
      <c r="J75" s="359">
        <f t="shared" ca="1" si="43"/>
        <v>3.6228560248706261</v>
      </c>
      <c r="K75" s="360">
        <f t="shared" ca="1" si="44"/>
        <v>19.597941689902861</v>
      </c>
      <c r="L75" s="357">
        <f t="shared" ca="1" si="29"/>
        <v>19.929987562910668</v>
      </c>
      <c r="M75" s="359">
        <f t="shared" ca="1" si="45"/>
        <v>1.3794834853698072</v>
      </c>
      <c r="N75" s="357">
        <f t="shared" ca="1" si="46"/>
        <v>79.038581619686795</v>
      </c>
      <c r="O75" s="343"/>
      <c r="P75" s="363">
        <f t="shared" ca="1" si="47"/>
        <v>5</v>
      </c>
      <c r="Q75" s="357">
        <f t="shared" ca="1" si="48"/>
        <v>1027.1666666666667</v>
      </c>
      <c r="R75" s="359">
        <f t="shared" ca="1" si="49"/>
        <v>0.51454092063397405</v>
      </c>
      <c r="S75" s="360">
        <f t="shared" ca="1" si="50"/>
        <v>11.145314440234944</v>
      </c>
      <c r="T75" s="357">
        <f t="shared" ca="1" si="30"/>
        <v>109.33553465870482</v>
      </c>
      <c r="U75" s="364">
        <f t="shared" ca="1" si="31"/>
        <v>0</v>
      </c>
      <c r="V75" s="359">
        <f t="shared" ca="1" si="32"/>
        <v>1.2226016023258754</v>
      </c>
      <c r="W75" s="357">
        <f t="shared" ca="1" si="33"/>
        <v>9.1254457869913885</v>
      </c>
      <c r="X75" s="343"/>
      <c r="Y75" s="367" t="str">
        <f t="shared" ca="1" si="51"/>
        <v/>
      </c>
      <c r="Z75" s="368" t="str">
        <f t="shared" ca="1" si="52"/>
        <v/>
      </c>
      <c r="AA75" s="369" t="str">
        <f t="shared" ca="1" si="53"/>
        <v/>
      </c>
      <c r="AB75" s="344"/>
      <c r="AC75" s="363" t="e">
        <f t="shared" ca="1" si="54"/>
        <v>#N/A</v>
      </c>
      <c r="AD75" s="376" t="e">
        <f t="shared" ca="1" si="55"/>
        <v>#N/A</v>
      </c>
      <c r="AE75" s="377">
        <f t="shared" ca="1" si="34"/>
        <v>19.597941689902861</v>
      </c>
      <c r="AF75" s="344"/>
      <c r="AG75" s="359">
        <f t="shared" ca="1" si="56"/>
        <v>81.734002243620537</v>
      </c>
      <c r="AH75" s="357">
        <f t="shared" ca="1" si="57"/>
        <v>91.365627594749299</v>
      </c>
    </row>
    <row r="76" spans="1:34" x14ac:dyDescent="0.25">
      <c r="A76" s="402">
        <f t="shared" ca="1" si="35"/>
        <v>0.01</v>
      </c>
      <c r="B76" s="357">
        <f t="shared" ca="1" si="36"/>
        <v>0.72000000000000042</v>
      </c>
      <c r="C76" s="342"/>
      <c r="D76" s="359">
        <f t="shared" ca="1" si="37"/>
        <v>17.369486660256307</v>
      </c>
      <c r="E76" s="360">
        <f t="shared" ca="1" si="38"/>
        <v>79.870632106489154</v>
      </c>
      <c r="F76" s="357">
        <f t="shared" ca="1" si="39"/>
        <v>81.737487971743775</v>
      </c>
      <c r="G76" s="359">
        <f t="shared" ca="1" si="40"/>
        <v>11.092783662626232</v>
      </c>
      <c r="H76" s="360">
        <f t="shared" ca="1" si="41"/>
        <v>57.175201747086717</v>
      </c>
      <c r="I76" s="357">
        <f t="shared" ca="1" si="42"/>
        <v>58.241338791324978</v>
      </c>
      <c r="J76" s="359">
        <f t="shared" ca="1" si="43"/>
        <v>3.7329153871638754</v>
      </c>
      <c r="K76" s="360">
        <f t="shared" ca="1" si="44"/>
        <v>20.165700175768404</v>
      </c>
      <c r="L76" s="357">
        <f t="shared" ca="1" si="29"/>
        <v>20.508293953098843</v>
      </c>
      <c r="M76" s="359">
        <f t="shared" ca="1" si="45"/>
        <v>1.3791632057475569</v>
      </c>
      <c r="N76" s="357">
        <f t="shared" ca="1" si="46"/>
        <v>79.020230949067809</v>
      </c>
      <c r="O76" s="343"/>
      <c r="P76" s="363">
        <f t="shared" ca="1" si="47"/>
        <v>6</v>
      </c>
      <c r="Q76" s="357">
        <f t="shared" ca="1" si="48"/>
        <v>1026.7491228070176</v>
      </c>
      <c r="R76" s="359">
        <f t="shared" ca="1" si="49"/>
        <v>0.51433175944434339</v>
      </c>
      <c r="S76" s="360">
        <f t="shared" ca="1" si="50"/>
        <v>11.140171122640501</v>
      </c>
      <c r="T76" s="357">
        <f t="shared" ca="1" si="30"/>
        <v>109.28507871310332</v>
      </c>
      <c r="U76" s="364">
        <f t="shared" ca="1" si="31"/>
        <v>0</v>
      </c>
      <c r="V76" s="359">
        <f t="shared" ca="1" si="32"/>
        <v>1.222532189984312</v>
      </c>
      <c r="W76" s="357">
        <f t="shared" ca="1" si="33"/>
        <v>9.3864769951236706</v>
      </c>
      <c r="X76" s="343"/>
      <c r="Y76" s="367" t="str">
        <f t="shared" ca="1" si="51"/>
        <v/>
      </c>
      <c r="Z76" s="368" t="str">
        <f t="shared" ca="1" si="52"/>
        <v/>
      </c>
      <c r="AA76" s="369" t="str">
        <f t="shared" ca="1" si="53"/>
        <v/>
      </c>
      <c r="AB76" s="344"/>
      <c r="AC76" s="363" t="e">
        <f t="shared" ca="1" si="54"/>
        <v>#N/A</v>
      </c>
      <c r="AD76" s="376" t="e">
        <f t="shared" ca="1" si="55"/>
        <v>#N/A</v>
      </c>
      <c r="AE76" s="377">
        <f t="shared" ca="1" si="34"/>
        <v>20.165700175768404</v>
      </c>
      <c r="AF76" s="344"/>
      <c r="AG76" s="359">
        <f t="shared" ca="1" si="56"/>
        <v>81.716200377949136</v>
      </c>
      <c r="AH76" s="357">
        <f t="shared" ca="1" si="57"/>
        <v>91.347221314390708</v>
      </c>
    </row>
    <row r="77" spans="1:34" x14ac:dyDescent="0.25">
      <c r="A77" s="402">
        <f t="shared" ca="1" si="35"/>
        <v>0.01</v>
      </c>
      <c r="B77" s="357">
        <f t="shared" ca="1" si="36"/>
        <v>0.73000000000000043</v>
      </c>
      <c r="C77" s="342"/>
      <c r="D77" s="359">
        <f t="shared" ca="1" si="37"/>
        <v>17.393193738115588</v>
      </c>
      <c r="E77" s="360">
        <f t="shared" ca="1" si="38"/>
        <v>79.839216215534208</v>
      </c>
      <c r="F77" s="357">
        <f t="shared" ca="1" si="39"/>
        <v>81.711832890484374</v>
      </c>
      <c r="G77" s="359">
        <f t="shared" ca="1" si="40"/>
        <v>11.266715600007387</v>
      </c>
      <c r="H77" s="360">
        <f t="shared" ca="1" si="41"/>
        <v>57.973593909242062</v>
      </c>
      <c r="I77" s="357">
        <f t="shared" ca="1" si="42"/>
        <v>59.058246428125159</v>
      </c>
      <c r="J77" s="359">
        <f t="shared" ca="1" si="43"/>
        <v>3.8447128834770434</v>
      </c>
      <c r="K77" s="360">
        <f t="shared" ca="1" si="44"/>
        <v>20.741444154050047</v>
      </c>
      <c r="L77" s="357">
        <f t="shared" ca="1" si="29"/>
        <v>21.094770033161094</v>
      </c>
      <c r="M77" s="359">
        <f t="shared" ca="1" si="45"/>
        <v>1.3788468340238691</v>
      </c>
      <c r="N77" s="357">
        <f t="shared" ca="1" si="46"/>
        <v>79.002104184543228</v>
      </c>
      <c r="O77" s="343"/>
      <c r="P77" s="363">
        <f t="shared" ca="1" si="47"/>
        <v>6</v>
      </c>
      <c r="Q77" s="357">
        <f t="shared" ca="1" si="48"/>
        <v>1026.2473684210527</v>
      </c>
      <c r="R77" s="359">
        <f t="shared" ca="1" si="49"/>
        <v>0.51408041448537556</v>
      </c>
      <c r="S77" s="360">
        <f t="shared" ca="1" si="50"/>
        <v>11.135030318495646</v>
      </c>
      <c r="T77" s="357">
        <f t="shared" ca="1" si="30"/>
        <v>109.2346474244423</v>
      </c>
      <c r="U77" s="364">
        <f t="shared" ca="1" si="31"/>
        <v>0</v>
      </c>
      <c r="V77" s="359">
        <f t="shared" ca="1" si="32"/>
        <v>1.2224618053822249</v>
      </c>
      <c r="W77" s="357">
        <f t="shared" ca="1" si="33"/>
        <v>9.651082143375227</v>
      </c>
      <c r="X77" s="343"/>
      <c r="Y77" s="367" t="str">
        <f t="shared" ca="1" si="51"/>
        <v/>
      </c>
      <c r="Z77" s="368" t="str">
        <f t="shared" ca="1" si="52"/>
        <v/>
      </c>
      <c r="AA77" s="369" t="str">
        <f t="shared" ca="1" si="53"/>
        <v/>
      </c>
      <c r="AB77" s="344"/>
      <c r="AC77" s="363" t="e">
        <f t="shared" ca="1" si="54"/>
        <v>#N/A</v>
      </c>
      <c r="AD77" s="376" t="e">
        <f t="shared" ca="1" si="55"/>
        <v>#N/A</v>
      </c>
      <c r="AE77" s="377">
        <f t="shared" ca="1" si="34"/>
        <v>20.741444154050047</v>
      </c>
      <c r="AF77" s="344"/>
      <c r="AG77" s="359">
        <f t="shared" ca="1" si="56"/>
        <v>81.690468119873884</v>
      </c>
      <c r="AH77" s="357">
        <f t="shared" ca="1" si="57"/>
        <v>91.320891128324106</v>
      </c>
    </row>
    <row r="78" spans="1:34" x14ac:dyDescent="0.25">
      <c r="A78" s="402">
        <f t="shared" ca="1" si="35"/>
        <v>0.01</v>
      </c>
      <c r="B78" s="357">
        <f t="shared" ca="1" si="36"/>
        <v>0.74000000000000044</v>
      </c>
      <c r="C78" s="342"/>
      <c r="D78" s="359">
        <f t="shared" ca="1" si="37"/>
        <v>17.416462424263521</v>
      </c>
      <c r="E78" s="360">
        <f t="shared" ca="1" si="38"/>
        <v>79.807503074202515</v>
      </c>
      <c r="F78" s="357">
        <f t="shared" ca="1" si="39"/>
        <v>81.685804827489008</v>
      </c>
      <c r="G78" s="359">
        <f t="shared" ca="1" si="40"/>
        <v>11.440880224250023</v>
      </c>
      <c r="H78" s="360">
        <f t="shared" ca="1" si="41"/>
        <v>58.771668939984089</v>
      </c>
      <c r="I78" s="357">
        <f t="shared" ca="1" si="42"/>
        <v>59.874892987768469</v>
      </c>
      <c r="J78" s="359">
        <f t="shared" ca="1" si="43"/>
        <v>3.9582508625983306</v>
      </c>
      <c r="K78" s="360">
        <f t="shared" ca="1" si="44"/>
        <v>21.325170468296179</v>
      </c>
      <c r="L78" s="357">
        <f t="shared" ca="1" si="29"/>
        <v>21.689413209977626</v>
      </c>
      <c r="M78" s="359">
        <f t="shared" ca="1" si="45"/>
        <v>1.37853426851804</v>
      </c>
      <c r="N78" s="357">
        <f t="shared" ca="1" si="46"/>
        <v>78.984195500237846</v>
      </c>
      <c r="O78" s="343"/>
      <c r="P78" s="363">
        <f t="shared" ca="1" si="47"/>
        <v>6</v>
      </c>
      <c r="Q78" s="357">
        <f t="shared" ca="1" si="48"/>
        <v>1025.7456140350878</v>
      </c>
      <c r="R78" s="359">
        <f t="shared" ca="1" si="49"/>
        <v>0.51382906952640761</v>
      </c>
      <c r="S78" s="360">
        <f t="shared" ca="1" si="50"/>
        <v>11.129892027800382</v>
      </c>
      <c r="T78" s="357">
        <f t="shared" ca="1" si="30"/>
        <v>109.18424079272175</v>
      </c>
      <c r="U78" s="364">
        <f t="shared" ca="1" si="31"/>
        <v>0</v>
      </c>
      <c r="V78" s="359">
        <f t="shared" ca="1" si="32"/>
        <v>1.2223904490735515</v>
      </c>
      <c r="W78" s="357">
        <f t="shared" ca="1" si="33"/>
        <v>9.9192552561192429</v>
      </c>
      <c r="X78" s="343"/>
      <c r="Y78" s="367" t="str">
        <f t="shared" ca="1" si="51"/>
        <v/>
      </c>
      <c r="Z78" s="368" t="str">
        <f t="shared" ca="1" si="52"/>
        <v/>
      </c>
      <c r="AA78" s="369" t="str">
        <f t="shared" ca="1" si="53"/>
        <v/>
      </c>
      <c r="AB78" s="344"/>
      <c r="AC78" s="363" t="e">
        <f t="shared" ca="1" si="54"/>
        <v>#N/A</v>
      </c>
      <c r="AD78" s="376" t="e">
        <f t="shared" ca="1" si="55"/>
        <v>#N/A</v>
      </c>
      <c r="AE78" s="377">
        <f t="shared" ca="1" si="34"/>
        <v>21.325170468296179</v>
      </c>
      <c r="AF78" s="344"/>
      <c r="AG78" s="359">
        <f t="shared" ca="1" si="56"/>
        <v>81.664363483877054</v>
      </c>
      <c r="AH78" s="357">
        <f t="shared" ca="1" si="57"/>
        <v>91.29419489009409</v>
      </c>
    </row>
    <row r="79" spans="1:34" x14ac:dyDescent="0.25">
      <c r="A79" s="402">
        <f t="shared" ca="1" si="35"/>
        <v>0.01</v>
      </c>
      <c r="B79" s="357">
        <f t="shared" ca="1" si="36"/>
        <v>0.75000000000000044</v>
      </c>
      <c r="C79" s="342"/>
      <c r="D79" s="359">
        <f t="shared" ca="1" si="37"/>
        <v>17.439301866421538</v>
      </c>
      <c r="E79" s="360">
        <f t="shared" ca="1" si="38"/>
        <v>79.775491303835409</v>
      </c>
      <c r="F79" s="357">
        <f t="shared" ca="1" si="39"/>
        <v>81.659404004416373</v>
      </c>
      <c r="G79" s="359">
        <f t="shared" ca="1" si="40"/>
        <v>11.615273242914238</v>
      </c>
      <c r="H79" s="360">
        <f t="shared" ca="1" si="41"/>
        <v>59.569423853022442</v>
      </c>
      <c r="I79" s="357">
        <f t="shared" ca="1" si="42"/>
        <v>60.6912747492471</v>
      </c>
      <c r="J79" s="359">
        <f t="shared" ca="1" si="43"/>
        <v>4.073531629934152</v>
      </c>
      <c r="K79" s="360">
        <f t="shared" ca="1" si="44"/>
        <v>21.91687593226121</v>
      </c>
      <c r="L79" s="357">
        <f t="shared" ca="1" si="29"/>
        <v>22.292220853252925</v>
      </c>
      <c r="M79" s="359">
        <f t="shared" ca="1" si="45"/>
        <v>1.378225411521701</v>
      </c>
      <c r="N79" s="357">
        <f t="shared" ca="1" si="46"/>
        <v>78.966499297874535</v>
      </c>
      <c r="O79" s="343"/>
      <c r="P79" s="363">
        <f t="shared" ca="1" si="47"/>
        <v>6</v>
      </c>
      <c r="Q79" s="357">
        <f t="shared" ca="1" si="48"/>
        <v>1025.2438596491227</v>
      </c>
      <c r="R79" s="359">
        <f t="shared" ca="1" si="49"/>
        <v>0.51357772456743966</v>
      </c>
      <c r="S79" s="360">
        <f t="shared" ca="1" si="50"/>
        <v>11.124756250554707</v>
      </c>
      <c r="T79" s="357">
        <f t="shared" ca="1" si="30"/>
        <v>109.13385881794169</v>
      </c>
      <c r="U79" s="364">
        <f t="shared" ca="1" si="31"/>
        <v>0</v>
      </c>
      <c r="V79" s="359">
        <f t="shared" ca="1" si="32"/>
        <v>1.2223181216180863</v>
      </c>
      <c r="W79" s="357">
        <f t="shared" ca="1" si="33"/>
        <v>10.190990276653741</v>
      </c>
      <c r="X79" s="343"/>
      <c r="Y79" s="367" t="str">
        <f t="shared" ca="1" si="51"/>
        <v/>
      </c>
      <c r="Z79" s="368" t="str">
        <f t="shared" ca="1" si="52"/>
        <v/>
      </c>
      <c r="AA79" s="369" t="str">
        <f t="shared" ca="1" si="53"/>
        <v/>
      </c>
      <c r="AB79" s="344"/>
      <c r="AC79" s="363" t="e">
        <f t="shared" ca="1" si="54"/>
        <v>#N/A</v>
      </c>
      <c r="AD79" s="376" t="e">
        <f t="shared" ca="1" si="55"/>
        <v>#N/A</v>
      </c>
      <c r="AE79" s="377">
        <f t="shared" ca="1" si="34"/>
        <v>21.91687593226121</v>
      </c>
      <c r="AF79" s="344"/>
      <c r="AG79" s="359">
        <f t="shared" ca="1" si="56"/>
        <v>81.637886672806587</v>
      </c>
      <c r="AH79" s="357">
        <f t="shared" ca="1" si="57"/>
        <v>91.267132647726726</v>
      </c>
    </row>
    <row r="80" spans="1:34" x14ac:dyDescent="0.25">
      <c r="A80" s="402">
        <f t="shared" ca="1" si="35"/>
        <v>0.01</v>
      </c>
      <c r="B80" s="357">
        <f t="shared" ca="1" si="36"/>
        <v>0.76000000000000045</v>
      </c>
      <c r="C80" s="342"/>
      <c r="D80" s="359">
        <f t="shared" ca="1" si="37"/>
        <v>17.461720852804916</v>
      </c>
      <c r="E80" s="360">
        <f t="shared" ca="1" si="38"/>
        <v>79.74317958778532</v>
      </c>
      <c r="F80" s="357">
        <f t="shared" ca="1" si="39"/>
        <v>81.632630644314432</v>
      </c>
      <c r="G80" s="359">
        <f t="shared" ca="1" si="40"/>
        <v>11.789890451442288</v>
      </c>
      <c r="H80" s="360">
        <f t="shared" ca="1" si="41"/>
        <v>60.366855648900298</v>
      </c>
      <c r="I80" s="357">
        <f t="shared" ca="1" si="42"/>
        <v>61.507387993575016</v>
      </c>
      <c r="J80" s="359">
        <f t="shared" ca="1" si="43"/>
        <v>4.1905574484059347</v>
      </c>
      <c r="K80" s="360">
        <f t="shared" ca="1" si="44"/>
        <v>22.516557329770823</v>
      </c>
      <c r="L80" s="357">
        <f t="shared" ca="1" si="29"/>
        <v>22.903190295529718</v>
      </c>
      <c r="M80" s="359">
        <f t="shared" ca="1" si="45"/>
        <v>1.3779201690925498</v>
      </c>
      <c r="N80" s="357">
        <f t="shared" ca="1" si="46"/>
        <v>78.949010194955846</v>
      </c>
      <c r="O80" s="343"/>
      <c r="P80" s="363">
        <f t="shared" ca="1" si="47"/>
        <v>6</v>
      </c>
      <c r="Q80" s="357">
        <f t="shared" ca="1" si="48"/>
        <v>1024.7421052631578</v>
      </c>
      <c r="R80" s="359">
        <f t="shared" ca="1" si="49"/>
        <v>0.51332637960847183</v>
      </c>
      <c r="S80" s="360">
        <f t="shared" ca="1" si="50"/>
        <v>11.119622986758623</v>
      </c>
      <c r="T80" s="357">
        <f t="shared" ca="1" si="30"/>
        <v>109.0835015001021</v>
      </c>
      <c r="U80" s="364">
        <f t="shared" ca="1" si="31"/>
        <v>0</v>
      </c>
      <c r="V80" s="359">
        <f t="shared" ca="1" si="32"/>
        <v>1.2222448235814922</v>
      </c>
      <c r="W80" s="357">
        <f t="shared" ca="1" si="33"/>
        <v>10.466281067388696</v>
      </c>
      <c r="X80" s="343"/>
      <c r="Y80" s="367" t="str">
        <f t="shared" ca="1" si="51"/>
        <v/>
      </c>
      <c r="Z80" s="368" t="str">
        <f t="shared" ca="1" si="52"/>
        <v/>
      </c>
      <c r="AA80" s="369" t="str">
        <f t="shared" ca="1" si="53"/>
        <v/>
      </c>
      <c r="AB80" s="344"/>
      <c r="AC80" s="363" t="e">
        <f t="shared" ca="1" si="54"/>
        <v>#N/A</v>
      </c>
      <c r="AD80" s="376" t="e">
        <f t="shared" ca="1" si="55"/>
        <v>#N/A</v>
      </c>
      <c r="AE80" s="377">
        <f t="shared" ca="1" si="34"/>
        <v>22.516557329770823</v>
      </c>
      <c r="AF80" s="344"/>
      <c r="AG80" s="359">
        <f t="shared" ca="1" si="56"/>
        <v>81.611037891583237</v>
      </c>
      <c r="AH80" s="357">
        <f t="shared" ca="1" si="57"/>
        <v>91.239704457124432</v>
      </c>
    </row>
    <row r="81" spans="1:34" x14ac:dyDescent="0.25">
      <c r="A81" s="402">
        <f t="shared" ca="1" si="35"/>
        <v>0.01</v>
      </c>
      <c r="B81" s="357">
        <f t="shared" ca="1" si="36"/>
        <v>0.77000000000000046</v>
      </c>
      <c r="C81" s="342"/>
      <c r="D81" s="359">
        <f t="shared" ca="1" si="37"/>
        <v>17.483727830934317</v>
      </c>
      <c r="E81" s="360">
        <f t="shared" ca="1" si="38"/>
        <v>79.710566668671532</v>
      </c>
      <c r="F81" s="357">
        <f t="shared" ca="1" si="39"/>
        <v>81.605484971948528</v>
      </c>
      <c r="G81" s="359">
        <f t="shared" ca="1" si="40"/>
        <v>11.964727729751631</v>
      </c>
      <c r="H81" s="360">
        <f t="shared" ca="1" si="41"/>
        <v>61.163961315587017</v>
      </c>
      <c r="I81" s="357">
        <f t="shared" ca="1" si="42"/>
        <v>62.323229003812962</v>
      </c>
      <c r="J81" s="359">
        <f t="shared" ca="1" si="43"/>
        <v>4.3093305393119046</v>
      </c>
      <c r="K81" s="360">
        <f t="shared" ca="1" si="44"/>
        <v>23.124211414593258</v>
      </c>
      <c r="L81" s="357">
        <f t="shared" ca="1" si="29"/>
        <v>23.522318832203837</v>
      </c>
      <c r="M81" s="359">
        <f t="shared" ca="1" si="45"/>
        <v>1.3776184508613725</v>
      </c>
      <c r="N81" s="357">
        <f t="shared" ca="1" si="46"/>
        <v>78.931723013707227</v>
      </c>
      <c r="O81" s="343"/>
      <c r="P81" s="363">
        <f t="shared" ca="1" si="47"/>
        <v>6</v>
      </c>
      <c r="Q81" s="357">
        <f t="shared" ca="1" si="48"/>
        <v>1024.2403508771929</v>
      </c>
      <c r="R81" s="359">
        <f t="shared" ca="1" si="49"/>
        <v>0.51307503464950388</v>
      </c>
      <c r="S81" s="360">
        <f t="shared" ca="1" si="50"/>
        <v>11.114492236412127</v>
      </c>
      <c r="T81" s="357">
        <f t="shared" ca="1" si="30"/>
        <v>109.03316883920297</v>
      </c>
      <c r="U81" s="364">
        <f t="shared" ca="1" si="31"/>
        <v>0</v>
      </c>
      <c r="V81" s="359">
        <f t="shared" ca="1" si="32"/>
        <v>1.2221705555353117</v>
      </c>
      <c r="W81" s="357">
        <f t="shared" ca="1" si="33"/>
        <v>10.745121410036367</v>
      </c>
      <c r="X81" s="343"/>
      <c r="Y81" s="367" t="str">
        <f t="shared" ca="1" si="51"/>
        <v/>
      </c>
      <c r="Z81" s="368" t="str">
        <f t="shared" ca="1" si="52"/>
        <v/>
      </c>
      <c r="AA81" s="369" t="str">
        <f t="shared" ca="1" si="53"/>
        <v/>
      </c>
      <c r="AB81" s="344"/>
      <c r="AC81" s="363" t="e">
        <f t="shared" ca="1" si="54"/>
        <v>#N/A</v>
      </c>
      <c r="AD81" s="376" t="e">
        <f t="shared" ca="1" si="55"/>
        <v>#N/A</v>
      </c>
      <c r="AE81" s="377">
        <f t="shared" ca="1" si="34"/>
        <v>23.124211414593258</v>
      </c>
      <c r="AF81" s="344"/>
      <c r="AG81" s="359">
        <f t="shared" ca="1" si="56"/>
        <v>81.583817347494261</v>
      </c>
      <c r="AH81" s="357">
        <f t="shared" ca="1" si="57"/>
        <v>91.21191038206716</v>
      </c>
    </row>
    <row r="82" spans="1:34" x14ac:dyDescent="0.25">
      <c r="A82" s="402">
        <f t="shared" ca="1" si="35"/>
        <v>0.01</v>
      </c>
      <c r="B82" s="357">
        <f t="shared" ca="1" si="36"/>
        <v>0.78000000000000047</v>
      </c>
      <c r="C82" s="342"/>
      <c r="D82" s="359">
        <f t="shared" ca="1" si="37"/>
        <v>17.505330925233682</v>
      </c>
      <c r="E82" s="360">
        <f t="shared" ca="1" si="38"/>
        <v>79.677651345808599</v>
      </c>
      <c r="F82" s="357">
        <f t="shared" ca="1" si="39"/>
        <v>81.577967214108597</v>
      </c>
      <c r="G82" s="359">
        <f t="shared" ca="1" si="40"/>
        <v>12.139781039003969</v>
      </c>
      <c r="H82" s="360">
        <f t="shared" ca="1" si="41"/>
        <v>61.960737829045101</v>
      </c>
      <c r="I82" s="357">
        <f t="shared" ca="1" si="42"/>
        <v>63.13879406509615</v>
      </c>
      <c r="J82" s="359">
        <f t="shared" ca="1" si="43"/>
        <v>4.4298530831556828</v>
      </c>
      <c r="K82" s="360">
        <f t="shared" ca="1" si="44"/>
        <v>23.739834910316418</v>
      </c>
      <c r="L82" s="357">
        <f t="shared" ca="1" si="29"/>
        <v>24.149603721540068</v>
      </c>
      <c r="M82" s="359">
        <f t="shared" ca="1" si="45"/>
        <v>1.3773201698513409</v>
      </c>
      <c r="N82" s="357">
        <f t="shared" ca="1" si="46"/>
        <v>78.914632770723514</v>
      </c>
      <c r="O82" s="343"/>
      <c r="P82" s="363">
        <f t="shared" ca="1" si="47"/>
        <v>6</v>
      </c>
      <c r="Q82" s="357">
        <f t="shared" ca="1" si="48"/>
        <v>1023.738596491228</v>
      </c>
      <c r="R82" s="359">
        <f t="shared" ca="1" si="49"/>
        <v>0.51282368969053604</v>
      </c>
      <c r="S82" s="360">
        <f t="shared" ca="1" si="50"/>
        <v>11.109363999515223</v>
      </c>
      <c r="T82" s="357">
        <f t="shared" ca="1" si="30"/>
        <v>108.98286083524434</v>
      </c>
      <c r="U82" s="364">
        <f t="shared" ca="1" si="31"/>
        <v>0</v>
      </c>
      <c r="V82" s="359">
        <f t="shared" ca="1" si="32"/>
        <v>1.222095318056976</v>
      </c>
      <c r="W82" s="357">
        <f t="shared" ca="1" si="33"/>
        <v>11.027505005804922</v>
      </c>
      <c r="X82" s="343"/>
      <c r="Y82" s="367" t="str">
        <f t="shared" ca="1" si="51"/>
        <v/>
      </c>
      <c r="Z82" s="368" t="str">
        <f t="shared" ca="1" si="52"/>
        <v/>
      </c>
      <c r="AA82" s="369" t="str">
        <f t="shared" ca="1" si="53"/>
        <v/>
      </c>
      <c r="AB82" s="344"/>
      <c r="AC82" s="363" t="e">
        <f t="shared" ca="1" si="54"/>
        <v>#N/A</v>
      </c>
      <c r="AD82" s="376" t="e">
        <f t="shared" ca="1" si="55"/>
        <v>#N/A</v>
      </c>
      <c r="AE82" s="377">
        <f t="shared" ca="1" si="34"/>
        <v>23.739834910316418</v>
      </c>
      <c r="AF82" s="344"/>
      <c r="AG82" s="359">
        <f t="shared" ca="1" si="56"/>
        <v>81.556225250468316</v>
      </c>
      <c r="AH82" s="357">
        <f t="shared" ca="1" si="57"/>
        <v>91.183750494213299</v>
      </c>
    </row>
    <row r="83" spans="1:34" x14ac:dyDescent="0.25">
      <c r="A83" s="402">
        <f t="shared" ca="1" si="35"/>
        <v>0.01</v>
      </c>
      <c r="B83" s="357">
        <f t="shared" ca="1" si="36"/>
        <v>0.79000000000000048</v>
      </c>
      <c r="C83" s="342"/>
      <c r="D83" s="359">
        <f t="shared" ca="1" si="37"/>
        <v>17.526537953507589</v>
      </c>
      <c r="E83" s="360">
        <f t="shared" ca="1" si="38"/>
        <v>79.644432472794492</v>
      </c>
      <c r="F83" s="357">
        <f t="shared" ca="1" si="39"/>
        <v>81.55007759989725</v>
      </c>
      <c r="G83" s="359">
        <f t="shared" ca="1" si="40"/>
        <v>12.315046418539046</v>
      </c>
      <c r="H83" s="360">
        <f t="shared" ca="1" si="41"/>
        <v>62.757182153773044</v>
      </c>
      <c r="I83" s="357">
        <f t="shared" ca="1" si="42"/>
        <v>63.954079464664495</v>
      </c>
      <c r="J83" s="359">
        <f t="shared" ca="1" si="43"/>
        <v>4.5521272204433982</v>
      </c>
      <c r="K83" s="360">
        <f t="shared" ca="1" si="44"/>
        <v>24.363424510230509</v>
      </c>
      <c r="L83" s="357">
        <f t="shared" ca="1" si="29"/>
        <v>24.785042184688781</v>
      </c>
      <c r="M83" s="359">
        <f t="shared" ca="1" si="45"/>
        <v>1.3770252423086531</v>
      </c>
      <c r="N83" s="357">
        <f t="shared" ca="1" si="46"/>
        <v>78.897734667265354</v>
      </c>
      <c r="O83" s="343"/>
      <c r="P83" s="363">
        <f t="shared" ca="1" si="47"/>
        <v>6</v>
      </c>
      <c r="Q83" s="357">
        <f t="shared" ca="1" si="48"/>
        <v>1023.2368421052631</v>
      </c>
      <c r="R83" s="359">
        <f t="shared" ca="1" si="49"/>
        <v>0.5125723447315681</v>
      </c>
      <c r="S83" s="360">
        <f t="shared" ca="1" si="50"/>
        <v>11.104238276067907</v>
      </c>
      <c r="T83" s="357">
        <f t="shared" ca="1" si="30"/>
        <v>108.93257748822617</v>
      </c>
      <c r="U83" s="364">
        <f t="shared" ca="1" si="31"/>
        <v>0</v>
      </c>
      <c r="V83" s="359">
        <f t="shared" ca="1" si="32"/>
        <v>1.222019111729814</v>
      </c>
      <c r="W83" s="357">
        <f t="shared" ca="1" si="33"/>
        <v>11.313425475595407</v>
      </c>
      <c r="X83" s="343"/>
      <c r="Y83" s="367" t="str">
        <f t="shared" ca="1" si="51"/>
        <v/>
      </c>
      <c r="Z83" s="368" t="str">
        <f t="shared" ca="1" si="52"/>
        <v/>
      </c>
      <c r="AA83" s="369" t="str">
        <f t="shared" ca="1" si="53"/>
        <v/>
      </c>
      <c r="AB83" s="344"/>
      <c r="AC83" s="363" t="e">
        <f t="shared" ca="1" si="54"/>
        <v>#N/A</v>
      </c>
      <c r="AD83" s="376" t="e">
        <f t="shared" ca="1" si="55"/>
        <v>#N/A</v>
      </c>
      <c r="AE83" s="377">
        <f t="shared" ca="1" si="34"/>
        <v>24.363424510230509</v>
      </c>
      <c r="AF83" s="344"/>
      <c r="AG83" s="359">
        <f t="shared" ca="1" si="56"/>
        <v>81.528261813333103</v>
      </c>
      <c r="AH83" s="357">
        <f t="shared" ca="1" si="57"/>
        <v>91.155224873100352</v>
      </c>
    </row>
    <row r="84" spans="1:34" x14ac:dyDescent="0.25">
      <c r="A84" s="402">
        <f t="shared" ca="1" si="35"/>
        <v>0.01</v>
      </c>
      <c r="B84" s="357">
        <f t="shared" ca="1" si="36"/>
        <v>0.80000000000000049</v>
      </c>
      <c r="C84" s="342"/>
      <c r="D84" s="359">
        <f t="shared" ca="1" si="37"/>
        <v>17.547356442382942</v>
      </c>
      <c r="E84" s="360">
        <f t="shared" ca="1" si="38"/>
        <v>79.610908955246117</v>
      </c>
      <c r="F84" s="357">
        <f t="shared" ca="1" si="39"/>
        <v>81.521816360999495</v>
      </c>
      <c r="G84" s="359">
        <f t="shared" ca="1" si="40"/>
        <v>12.490519982962875</v>
      </c>
      <c r="H84" s="360">
        <f t="shared" ca="1" si="41"/>
        <v>63.553291243325504</v>
      </c>
      <c r="I84" s="357">
        <f t="shared" ca="1" si="42"/>
        <v>64.769081491895108</v>
      </c>
      <c r="J84" s="359">
        <f t="shared" ca="1" si="43"/>
        <v>4.6761550524509081</v>
      </c>
      <c r="K84" s="360">
        <f t="shared" ca="1" si="44"/>
        <v>24.994976877216001</v>
      </c>
      <c r="L84" s="357">
        <f t="shared" ca="1" si="29"/>
        <v>25.428631405703388</v>
      </c>
      <c r="M84" s="359">
        <f t="shared" ca="1" si="45"/>
        <v>1.3767335875436713</v>
      </c>
      <c r="N84" s="357">
        <f t="shared" ca="1" si="46"/>
        <v>78.881024080157005</v>
      </c>
      <c r="O84" s="343"/>
      <c r="P84" s="363">
        <f t="shared" ca="1" si="47"/>
        <v>6</v>
      </c>
      <c r="Q84" s="357">
        <f t="shared" ca="1" si="48"/>
        <v>1022.7350877192982</v>
      </c>
      <c r="R84" s="359">
        <f t="shared" ca="1" si="49"/>
        <v>0.51232099977260026</v>
      </c>
      <c r="S84" s="360">
        <f t="shared" ca="1" si="50"/>
        <v>11.099115066070182</v>
      </c>
      <c r="T84" s="357">
        <f t="shared" ca="1" si="30"/>
        <v>108.88231879814849</v>
      </c>
      <c r="U84" s="364">
        <f t="shared" ca="1" si="31"/>
        <v>0</v>
      </c>
      <c r="V84" s="359">
        <f t="shared" ca="1" si="32"/>
        <v>1.2219419371430611</v>
      </c>
      <c r="W84" s="357">
        <f t="shared" ca="1" si="33"/>
        <v>11.602876360201988</v>
      </c>
      <c r="X84" s="343"/>
      <c r="Y84" s="367" t="str">
        <f t="shared" ca="1" si="51"/>
        <v/>
      </c>
      <c r="Z84" s="368" t="str">
        <f t="shared" ca="1" si="52"/>
        <v/>
      </c>
      <c r="AA84" s="369" t="str">
        <f t="shared" ca="1" si="53"/>
        <v/>
      </c>
      <c r="AB84" s="344"/>
      <c r="AC84" s="363" t="e">
        <f t="shared" ca="1" si="54"/>
        <v>#N/A</v>
      </c>
      <c r="AD84" s="376" t="e">
        <f t="shared" ca="1" si="55"/>
        <v>#N/A</v>
      </c>
      <c r="AE84" s="377">
        <f t="shared" ca="1" si="34"/>
        <v>24.994976877216001</v>
      </c>
      <c r="AF84" s="344"/>
      <c r="AG84" s="359">
        <f t="shared" ca="1" si="56"/>
        <v>81.499927252056835</v>
      </c>
      <c r="AH84" s="357">
        <f t="shared" ca="1" si="57"/>
        <v>91.126333606145124</v>
      </c>
    </row>
    <row r="85" spans="1:34" x14ac:dyDescent="0.25">
      <c r="A85" s="402">
        <f t="shared" ca="1" si="35"/>
        <v>0.01</v>
      </c>
      <c r="B85" s="357">
        <f t="shared" ca="1" si="36"/>
        <v>0.8100000000000005</v>
      </c>
      <c r="C85" s="342"/>
      <c r="D85" s="359">
        <f t="shared" ca="1" si="37"/>
        <v>17.567793641792541</v>
      </c>
      <c r="E85" s="360">
        <f t="shared" ca="1" si="38"/>
        <v>79.57707974867202</v>
      </c>
      <c r="F85" s="357">
        <f t="shared" ca="1" si="39"/>
        <v>81.493183731936213</v>
      </c>
      <c r="G85" s="359">
        <f t="shared" ca="1" si="40"/>
        <v>12.666197919380799</v>
      </c>
      <c r="H85" s="360">
        <f t="shared" ca="1" si="41"/>
        <v>64.349062040812228</v>
      </c>
      <c r="I85" s="357">
        <f t="shared" ca="1" si="42"/>
        <v>65.583796438337032</v>
      </c>
      <c r="J85" s="359">
        <f t="shared" ca="1" si="43"/>
        <v>4.8019386419626269</v>
      </c>
      <c r="K85" s="360">
        <f t="shared" ca="1" si="44"/>
        <v>25.63448864363669</v>
      </c>
      <c r="L85" s="357">
        <f t="shared" ca="1" si="29"/>
        <v>26.080368531558605</v>
      </c>
      <c r="M85" s="359">
        <f t="shared" ca="1" si="45"/>
        <v>1.3764451277817855</v>
      </c>
      <c r="N85" s="357">
        <f t="shared" ca="1" si="46"/>
        <v>78.864496553241608</v>
      </c>
      <c r="O85" s="343"/>
      <c r="P85" s="363">
        <f t="shared" ca="1" si="47"/>
        <v>6</v>
      </c>
      <c r="Q85" s="357">
        <f t="shared" ca="1" si="48"/>
        <v>1022.2333333333333</v>
      </c>
      <c r="R85" s="359">
        <f t="shared" ca="1" si="49"/>
        <v>0.51206965481363242</v>
      </c>
      <c r="S85" s="360">
        <f t="shared" ca="1" si="50"/>
        <v>11.093994369522045</v>
      </c>
      <c r="T85" s="357">
        <f t="shared" ca="1" si="30"/>
        <v>108.83208476501127</v>
      </c>
      <c r="U85" s="364">
        <f t="shared" ca="1" si="31"/>
        <v>0</v>
      </c>
      <c r="V85" s="359">
        <f t="shared" ca="1" si="32"/>
        <v>1.2218637948918658</v>
      </c>
      <c r="W85" s="357">
        <f t="shared" ca="1" si="33"/>
        <v>11.895851120515548</v>
      </c>
      <c r="X85" s="343"/>
      <c r="Y85" s="367" t="str">
        <f t="shared" ca="1" si="51"/>
        <v/>
      </c>
      <c r="Z85" s="368" t="str">
        <f t="shared" ca="1" si="52"/>
        <v/>
      </c>
      <c r="AA85" s="369" t="str">
        <f t="shared" ca="1" si="53"/>
        <v/>
      </c>
      <c r="AB85" s="344"/>
      <c r="AC85" s="363" t="e">
        <f t="shared" ca="1" si="54"/>
        <v>#N/A</v>
      </c>
      <c r="AD85" s="376" t="e">
        <f t="shared" ca="1" si="55"/>
        <v>#N/A</v>
      </c>
      <c r="AE85" s="377">
        <f t="shared" ca="1" si="34"/>
        <v>25.63448864363669</v>
      </c>
      <c r="AF85" s="344"/>
      <c r="AG85" s="359">
        <f t="shared" ca="1" si="56"/>
        <v>81.471221785974933</v>
      </c>
      <c r="AH85" s="357">
        <f t="shared" ca="1" si="57"/>
        <v>91.097076788643761</v>
      </c>
    </row>
    <row r="86" spans="1:34" x14ac:dyDescent="0.25">
      <c r="A86" s="402">
        <f t="shared" ca="1" si="35"/>
        <v>0.01</v>
      </c>
      <c r="B86" s="357">
        <f t="shared" ca="1" si="36"/>
        <v>0.82000000000000051</v>
      </c>
      <c r="C86" s="342"/>
      <c r="D86" s="359">
        <f t="shared" ca="1" si="37"/>
        <v>17.587856538570726</v>
      </c>
      <c r="E86" s="360">
        <f t="shared" ca="1" si="38"/>
        <v>79.542943856471865</v>
      </c>
      <c r="F86" s="357">
        <f t="shared" ca="1" si="39"/>
        <v>81.464179950301968</v>
      </c>
      <c r="G86" s="359">
        <f t="shared" ca="1" si="40"/>
        <v>12.842076484766507</v>
      </c>
      <c r="H86" s="360">
        <f t="shared" ca="1" si="41"/>
        <v>65.144491479376953</v>
      </c>
      <c r="I86" s="357">
        <f t="shared" ca="1" si="42"/>
        <v>66.398220597748022</v>
      </c>
      <c r="J86" s="359">
        <f t="shared" ca="1" si="43"/>
        <v>4.9294800139833637</v>
      </c>
      <c r="K86" s="360">
        <f t="shared" ca="1" si="44"/>
        <v>26.281956411237637</v>
      </c>
      <c r="L86" s="357">
        <f t="shared" ca="1" si="29"/>
        <v>26.74025067216941</v>
      </c>
      <c r="M86" s="359">
        <f t="shared" ca="1" si="45"/>
        <v>1.3761597880232905</v>
      </c>
      <c r="N86" s="357">
        <f t="shared" ca="1" si="46"/>
        <v>78.848147789352566</v>
      </c>
      <c r="O86" s="343"/>
      <c r="P86" s="363">
        <f t="shared" ca="1" si="47"/>
        <v>6</v>
      </c>
      <c r="Q86" s="357">
        <f t="shared" ca="1" si="48"/>
        <v>1021.7315789473683</v>
      </c>
      <c r="R86" s="359">
        <f t="shared" ca="1" si="49"/>
        <v>0.51181830985466448</v>
      </c>
      <c r="S86" s="360">
        <f t="shared" ca="1" si="50"/>
        <v>11.088876186423498</v>
      </c>
      <c r="T86" s="357">
        <f t="shared" ca="1" si="30"/>
        <v>108.78187538881453</v>
      </c>
      <c r="U86" s="364">
        <f t="shared" ca="1" si="31"/>
        <v>0</v>
      </c>
      <c r="V86" s="359">
        <f t="shared" ca="1" si="32"/>
        <v>1.2217846855772989</v>
      </c>
      <c r="W86" s="357">
        <f t="shared" ca="1" si="33"/>
        <v>12.192343137730644</v>
      </c>
      <c r="X86" s="343"/>
      <c r="Y86" s="367" t="str">
        <f t="shared" ca="1" si="51"/>
        <v/>
      </c>
      <c r="Z86" s="368" t="str">
        <f t="shared" ca="1" si="52"/>
        <v/>
      </c>
      <c r="AA86" s="369" t="str">
        <f t="shared" ca="1" si="53"/>
        <v/>
      </c>
      <c r="AB86" s="344"/>
      <c r="AC86" s="363" t="e">
        <f t="shared" ca="1" si="54"/>
        <v>#N/A</v>
      </c>
      <c r="AD86" s="376" t="e">
        <f t="shared" ca="1" si="55"/>
        <v>#N/A</v>
      </c>
      <c r="AE86" s="377">
        <f t="shared" ca="1" si="34"/>
        <v>26.281956411237637</v>
      </c>
      <c r="AF86" s="344"/>
      <c r="AG86" s="359">
        <f t="shared" ca="1" si="56"/>
        <v>81.442145638002671</v>
      </c>
      <c r="AH86" s="357">
        <f t="shared" ca="1" si="57"/>
        <v>91.067454523771332</v>
      </c>
    </row>
    <row r="87" spans="1:34" x14ac:dyDescent="0.25">
      <c r="A87" s="402">
        <f t="shared" ca="1" si="35"/>
        <v>0.01</v>
      </c>
      <c r="B87" s="357">
        <f t="shared" ca="1" si="36"/>
        <v>0.83000000000000052</v>
      </c>
      <c r="C87" s="342"/>
      <c r="D87" s="359">
        <f t="shared" ca="1" si="37"/>
        <v>17.607551869226445</v>
      </c>
      <c r="E87" s="360">
        <f t="shared" ca="1" si="38"/>
        <v>79.508500328053827</v>
      </c>
      <c r="F87" s="357">
        <f t="shared" ca="1" si="39"/>
        <v>81.434805256988469</v>
      </c>
      <c r="G87" s="359">
        <f t="shared" ca="1" si="40"/>
        <v>13.018152003458772</v>
      </c>
      <c r="H87" s="360">
        <f t="shared" ca="1" si="41"/>
        <v>65.939576482657486</v>
      </c>
      <c r="I87" s="357">
        <f t="shared" ca="1" si="42"/>
        <v>67.212350266133328</v>
      </c>
      <c r="J87" s="359">
        <f t="shared" ca="1" si="43"/>
        <v>5.05878115642449</v>
      </c>
      <c r="K87" s="360">
        <f t="shared" ca="1" si="44"/>
        <v>26.937376751047807</v>
      </c>
      <c r="L87" s="357">
        <f t="shared" ca="1" si="29"/>
        <v>27.40827490041076</v>
      </c>
      <c r="M87" s="359">
        <f t="shared" ca="1" si="45"/>
        <v>1.3758774959116311</v>
      </c>
      <c r="N87" s="357">
        <f t="shared" ca="1" si="46"/>
        <v>78.831973642764638</v>
      </c>
      <c r="O87" s="343"/>
      <c r="P87" s="363">
        <f t="shared" ca="1" si="47"/>
        <v>6</v>
      </c>
      <c r="Q87" s="357">
        <f t="shared" ca="1" si="48"/>
        <v>1021.2298245614035</v>
      </c>
      <c r="R87" s="359">
        <f t="shared" ca="1" si="49"/>
        <v>0.51156696489569653</v>
      </c>
      <c r="S87" s="360">
        <f t="shared" ca="1" si="50"/>
        <v>11.083760516774541</v>
      </c>
      <c r="T87" s="357">
        <f t="shared" ca="1" si="30"/>
        <v>108.73169066955826</v>
      </c>
      <c r="U87" s="364">
        <f t="shared" ca="1" si="31"/>
        <v>0</v>
      </c>
      <c r="V87" s="359">
        <f t="shared" ca="1" si="32"/>
        <v>1.221704609806356</v>
      </c>
      <c r="W87" s="357">
        <f t="shared" ca="1" si="33"/>
        <v>12.492345713555785</v>
      </c>
      <c r="X87" s="343"/>
      <c r="Y87" s="367" t="str">
        <f t="shared" ca="1" si="51"/>
        <v/>
      </c>
      <c r="Z87" s="368" t="str">
        <f t="shared" ca="1" si="52"/>
        <v/>
      </c>
      <c r="AA87" s="369" t="str">
        <f t="shared" ca="1" si="53"/>
        <v/>
      </c>
      <c r="AB87" s="344"/>
      <c r="AC87" s="363" t="e">
        <f t="shared" ca="1" si="54"/>
        <v>#N/A</v>
      </c>
      <c r="AD87" s="376" t="e">
        <f t="shared" ca="1" si="55"/>
        <v>#N/A</v>
      </c>
      <c r="AE87" s="377">
        <f t="shared" ca="1" si="34"/>
        <v>26.937376751047807</v>
      </c>
      <c r="AF87" s="344"/>
      <c r="AG87" s="359">
        <f t="shared" ca="1" si="56"/>
        <v>81.412699034835001</v>
      </c>
      <c r="AH87" s="357">
        <f t="shared" ca="1" si="57"/>
        <v>91.037466922581118</v>
      </c>
    </row>
    <row r="88" spans="1:34" x14ac:dyDescent="0.25">
      <c r="A88" s="402">
        <f t="shared" ca="1" si="35"/>
        <v>0.01</v>
      </c>
      <c r="B88" s="357">
        <f t="shared" ca="1" si="36"/>
        <v>0.84000000000000052</v>
      </c>
      <c r="C88" s="342"/>
      <c r="D88" s="359">
        <f t="shared" ca="1" si="37"/>
        <v>17.626886131952432</v>
      </c>
      <c r="E88" s="360">
        <f t="shared" ca="1" si="38"/>
        <v>79.473748257061374</v>
      </c>
      <c r="F88" s="357">
        <f t="shared" ca="1" si="39"/>
        <v>81.405059896394548</v>
      </c>
      <c r="G88" s="359">
        <f t="shared" ca="1" si="40"/>
        <v>13.194420864778296</v>
      </c>
      <c r="H88" s="360">
        <f t="shared" ca="1" si="41"/>
        <v>66.734313965228097</v>
      </c>
      <c r="I88" s="357">
        <f t="shared" ca="1" si="42"/>
        <v>68.02618174178626</v>
      </c>
      <c r="J88" s="359">
        <f t="shared" ca="1" si="43"/>
        <v>5.1898440207656753</v>
      </c>
      <c r="K88" s="360">
        <f t="shared" ca="1" si="44"/>
        <v>27.600746203287237</v>
      </c>
      <c r="L88" s="357">
        <f t="shared" ca="1" si="29"/>
        <v>28.084438252137996</v>
      </c>
      <c r="M88" s="359">
        <f t="shared" ca="1" si="45"/>
        <v>1.3755981816094176</v>
      </c>
      <c r="N88" s="357">
        <f t="shared" ca="1" si="46"/>
        <v>78.81597011209017</v>
      </c>
      <c r="O88" s="343"/>
      <c r="P88" s="363">
        <f t="shared" ca="1" si="47"/>
        <v>6</v>
      </c>
      <c r="Q88" s="357">
        <f t="shared" ca="1" si="48"/>
        <v>1020.7280701754386</v>
      </c>
      <c r="R88" s="359">
        <f t="shared" ca="1" si="49"/>
        <v>0.51131561993672869</v>
      </c>
      <c r="S88" s="360">
        <f t="shared" ca="1" si="50"/>
        <v>11.078647360575173</v>
      </c>
      <c r="T88" s="357">
        <f t="shared" ca="1" si="30"/>
        <v>108.68153060724245</v>
      </c>
      <c r="U88" s="364">
        <f t="shared" ca="1" si="31"/>
        <v>0</v>
      </c>
      <c r="V88" s="359">
        <f t="shared" ca="1" si="32"/>
        <v>1.2216235681919678</v>
      </c>
      <c r="W88" s="357">
        <f t="shared" ca="1" si="33"/>
        <v>12.795852070427166</v>
      </c>
      <c r="X88" s="343"/>
      <c r="Y88" s="367" t="str">
        <f t="shared" ca="1" si="51"/>
        <v/>
      </c>
      <c r="Z88" s="368" t="str">
        <f t="shared" ca="1" si="52"/>
        <v/>
      </c>
      <c r="AA88" s="369" t="str">
        <f t="shared" ca="1" si="53"/>
        <v/>
      </c>
      <c r="AB88" s="344"/>
      <c r="AC88" s="363" t="e">
        <f t="shared" ca="1" si="54"/>
        <v>#N/A</v>
      </c>
      <c r="AD88" s="376" t="e">
        <f t="shared" ca="1" si="55"/>
        <v>#N/A</v>
      </c>
      <c r="AE88" s="377">
        <f t="shared" ca="1" si="34"/>
        <v>27.600746203287237</v>
      </c>
      <c r="AF88" s="344"/>
      <c r="AG88" s="359">
        <f t="shared" ca="1" si="56"/>
        <v>81.382882207134315</v>
      </c>
      <c r="AH88" s="357">
        <f t="shared" ca="1" si="57"/>
        <v>91.007114104003577</v>
      </c>
    </row>
    <row r="89" spans="1:34" x14ac:dyDescent="0.25">
      <c r="A89" s="402">
        <f t="shared" ca="1" si="35"/>
        <v>0.01</v>
      </c>
      <c r="B89" s="357">
        <f t="shared" ca="1" si="36"/>
        <v>0.85000000000000053</v>
      </c>
      <c r="C89" s="342"/>
      <c r="D89" s="359">
        <f t="shared" ca="1" si="37"/>
        <v>17.645865597925287</v>
      </c>
      <c r="E89" s="360">
        <f t="shared" ca="1" si="38"/>
        <v>79.438686779702039</v>
      </c>
      <c r="F89" s="357">
        <f t="shared" ca="1" si="39"/>
        <v>81.374944116623823</v>
      </c>
      <c r="G89" s="359">
        <f t="shared" ca="1" si="40"/>
        <v>13.370879520757549</v>
      </c>
      <c r="H89" s="360">
        <f t="shared" ca="1" si="41"/>
        <v>67.528700833025113</v>
      </c>
      <c r="I89" s="357">
        <f t="shared" ca="1" si="42"/>
        <v>68.839711325330384</v>
      </c>
      <c r="J89" s="359">
        <f t="shared" ca="1" si="43"/>
        <v>5.3226705226933548</v>
      </c>
      <c r="K89" s="360">
        <f t="shared" ca="1" si="44"/>
        <v>28.272061277278503</v>
      </c>
      <c r="L89" s="357">
        <f t="shared" ca="1" si="29"/>
        <v>28.768737726207927</v>
      </c>
      <c r="M89" s="359">
        <f t="shared" ca="1" si="45"/>
        <v>1.3753217776816704</v>
      </c>
      <c r="N89" s="357">
        <f t="shared" ca="1" si="46"/>
        <v>78.800133333589415</v>
      </c>
      <c r="O89" s="343"/>
      <c r="P89" s="363">
        <f t="shared" ca="1" si="47"/>
        <v>6</v>
      </c>
      <c r="Q89" s="357">
        <f t="shared" ca="1" si="48"/>
        <v>1020.2263157894737</v>
      </c>
      <c r="R89" s="359">
        <f t="shared" ca="1" si="49"/>
        <v>0.51106427497776075</v>
      </c>
      <c r="S89" s="360">
        <f t="shared" ca="1" si="50"/>
        <v>11.073536717825396</v>
      </c>
      <c r="T89" s="357">
        <f t="shared" ca="1" si="30"/>
        <v>108.63139520186715</v>
      </c>
      <c r="U89" s="364">
        <f t="shared" ca="1" si="31"/>
        <v>0</v>
      </c>
      <c r="V89" s="359">
        <f t="shared" ca="1" si="32"/>
        <v>1.221541561353001</v>
      </c>
      <c r="W89" s="357">
        <f t="shared" ca="1" si="33"/>
        <v>13.102855351725621</v>
      </c>
      <c r="X89" s="343"/>
      <c r="Y89" s="367" t="str">
        <f t="shared" ca="1" si="51"/>
        <v/>
      </c>
      <c r="Z89" s="368" t="str">
        <f t="shared" ca="1" si="52"/>
        <v/>
      </c>
      <c r="AA89" s="369" t="str">
        <f t="shared" ca="1" si="53"/>
        <v/>
      </c>
      <c r="AB89" s="344"/>
      <c r="AC89" s="363" t="e">
        <f t="shared" ca="1" si="54"/>
        <v>#N/A</v>
      </c>
      <c r="AD89" s="376" t="e">
        <f t="shared" ca="1" si="55"/>
        <v>#N/A</v>
      </c>
      <c r="AE89" s="377">
        <f t="shared" ca="1" si="34"/>
        <v>28.272061277278503</v>
      </c>
      <c r="AF89" s="344"/>
      <c r="AG89" s="359">
        <f t="shared" ca="1" si="56"/>
        <v>81.352695389707051</v>
      </c>
      <c r="AH89" s="357">
        <f t="shared" ca="1" si="57"/>
        <v>90.97639619484498</v>
      </c>
    </row>
    <row r="90" spans="1:34" x14ac:dyDescent="0.25">
      <c r="A90" s="402">
        <f t="shared" ca="1" si="35"/>
        <v>0.01</v>
      </c>
      <c r="B90" s="357">
        <f t="shared" ca="1" si="36"/>
        <v>0.86000000000000054</v>
      </c>
      <c r="C90" s="342"/>
      <c r="D90" s="359">
        <f t="shared" ca="1" si="37"/>
        <v>17.664496321945819</v>
      </c>
      <c r="E90" s="360">
        <f t="shared" ca="1" si="38"/>
        <v>79.403315073170916</v>
      </c>
      <c r="F90" s="357">
        <f t="shared" ca="1" si="39"/>
        <v>81.344458169670588</v>
      </c>
      <c r="G90" s="359">
        <f t="shared" ca="1" si="40"/>
        <v>13.547524483977007</v>
      </c>
      <c r="H90" s="360">
        <f t="shared" ca="1" si="41"/>
        <v>68.322733983756819</v>
      </c>
      <c r="I90" s="357">
        <f t="shared" ca="1" si="42"/>
        <v>69.652935319763486</v>
      </c>
      <c r="J90" s="359">
        <f t="shared" ca="1" si="43"/>
        <v>5.4572625427170278</v>
      </c>
      <c r="K90" s="360">
        <f t="shared" ca="1" si="44"/>
        <v>28.951318451362411</v>
      </c>
      <c r="L90" s="357">
        <f t="shared" ca="1" si="29"/>
        <v>29.461170284500579</v>
      </c>
      <c r="M90" s="359">
        <f t="shared" ca="1" si="45"/>
        <v>1.3750482189857871</v>
      </c>
      <c r="N90" s="357">
        <f t="shared" ca="1" si="46"/>
        <v>78.78445957486619</v>
      </c>
      <c r="O90" s="343"/>
      <c r="P90" s="363">
        <f t="shared" ca="1" si="47"/>
        <v>6</v>
      </c>
      <c r="Q90" s="357">
        <f t="shared" ca="1" si="48"/>
        <v>1019.7245614035087</v>
      </c>
      <c r="R90" s="359">
        <f t="shared" ca="1" si="49"/>
        <v>0.51081293001879291</v>
      </c>
      <c r="S90" s="360">
        <f t="shared" ca="1" si="50"/>
        <v>11.068428588525208</v>
      </c>
      <c r="T90" s="357">
        <f t="shared" ca="1" si="30"/>
        <v>108.5812844534323</v>
      </c>
      <c r="U90" s="364">
        <f t="shared" ca="1" si="31"/>
        <v>0</v>
      </c>
      <c r="V90" s="359">
        <f t="shared" ca="1" si="32"/>
        <v>1.221458589914266</v>
      </c>
      <c r="W90" s="357">
        <f t="shared" ca="1" si="33"/>
        <v>13.41334862199712</v>
      </c>
      <c r="X90" s="343"/>
      <c r="Y90" s="367" t="str">
        <f t="shared" ca="1" si="51"/>
        <v/>
      </c>
      <c r="Z90" s="368" t="str">
        <f t="shared" ca="1" si="52"/>
        <v/>
      </c>
      <c r="AA90" s="369" t="str">
        <f t="shared" ca="1" si="53"/>
        <v/>
      </c>
      <c r="AB90" s="344"/>
      <c r="AC90" s="363" t="e">
        <f t="shared" ca="1" si="54"/>
        <v>#N/A</v>
      </c>
      <c r="AD90" s="376" t="e">
        <f t="shared" ca="1" si="55"/>
        <v>#N/A</v>
      </c>
      <c r="AE90" s="377">
        <f t="shared" ca="1" si="34"/>
        <v>28.951318451362411</v>
      </c>
      <c r="AF90" s="344"/>
      <c r="AG90" s="359">
        <f t="shared" ca="1" si="56"/>
        <v>81.322138821669839</v>
      </c>
      <c r="AH90" s="357">
        <f t="shared" ca="1" si="57"/>
        <v>90.945313329785733</v>
      </c>
    </row>
    <row r="91" spans="1:34" x14ac:dyDescent="0.25">
      <c r="A91" s="402">
        <f t="shared" ca="1" si="35"/>
        <v>0.01</v>
      </c>
      <c r="B91" s="357">
        <f t="shared" ca="1" si="36"/>
        <v>0.87000000000000055</v>
      </c>
      <c r="C91" s="342"/>
      <c r="D91" s="359">
        <f t="shared" ca="1" si="37"/>
        <v>17.682784152465871</v>
      </c>
      <c r="E91" s="360">
        <f t="shared" ca="1" si="38"/>
        <v>79.367632354162467</v>
      </c>
      <c r="F91" s="357">
        <f t="shared" ca="1" si="39"/>
        <v>81.313602311594792</v>
      </c>
      <c r="G91" s="359">
        <f t="shared" ca="1" si="40"/>
        <v>13.724352325501666</v>
      </c>
      <c r="H91" s="360">
        <f t="shared" ca="1" si="41"/>
        <v>69.116410307298437</v>
      </c>
      <c r="I91" s="357">
        <f t="shared" ca="1" si="42"/>
        <v>70.465850030502949</v>
      </c>
      <c r="J91" s="359">
        <f t="shared" ca="1" si="43"/>
        <v>5.5936219267644214</v>
      </c>
      <c r="K91" s="360">
        <f t="shared" ca="1" si="44"/>
        <v>29.638514172817686</v>
      </c>
      <c r="L91" s="357">
        <f t="shared" ca="1" si="29"/>
        <v>30.161732851941622</v>
      </c>
      <c r="M91" s="359">
        <f t="shared" ca="1" si="45"/>
        <v>1.3747774425677752</v>
      </c>
      <c r="N91" s="357">
        <f t="shared" ca="1" si="46"/>
        <v>78.768945228922448</v>
      </c>
      <c r="O91" s="343"/>
      <c r="P91" s="363">
        <f t="shared" ca="1" si="47"/>
        <v>6</v>
      </c>
      <c r="Q91" s="357">
        <f t="shared" ca="1" si="48"/>
        <v>1019.2228070175438</v>
      </c>
      <c r="R91" s="359">
        <f t="shared" ca="1" si="49"/>
        <v>0.51056158505982496</v>
      </c>
      <c r="S91" s="360">
        <f t="shared" ca="1" si="50"/>
        <v>11.063322972674611</v>
      </c>
      <c r="T91" s="357">
        <f t="shared" ca="1" si="30"/>
        <v>108.53119836193794</v>
      </c>
      <c r="U91" s="364">
        <f t="shared" ca="1" si="31"/>
        <v>0</v>
      </c>
      <c r="V91" s="359">
        <f t="shared" ca="1" si="32"/>
        <v>1.2213746545065196</v>
      </c>
      <c r="W91" s="357">
        <f t="shared" ca="1" si="33"/>
        <v>13.727324867176542</v>
      </c>
      <c r="X91" s="343"/>
      <c r="Y91" s="367" t="str">
        <f t="shared" ca="1" si="51"/>
        <v/>
      </c>
      <c r="Z91" s="368" t="str">
        <f t="shared" ca="1" si="52"/>
        <v/>
      </c>
      <c r="AA91" s="369" t="str">
        <f t="shared" ca="1" si="53"/>
        <v/>
      </c>
      <c r="AB91" s="344"/>
      <c r="AC91" s="363" t="e">
        <f t="shared" ca="1" si="54"/>
        <v>#N/A</v>
      </c>
      <c r="AD91" s="376" t="e">
        <f t="shared" ca="1" si="55"/>
        <v>#N/A</v>
      </c>
      <c r="AE91" s="377">
        <f t="shared" ca="1" si="34"/>
        <v>29.638514172817686</v>
      </c>
      <c r="AF91" s="344"/>
      <c r="AG91" s="359">
        <f t="shared" ca="1" si="56"/>
        <v>81.29121274660578</v>
      </c>
      <c r="AH91" s="357">
        <f t="shared" ca="1" si="57"/>
        <v>90.913865651378302</v>
      </c>
    </row>
    <row r="92" spans="1:34" x14ac:dyDescent="0.25">
      <c r="A92" s="402">
        <f t="shared" ca="1" si="35"/>
        <v>0.01</v>
      </c>
      <c r="B92" s="357">
        <f t="shared" ca="1" si="36"/>
        <v>0.88000000000000056</v>
      </c>
      <c r="C92" s="342"/>
      <c r="D92" s="359">
        <f t="shared" ca="1" si="37"/>
        <v>17.700734741043423</v>
      </c>
      <c r="E92" s="360">
        <f t="shared" ca="1" si="38"/>
        <v>79.331637877464672</v>
      </c>
      <c r="F92" s="357">
        <f t="shared" ca="1" si="39"/>
        <v>81.282376802686869</v>
      </c>
      <c r="G92" s="359">
        <f t="shared" ca="1" si="40"/>
        <v>13.901359672912101</v>
      </c>
      <c r="H92" s="360">
        <f t="shared" ca="1" si="41"/>
        <v>69.909726686073085</v>
      </c>
      <c r="I92" s="357">
        <f t="shared" ca="1" si="42"/>
        <v>71.278451765432621</v>
      </c>
      <c r="J92" s="359">
        <f t="shared" ca="1" si="43"/>
        <v>5.7317504867564901</v>
      </c>
      <c r="K92" s="360">
        <f t="shared" ca="1" si="44"/>
        <v>30.333644857784545</v>
      </c>
      <c r="L92" s="357">
        <f t="shared" ca="1" si="29"/>
        <v>30.870422316525442</v>
      </c>
      <c r="M92" s="359">
        <f t="shared" ca="1" si="45"/>
        <v>1.3745093875643219</v>
      </c>
      <c r="N92" s="357">
        <f t="shared" ca="1" si="46"/>
        <v>78.753586808547212</v>
      </c>
      <c r="O92" s="343"/>
      <c r="P92" s="363">
        <f t="shared" ca="1" si="47"/>
        <v>6</v>
      </c>
      <c r="Q92" s="357">
        <f t="shared" ca="1" si="48"/>
        <v>1018.7210526315789</v>
      </c>
      <c r="R92" s="359">
        <f t="shared" ca="1" si="49"/>
        <v>0.51031024010085713</v>
      </c>
      <c r="S92" s="360">
        <f t="shared" ca="1" si="50"/>
        <v>11.058219870273602</v>
      </c>
      <c r="T92" s="357">
        <f t="shared" ca="1" si="30"/>
        <v>108.48113692738404</v>
      </c>
      <c r="U92" s="364">
        <f t="shared" ca="1" si="31"/>
        <v>0</v>
      </c>
      <c r="V92" s="359">
        <f t="shared" ca="1" si="32"/>
        <v>1.2212897557664675</v>
      </c>
      <c r="W92" s="357">
        <f t="shared" ca="1" si="33"/>
        <v>14.044776994814891</v>
      </c>
      <c r="X92" s="343"/>
      <c r="Y92" s="367" t="str">
        <f t="shared" ca="1" si="51"/>
        <v/>
      </c>
      <c r="Z92" s="368" t="str">
        <f t="shared" ca="1" si="52"/>
        <v/>
      </c>
      <c r="AA92" s="369" t="str">
        <f t="shared" ca="1" si="53"/>
        <v/>
      </c>
      <c r="AB92" s="344"/>
      <c r="AC92" s="363" t="e">
        <f t="shared" ca="1" si="54"/>
        <v>#N/A</v>
      </c>
      <c r="AD92" s="376" t="e">
        <f t="shared" ca="1" si="55"/>
        <v>#N/A</v>
      </c>
      <c r="AE92" s="377">
        <f t="shared" ca="1" si="34"/>
        <v>30.333644857784545</v>
      </c>
      <c r="AF92" s="344"/>
      <c r="AG92" s="359">
        <f t="shared" ca="1" si="56"/>
        <v>81.259917412711644</v>
      </c>
      <c r="AH92" s="357">
        <f t="shared" ca="1" si="57"/>
        <v>90.88205331004481</v>
      </c>
    </row>
    <row r="93" spans="1:34" x14ac:dyDescent="0.25">
      <c r="A93" s="402">
        <f t="shared" ca="1" si="35"/>
        <v>0.01</v>
      </c>
      <c r="B93" s="357">
        <f t="shared" ca="1" si="36"/>
        <v>0.89000000000000057</v>
      </c>
      <c r="C93" s="342"/>
      <c r="D93" s="359">
        <f t="shared" ca="1" si="37"/>
        <v>17.718353551265078</v>
      </c>
      <c r="E93" s="360">
        <f t="shared" ca="1" si="38"/>
        <v>79.295330934630115</v>
      </c>
      <c r="F93" s="357">
        <f t="shared" ca="1" si="39"/>
        <v>81.250781907623121</v>
      </c>
      <c r="G93" s="359">
        <f t="shared" ca="1" si="40"/>
        <v>14.078543208424751</v>
      </c>
      <c r="H93" s="360">
        <f t="shared" ca="1" si="41"/>
        <v>70.702679995419388</v>
      </c>
      <c r="I93" s="357">
        <f t="shared" ca="1" si="42"/>
        <v>72.090736834950988</v>
      </c>
      <c r="J93" s="359">
        <f t="shared" ca="1" si="43"/>
        <v>5.8716500011631743</v>
      </c>
      <c r="K93" s="360">
        <f t="shared" ca="1" si="44"/>
        <v>31.036706891192008</v>
      </c>
      <c r="L93" s="357">
        <f t="shared" ca="1" si="29"/>
        <v>31.587235529338827</v>
      </c>
      <c r="M93" s="359">
        <f t="shared" ca="1" si="45"/>
        <v>1.374243995110314</v>
      </c>
      <c r="N93" s="357">
        <f t="shared" ca="1" si="46"/>
        <v>78.738380941017937</v>
      </c>
      <c r="O93" s="343"/>
      <c r="P93" s="363">
        <f t="shared" ca="1" si="47"/>
        <v>6</v>
      </c>
      <c r="Q93" s="357">
        <f t="shared" ca="1" si="48"/>
        <v>1018.219298245614</v>
      </c>
      <c r="R93" s="359">
        <f t="shared" ca="1" si="49"/>
        <v>0.51005889514188918</v>
      </c>
      <c r="S93" s="360">
        <f t="shared" ca="1" si="50"/>
        <v>11.053119281322182</v>
      </c>
      <c r="T93" s="357">
        <f t="shared" ca="1" si="30"/>
        <v>108.43110014977061</v>
      </c>
      <c r="U93" s="364">
        <f t="shared" ca="1" si="31"/>
        <v>0</v>
      </c>
      <c r="V93" s="359">
        <f t="shared" ca="1" si="32"/>
        <v>1.2212038943367689</v>
      </c>
      <c r="W93" s="357">
        <f t="shared" ca="1" si="33"/>
        <v>14.36569783430989</v>
      </c>
      <c r="X93" s="343"/>
      <c r="Y93" s="367" t="str">
        <f t="shared" ca="1" si="51"/>
        <v/>
      </c>
      <c r="Z93" s="368" t="str">
        <f t="shared" ca="1" si="52"/>
        <v/>
      </c>
      <c r="AA93" s="369" t="str">
        <f t="shared" ca="1" si="53"/>
        <v/>
      </c>
      <c r="AB93" s="344"/>
      <c r="AC93" s="363" t="e">
        <f t="shared" ca="1" si="54"/>
        <v>#N/A</v>
      </c>
      <c r="AD93" s="376" t="e">
        <f t="shared" ca="1" si="55"/>
        <v>#N/A</v>
      </c>
      <c r="AE93" s="377">
        <f t="shared" ca="1" si="34"/>
        <v>31.036706891192008</v>
      </c>
      <c r="AF93" s="344"/>
      <c r="AG93" s="359">
        <f t="shared" ca="1" si="56"/>
        <v>81.228253072936553</v>
      </c>
      <c r="AH93" s="357">
        <f t="shared" ca="1" si="57"/>
        <v>90.849876464074399</v>
      </c>
    </row>
    <row r="94" spans="1:34" x14ac:dyDescent="0.25">
      <c r="A94" s="402">
        <f t="shared" ca="1" si="35"/>
        <v>0.01</v>
      </c>
      <c r="B94" s="357">
        <f t="shared" ca="1" si="36"/>
        <v>0.90000000000000058</v>
      </c>
      <c r="C94" s="342"/>
      <c r="D94" s="359">
        <f t="shared" ca="1" si="37"/>
        <v>17.73564586717124</v>
      </c>
      <c r="E94" s="360">
        <f t="shared" ca="1" si="38"/>
        <v>79.258710852718721</v>
      </c>
      <c r="F94" s="357">
        <f t="shared" ca="1" si="39"/>
        <v>81.218817895611977</v>
      </c>
      <c r="G94" s="359">
        <f t="shared" ca="1" si="40"/>
        <v>14.255899667096463</v>
      </c>
      <c r="H94" s="360">
        <f t="shared" ca="1" si="41"/>
        <v>71.495267103946574</v>
      </c>
      <c r="I94" s="357">
        <f t="shared" ca="1" si="42"/>
        <v>72.902701552020602</v>
      </c>
      <c r="J94" s="359">
        <f t="shared" ca="1" si="43"/>
        <v>6.0133222155407804</v>
      </c>
      <c r="K94" s="360">
        <f t="shared" ca="1" si="44"/>
        <v>31.747696626688839</v>
      </c>
      <c r="L94" s="357">
        <f t="shared" ca="1" si="29"/>
        <v>32.312169304585325</v>
      </c>
      <c r="M94" s="359">
        <f t="shared" ca="1" si="45"/>
        <v>1.373981208251442</v>
      </c>
      <c r="N94" s="357">
        <f t="shared" ca="1" si="46"/>
        <v>78.72332436309307</v>
      </c>
      <c r="O94" s="343"/>
      <c r="P94" s="363">
        <f t="shared" ca="1" si="47"/>
        <v>6</v>
      </c>
      <c r="Q94" s="357">
        <f t="shared" ca="1" si="48"/>
        <v>1017.7175438596491</v>
      </c>
      <c r="R94" s="359">
        <f t="shared" ca="1" si="49"/>
        <v>0.50980755018292134</v>
      </c>
      <c r="S94" s="360">
        <f t="shared" ca="1" si="50"/>
        <v>11.048021205820353</v>
      </c>
      <c r="T94" s="357">
        <f t="shared" ca="1" si="30"/>
        <v>108.38108802909767</v>
      </c>
      <c r="U94" s="364">
        <f t="shared" ca="1" si="31"/>
        <v>0</v>
      </c>
      <c r="V94" s="359">
        <f t="shared" ca="1" si="32"/>
        <v>1.2211170708660393</v>
      </c>
      <c r="W94" s="357">
        <f t="shared" ca="1" si="33"/>
        <v>14.690080137139951</v>
      </c>
      <c r="X94" s="343"/>
      <c r="Y94" s="367" t="str">
        <f t="shared" ca="1" si="51"/>
        <v/>
      </c>
      <c r="Z94" s="368" t="str">
        <f t="shared" ca="1" si="52"/>
        <v/>
      </c>
      <c r="AA94" s="369" t="str">
        <f t="shared" ca="1" si="53"/>
        <v/>
      </c>
      <c r="AB94" s="344"/>
      <c r="AC94" s="363" t="e">
        <f t="shared" ca="1" si="54"/>
        <v>#N/A</v>
      </c>
      <c r="AD94" s="376" t="e">
        <f t="shared" ca="1" si="55"/>
        <v>#N/A</v>
      </c>
      <c r="AE94" s="377">
        <f t="shared" ca="1" si="34"/>
        <v>31.747696626688839</v>
      </c>
      <c r="AF94" s="344"/>
      <c r="AG94" s="359">
        <f t="shared" ca="1" si="56"/>
        <v>81.196219985112521</v>
      </c>
      <c r="AH94" s="357">
        <f t="shared" ca="1" si="57"/>
        <v>90.817335279620053</v>
      </c>
    </row>
    <row r="95" spans="1:34" x14ac:dyDescent="0.25">
      <c r="A95" s="402">
        <f t="shared" ca="1" si="35"/>
        <v>0.01</v>
      </c>
      <c r="B95" s="357">
        <f t="shared" ca="1" si="36"/>
        <v>0.91000000000000059</v>
      </c>
      <c r="C95" s="342"/>
      <c r="D95" s="359">
        <f t="shared" ca="1" si="37"/>
        <v>17.752616801217432</v>
      </c>
      <c r="E95" s="360">
        <f t="shared" ca="1" si="38"/>
        <v>79.221776993107639</v>
      </c>
      <c r="F95" s="357">
        <f t="shared" ca="1" si="39"/>
        <v>81.186485040532119</v>
      </c>
      <c r="G95" s="359">
        <f t="shared" ca="1" si="40"/>
        <v>14.433425835108638</v>
      </c>
      <c r="H95" s="360">
        <f t="shared" ca="1" si="41"/>
        <v>72.287484873877645</v>
      </c>
      <c r="I95" s="357">
        <f t="shared" ca="1" si="42"/>
        <v>73.714342232218769</v>
      </c>
      <c r="J95" s="359">
        <f t="shared" ca="1" si="43"/>
        <v>6.1567688430518057</v>
      </c>
      <c r="K95" s="360">
        <f t="shared" ca="1" si="44"/>
        <v>32.466610386577962</v>
      </c>
      <c r="L95" s="357">
        <f t="shared" ca="1" si="29"/>
        <v>33.045220419610239</v>
      </c>
      <c r="M95" s="359">
        <f t="shared" ca="1" si="45"/>
        <v>1.3737209718615599</v>
      </c>
      <c r="N95" s="357">
        <f t="shared" ca="1" si="46"/>
        <v>78.708413916277109</v>
      </c>
      <c r="O95" s="343"/>
      <c r="P95" s="363">
        <f t="shared" ca="1" si="47"/>
        <v>6</v>
      </c>
      <c r="Q95" s="357">
        <f t="shared" ca="1" si="48"/>
        <v>1017.2157894736841</v>
      </c>
      <c r="R95" s="359">
        <f t="shared" ca="1" si="49"/>
        <v>0.5095562052239534</v>
      </c>
      <c r="S95" s="360">
        <f t="shared" ca="1" si="50"/>
        <v>11.042925643768113</v>
      </c>
      <c r="T95" s="357">
        <f t="shared" ca="1" si="30"/>
        <v>108.33110056536519</v>
      </c>
      <c r="U95" s="364">
        <f t="shared" ca="1" si="31"/>
        <v>0</v>
      </c>
      <c r="V95" s="359">
        <f t="shared" ca="1" si="32"/>
        <v>1.2210292860088496</v>
      </c>
      <c r="W95" s="357">
        <f t="shared" ca="1" si="33"/>
        <v>15.017916577101545</v>
      </c>
      <c r="X95" s="343"/>
      <c r="Y95" s="367" t="str">
        <f t="shared" ca="1" si="51"/>
        <v/>
      </c>
      <c r="Z95" s="368" t="str">
        <f t="shared" ca="1" si="52"/>
        <v/>
      </c>
      <c r="AA95" s="369" t="str">
        <f t="shared" ca="1" si="53"/>
        <v/>
      </c>
      <c r="AB95" s="344"/>
      <c r="AC95" s="363" t="e">
        <f t="shared" ca="1" si="54"/>
        <v>#N/A</v>
      </c>
      <c r="AD95" s="376" t="e">
        <f t="shared" ca="1" si="55"/>
        <v>#N/A</v>
      </c>
      <c r="AE95" s="377">
        <f t="shared" ca="1" si="34"/>
        <v>32.466610386577962</v>
      </c>
      <c r="AF95" s="344"/>
      <c r="AG95" s="359">
        <f t="shared" ca="1" si="56"/>
        <v>81.163818412077589</v>
      </c>
      <c r="AH95" s="357">
        <f t="shared" ca="1" si="57"/>
        <v>90.784429930695268</v>
      </c>
    </row>
    <row r="96" spans="1:34" x14ac:dyDescent="0.25">
      <c r="A96" s="402">
        <f t="shared" ca="1" si="35"/>
        <v>0.01</v>
      </c>
      <c r="B96" s="357">
        <f t="shared" ca="1" si="36"/>
        <v>0.9200000000000006</v>
      </c>
      <c r="C96" s="342"/>
      <c r="D96" s="359">
        <f t="shared" ca="1" si="37"/>
        <v>17.769271301801744</v>
      </c>
      <c r="E96" s="360">
        <f t="shared" ca="1" si="38"/>
        <v>79.184528750363995</v>
      </c>
      <c r="F96" s="357">
        <f t="shared" ca="1" si="39"/>
        <v>81.153783621062658</v>
      </c>
      <c r="G96" s="359">
        <f t="shared" ca="1" si="40"/>
        <v>14.611118548126655</v>
      </c>
      <c r="H96" s="360">
        <f t="shared" ca="1" si="41"/>
        <v>73.079330161381279</v>
      </c>
      <c r="I96" s="357">
        <f t="shared" ca="1" si="42"/>
        <v>74.525655193789348</v>
      </c>
      <c r="J96" s="359">
        <f t="shared" ca="1" si="43"/>
        <v>6.3019915649679819</v>
      </c>
      <c r="K96" s="360">
        <f t="shared" ca="1" si="44"/>
        <v>33.193444461754254</v>
      </c>
      <c r="L96" s="357">
        <f t="shared" ca="1" si="29"/>
        <v>33.786385614926196</v>
      </c>
      <c r="M96" s="359">
        <f t="shared" ca="1" si="45"/>
        <v>1.3734632325644884</v>
      </c>
      <c r="N96" s="357">
        <f t="shared" ca="1" si="46"/>
        <v>78.693646542340232</v>
      </c>
      <c r="O96" s="343"/>
      <c r="P96" s="363">
        <f t="shared" ca="1" si="47"/>
        <v>6</v>
      </c>
      <c r="Q96" s="357">
        <f t="shared" ca="1" si="48"/>
        <v>1016.7140350877193</v>
      </c>
      <c r="R96" s="359">
        <f t="shared" ca="1" si="49"/>
        <v>0.50930486026498556</v>
      </c>
      <c r="S96" s="360">
        <f t="shared" ca="1" si="50"/>
        <v>11.037832595165463</v>
      </c>
      <c r="T96" s="357">
        <f t="shared" ca="1" si="30"/>
        <v>108.28113775857321</v>
      </c>
      <c r="U96" s="364">
        <f t="shared" ca="1" si="31"/>
        <v>0</v>
      </c>
      <c r="V96" s="359">
        <f t="shared" ca="1" si="32"/>
        <v>1.2209405404257314</v>
      </c>
      <c r="W96" s="357">
        <f t="shared" ca="1" si="33"/>
        <v>15.349199750550012</v>
      </c>
      <c r="X96" s="343"/>
      <c r="Y96" s="367" t="str">
        <f t="shared" ca="1" si="51"/>
        <v/>
      </c>
      <c r="Z96" s="368" t="str">
        <f t="shared" ca="1" si="52"/>
        <v/>
      </c>
      <c r="AA96" s="369" t="str">
        <f t="shared" ca="1" si="53"/>
        <v/>
      </c>
      <c r="AB96" s="344"/>
      <c r="AC96" s="363" t="e">
        <f t="shared" ca="1" si="54"/>
        <v>#N/A</v>
      </c>
      <c r="AD96" s="376" t="e">
        <f t="shared" ca="1" si="55"/>
        <v>#N/A</v>
      </c>
      <c r="AE96" s="377">
        <f t="shared" ca="1" si="34"/>
        <v>33.193444461754254</v>
      </c>
      <c r="AF96" s="344"/>
      <c r="AG96" s="359">
        <f t="shared" ca="1" si="56"/>
        <v>81.131048621791876</v>
      </c>
      <c r="AH96" s="357">
        <f t="shared" ca="1" si="57"/>
        <v>90.751160599170305</v>
      </c>
    </row>
    <row r="97" spans="1:34" x14ac:dyDescent="0.25">
      <c r="A97" s="402">
        <f t="shared" ca="1" si="35"/>
        <v>0.01</v>
      </c>
      <c r="B97" s="357">
        <f t="shared" ca="1" si="36"/>
        <v>0.9300000000000006</v>
      </c>
      <c r="C97" s="342"/>
      <c r="D97" s="359">
        <f t="shared" ca="1" si="37"/>
        <v>17.785614160386917</v>
      </c>
      <c r="E97" s="360">
        <f t="shared" ca="1" si="38"/>
        <v>79.146965551176166</v>
      </c>
      <c r="F97" s="357">
        <f t="shared" ca="1" si="39"/>
        <v>81.120713920805841</v>
      </c>
      <c r="G97" s="359">
        <f t="shared" ca="1" si="40"/>
        <v>14.788974689730523</v>
      </c>
      <c r="H97" s="360">
        <f t="shared" ca="1" si="41"/>
        <v>73.87079981689304</v>
      </c>
      <c r="I97" s="357">
        <f t="shared" ca="1" si="42"/>
        <v>75.336636757695629</v>
      </c>
      <c r="J97" s="359">
        <f t="shared" ca="1" si="43"/>
        <v>6.4489920311572675</v>
      </c>
      <c r="K97" s="360">
        <f t="shared" ca="1" si="44"/>
        <v>33.928195111645628</v>
      </c>
      <c r="L97" s="357">
        <f t="shared" ca="1" si="29"/>
        <v>34.535661594239428</v>
      </c>
      <c r="M97" s="359">
        <f t="shared" ca="1" si="45"/>
        <v>1.3732079386599798</v>
      </c>
      <c r="N97" s="357">
        <f t="shared" ca="1" si="46"/>
        <v>78.679019279076485</v>
      </c>
      <c r="O97" s="343"/>
      <c r="P97" s="363">
        <f t="shared" ca="1" si="47"/>
        <v>6</v>
      </c>
      <c r="Q97" s="357">
        <f t="shared" ca="1" si="48"/>
        <v>1016.2122807017544</v>
      </c>
      <c r="R97" s="359">
        <f t="shared" ca="1" si="49"/>
        <v>0.50905351530601761</v>
      </c>
      <c r="S97" s="360">
        <f t="shared" ca="1" si="50"/>
        <v>11.032742060012403</v>
      </c>
      <c r="T97" s="357">
        <f t="shared" ca="1" si="30"/>
        <v>108.23119960872168</v>
      </c>
      <c r="U97" s="364">
        <f t="shared" ca="1" si="31"/>
        <v>0</v>
      </c>
      <c r="V97" s="359">
        <f t="shared" ca="1" si="32"/>
        <v>1.2208508347831748</v>
      </c>
      <c r="W97" s="357">
        <f t="shared" ca="1" si="33"/>
        <v>15.683922176643705</v>
      </c>
      <c r="X97" s="343"/>
      <c r="Y97" s="367" t="str">
        <f t="shared" ca="1" si="51"/>
        <v/>
      </c>
      <c r="Z97" s="368" t="str">
        <f t="shared" ca="1" si="52"/>
        <v/>
      </c>
      <c r="AA97" s="369" t="str">
        <f t="shared" ca="1" si="53"/>
        <v/>
      </c>
      <c r="AB97" s="344"/>
      <c r="AC97" s="363" t="e">
        <f t="shared" ca="1" si="54"/>
        <v>#N/A</v>
      </c>
      <c r="AD97" s="376" t="e">
        <f t="shared" ca="1" si="55"/>
        <v>#N/A</v>
      </c>
      <c r="AE97" s="377">
        <f t="shared" ca="1" si="34"/>
        <v>33.928195111645628</v>
      </c>
      <c r="AF97" s="344"/>
      <c r="AG97" s="359">
        <f t="shared" ca="1" si="56"/>
        <v>81.097910887446943</v>
      </c>
      <c r="AH97" s="357">
        <f t="shared" ca="1" si="57"/>
        <v>90.717527474768062</v>
      </c>
    </row>
    <row r="98" spans="1:34" x14ac:dyDescent="0.25">
      <c r="A98" s="402">
        <f t="shared" ca="1" si="35"/>
        <v>0.01</v>
      </c>
      <c r="B98" s="357">
        <f t="shared" ca="1" si="36"/>
        <v>0.94000000000000061</v>
      </c>
      <c r="C98" s="342"/>
      <c r="D98" s="359">
        <f t="shared" ca="1" si="37"/>
        <v>17.801650018242718</v>
      </c>
      <c r="E98" s="360">
        <f t="shared" ca="1" si="38"/>
        <v>79.109086853340131</v>
      </c>
      <c r="F98" s="357">
        <f t="shared" ca="1" si="39"/>
        <v>81.087276228402899</v>
      </c>
      <c r="G98" s="359">
        <f t="shared" ca="1" si="40"/>
        <v>14.96699118991295</v>
      </c>
      <c r="H98" s="360">
        <f t="shared" ca="1" si="41"/>
        <v>74.661890685426442</v>
      </c>
      <c r="I98" s="357">
        <f t="shared" ca="1" si="42"/>
        <v>76.147283247674039</v>
      </c>
      <c r="J98" s="359">
        <f t="shared" ca="1" si="43"/>
        <v>6.5977718605554845</v>
      </c>
      <c r="K98" s="360">
        <f t="shared" ca="1" si="44"/>
        <v>34.670858564157228</v>
      </c>
      <c r="L98" s="357">
        <f t="shared" ca="1" si="29"/>
        <v>35.293045024476598</v>
      </c>
      <c r="M98" s="359">
        <f t="shared" ca="1" si="45"/>
        <v>1.3729550400535793</v>
      </c>
      <c r="N98" s="357">
        <f t="shared" ca="1" si="46"/>
        <v>78.664529256284993</v>
      </c>
      <c r="O98" s="343"/>
      <c r="P98" s="363">
        <f t="shared" ca="1" si="47"/>
        <v>6</v>
      </c>
      <c r="Q98" s="357">
        <f t="shared" ca="1" si="48"/>
        <v>1015.7105263157895</v>
      </c>
      <c r="R98" s="359">
        <f t="shared" ca="1" si="49"/>
        <v>0.50880217034704978</v>
      </c>
      <c r="S98" s="360">
        <f t="shared" ca="1" si="50"/>
        <v>11.027654038308933</v>
      </c>
      <c r="T98" s="357">
        <f t="shared" ca="1" si="30"/>
        <v>108.18128611581064</v>
      </c>
      <c r="U98" s="364">
        <f t="shared" ca="1" si="31"/>
        <v>0</v>
      </c>
      <c r="V98" s="359">
        <f t="shared" ca="1" si="32"/>
        <v>1.2207601697536312</v>
      </c>
      <c r="W98" s="357">
        <f t="shared" ca="1" si="33"/>
        <v>16.022076297591497</v>
      </c>
      <c r="X98" s="343"/>
      <c r="Y98" s="367" t="str">
        <f t="shared" ca="1" si="51"/>
        <v/>
      </c>
      <c r="Z98" s="368" t="str">
        <f t="shared" ca="1" si="52"/>
        <v/>
      </c>
      <c r="AA98" s="369" t="str">
        <f t="shared" ca="1" si="53"/>
        <v/>
      </c>
      <c r="AB98" s="344"/>
      <c r="AC98" s="363" t="e">
        <f t="shared" ca="1" si="54"/>
        <v>#N/A</v>
      </c>
      <c r="AD98" s="376" t="e">
        <f t="shared" ca="1" si="55"/>
        <v>#N/A</v>
      </c>
      <c r="AE98" s="377">
        <f t="shared" ca="1" si="34"/>
        <v>34.670858564157228</v>
      </c>
      <c r="AF98" s="344"/>
      <c r="AG98" s="359">
        <f t="shared" ca="1" si="56"/>
        <v>81.064405487568905</v>
      </c>
      <c r="AH98" s="357">
        <f t="shared" ca="1" si="57"/>
        <v>90.683530755059635</v>
      </c>
    </row>
    <row r="99" spans="1:34" x14ac:dyDescent="0.25">
      <c r="A99" s="402">
        <f t="shared" ca="1" si="35"/>
        <v>0.01</v>
      </c>
      <c r="B99" s="357">
        <f t="shared" ca="1" si="36"/>
        <v>0.95000000000000062</v>
      </c>
      <c r="C99" s="342"/>
      <c r="D99" s="359">
        <f t="shared" ca="1" si="37"/>
        <v>17.81738337283296</v>
      </c>
      <c r="E99" s="360">
        <f t="shared" ca="1" si="38"/>
        <v>79.070892144797611</v>
      </c>
      <c r="F99" s="357">
        <f t="shared" ca="1" si="39"/>
        <v>81.053470837643474</v>
      </c>
      <c r="G99" s="359">
        <f t="shared" ca="1" si="40"/>
        <v>15.14516502364128</v>
      </c>
      <c r="H99" s="360">
        <f t="shared" ca="1" si="41"/>
        <v>75.452599606874415</v>
      </c>
      <c r="I99" s="357">
        <f t="shared" ca="1" si="42"/>
        <v>76.957590990289134</v>
      </c>
      <c r="J99" s="359">
        <f t="shared" ca="1" si="43"/>
        <v>6.7483326416232554</v>
      </c>
      <c r="K99" s="360">
        <f t="shared" ca="1" si="44"/>
        <v>35.42143101561873</v>
      </c>
      <c r="L99" s="357">
        <f t="shared" ca="1" si="29"/>
        <v>36.058532535812304</v>
      </c>
      <c r="M99" s="359">
        <f t="shared" ca="1" si="45"/>
        <v>1.3727044881901369</v>
      </c>
      <c r="N99" s="357">
        <f t="shared" ca="1" si="46"/>
        <v>78.650173691960603</v>
      </c>
      <c r="O99" s="343"/>
      <c r="P99" s="363">
        <f t="shared" ca="1" si="47"/>
        <v>6</v>
      </c>
      <c r="Q99" s="357">
        <f t="shared" ca="1" si="48"/>
        <v>1015.2087719298245</v>
      </c>
      <c r="R99" s="359">
        <f t="shared" ca="1" si="49"/>
        <v>0.50855082538808183</v>
      </c>
      <c r="S99" s="360">
        <f t="shared" ca="1" si="50"/>
        <v>11.022568530055052</v>
      </c>
      <c r="T99" s="357">
        <f t="shared" ca="1" si="30"/>
        <v>108.13139727984006</v>
      </c>
      <c r="U99" s="364">
        <f t="shared" ca="1" si="31"/>
        <v>0</v>
      </c>
      <c r="V99" s="359">
        <f t="shared" ca="1" si="32"/>
        <v>1.220668546015512</v>
      </c>
      <c r="W99" s="357">
        <f t="shared" ca="1" si="33"/>
        <v>16.363654478903779</v>
      </c>
      <c r="X99" s="343"/>
      <c r="Y99" s="367" t="str">
        <f t="shared" ca="1" si="51"/>
        <v/>
      </c>
      <c r="Z99" s="368" t="str">
        <f t="shared" ca="1" si="52"/>
        <v/>
      </c>
      <c r="AA99" s="369" t="str">
        <f t="shared" ca="1" si="53"/>
        <v/>
      </c>
      <c r="AB99" s="344"/>
      <c r="AC99" s="363" t="e">
        <f t="shared" ca="1" si="54"/>
        <v>#N/A</v>
      </c>
      <c r="AD99" s="376" t="e">
        <f t="shared" ca="1" si="55"/>
        <v>#N/A</v>
      </c>
      <c r="AE99" s="377">
        <f t="shared" ca="1" si="34"/>
        <v>35.42143101561873</v>
      </c>
      <c r="AF99" s="344"/>
      <c r="AG99" s="359">
        <f t="shared" ca="1" si="56"/>
        <v>81.030532706115821</v>
      </c>
      <c r="AH99" s="357">
        <f t="shared" ca="1" si="57"/>
        <v>90.649170645459577</v>
      </c>
    </row>
    <row r="100" spans="1:34" x14ac:dyDescent="0.25">
      <c r="A100" s="402">
        <f t="shared" ca="1" si="35"/>
        <v>0.01</v>
      </c>
      <c r="B100" s="357">
        <f t="shared" ca="1" si="36"/>
        <v>0.96000000000000063</v>
      </c>
      <c r="C100" s="342"/>
      <c r="D100" s="359">
        <f t="shared" ca="1" si="37"/>
        <v>17.832818583869468</v>
      </c>
      <c r="E100" s="360">
        <f t="shared" ca="1" si="38"/>
        <v>79.03238094272227</v>
      </c>
      <c r="F100" s="357">
        <f t="shared" ca="1" si="39"/>
        <v>81.019298047568711</v>
      </c>
      <c r="G100" s="359">
        <f t="shared" ca="1" si="40"/>
        <v>15.323493209479974</v>
      </c>
      <c r="H100" s="360">
        <f t="shared" ca="1" si="41"/>
        <v>76.242923416301636</v>
      </c>
      <c r="I100" s="357">
        <f t="shared" ca="1" si="42"/>
        <v>77.767556314989193</v>
      </c>
      <c r="J100" s="359">
        <f t="shared" ca="1" si="43"/>
        <v>6.9006759327888618</v>
      </c>
      <c r="K100" s="360">
        <f t="shared" ca="1" si="44"/>
        <v>36.179908630734609</v>
      </c>
      <c r="L100" s="357">
        <f t="shared" ca="1" si="29"/>
        <v>36.832120721697201</v>
      </c>
      <c r="M100" s="359">
        <f t="shared" ca="1" si="45"/>
        <v>1.3724562359907475</v>
      </c>
      <c r="N100" s="357">
        <f t="shared" ca="1" si="46"/>
        <v>78.635949888680756</v>
      </c>
      <c r="O100" s="343"/>
      <c r="P100" s="363">
        <f t="shared" ca="1" si="47"/>
        <v>6</v>
      </c>
      <c r="Q100" s="357">
        <f t="shared" ca="1" si="48"/>
        <v>1014.7070175438596</v>
      </c>
      <c r="R100" s="359">
        <f t="shared" ca="1" si="49"/>
        <v>0.50829948042911399</v>
      </c>
      <c r="S100" s="360">
        <f t="shared" ca="1" si="50"/>
        <v>11.017485535250762</v>
      </c>
      <c r="T100" s="357">
        <f t="shared" ca="1" si="30"/>
        <v>108.08153310080998</v>
      </c>
      <c r="U100" s="364">
        <f t="shared" ca="1" si="31"/>
        <v>0</v>
      </c>
      <c r="V100" s="359">
        <f t="shared" ca="1" si="32"/>
        <v>1.2205759642531901</v>
      </c>
      <c r="W100" s="357">
        <f t="shared" ca="1" si="33"/>
        <v>16.708649009646763</v>
      </c>
      <c r="X100" s="343"/>
      <c r="Y100" s="367" t="str">
        <f t="shared" ca="1" si="51"/>
        <v/>
      </c>
      <c r="Z100" s="368" t="str">
        <f t="shared" ca="1" si="52"/>
        <v/>
      </c>
      <c r="AA100" s="369" t="str">
        <f t="shared" ca="1" si="53"/>
        <v/>
      </c>
      <c r="AB100" s="344"/>
      <c r="AC100" s="363" t="e">
        <f t="shared" ca="1" si="54"/>
        <v>#N/A</v>
      </c>
      <c r="AD100" s="376" t="e">
        <f t="shared" ca="1" si="55"/>
        <v>#N/A</v>
      </c>
      <c r="AE100" s="377">
        <f t="shared" ca="1" si="34"/>
        <v>36.179908630734609</v>
      </c>
      <c r="AF100" s="344"/>
      <c r="AG100" s="359">
        <f t="shared" ca="1" si="56"/>
        <v>80.996292832569296</v>
      </c>
      <c r="AH100" s="357">
        <f t="shared" ca="1" si="57"/>
        <v>90.614447359220719</v>
      </c>
    </row>
    <row r="101" spans="1:34" x14ac:dyDescent="0.25">
      <c r="A101" s="402">
        <f t="shared" ca="1" si="35"/>
        <v>0.01</v>
      </c>
      <c r="B101" s="357">
        <f t="shared" ca="1" si="36"/>
        <v>0.97000000000000064</v>
      </c>
      <c r="C101" s="342"/>
      <c r="D101" s="359">
        <f t="shared" ca="1" si="37"/>
        <v>17.847959879053406</v>
      </c>
      <c r="E101" s="360">
        <f t="shared" ca="1" si="38"/>
        <v>78.993552792651556</v>
      </c>
      <c r="F101" s="357">
        <f t="shared" ca="1" si="39"/>
        <v>80.984758162568639</v>
      </c>
      <c r="G101" s="359">
        <f t="shared" ca="1" si="40"/>
        <v>15.501972808270509</v>
      </c>
      <c r="H101" s="360">
        <f t="shared" ca="1" si="41"/>
        <v>77.032858944228153</v>
      </c>
      <c r="I101" s="357">
        <f t="shared" ca="1" si="42"/>
        <v>78.577175554162736</v>
      </c>
      <c r="J101" s="359">
        <f t="shared" ca="1" si="43"/>
        <v>7.0548032628776145</v>
      </c>
      <c r="K101" s="360">
        <f t="shared" ca="1" si="44"/>
        <v>36.946287542537256</v>
      </c>
      <c r="L101" s="357">
        <f t="shared" ca="1" si="29"/>
        <v>37.613806138886723</v>
      </c>
      <c r="M101" s="359">
        <f t="shared" ca="1" si="45"/>
        <v>1.3722102377929035</v>
      </c>
      <c r="N101" s="357">
        <f t="shared" ca="1" si="46"/>
        <v>78.621855230176465</v>
      </c>
      <c r="O101" s="343"/>
      <c r="P101" s="363">
        <f t="shared" ca="1" si="47"/>
        <v>6</v>
      </c>
      <c r="Q101" s="357">
        <f t="shared" ca="1" si="48"/>
        <v>1014.2052631578947</v>
      </c>
      <c r="R101" s="359">
        <f t="shared" ca="1" si="49"/>
        <v>0.50804813547014605</v>
      </c>
      <c r="S101" s="360">
        <f t="shared" ca="1" si="50"/>
        <v>11.01240505389606</v>
      </c>
      <c r="T101" s="357">
        <f t="shared" ca="1" si="30"/>
        <v>108.03169357872035</v>
      </c>
      <c r="U101" s="364">
        <f t="shared" ca="1" si="31"/>
        <v>0</v>
      </c>
      <c r="V101" s="359">
        <f t="shared" ca="1" si="32"/>
        <v>1.2204824251569966</v>
      </c>
      <c r="W101" s="357">
        <f t="shared" ca="1" si="33"/>
        <v>17.057052102700126</v>
      </c>
      <c r="X101" s="343"/>
      <c r="Y101" s="367" t="str">
        <f t="shared" ca="1" si="51"/>
        <v/>
      </c>
      <c r="Z101" s="368" t="str">
        <f t="shared" ca="1" si="52"/>
        <v/>
      </c>
      <c r="AA101" s="369" t="str">
        <f t="shared" ca="1" si="53"/>
        <v/>
      </c>
      <c r="AB101" s="344"/>
      <c r="AC101" s="363" t="e">
        <f t="shared" ca="1" si="54"/>
        <v>#N/A</v>
      </c>
      <c r="AD101" s="376" t="e">
        <f t="shared" ca="1" si="55"/>
        <v>#N/A</v>
      </c>
      <c r="AE101" s="377">
        <f t="shared" ca="1" si="34"/>
        <v>36.946287542537256</v>
      </c>
      <c r="AF101" s="344"/>
      <c r="AG101" s="359">
        <f t="shared" ca="1" si="56"/>
        <v>80.961686162021124</v>
      </c>
      <c r="AH101" s="357">
        <f t="shared" ca="1" si="57"/>
        <v>90.579361117428689</v>
      </c>
    </row>
    <row r="102" spans="1:34" x14ac:dyDescent="0.25">
      <c r="A102" s="402">
        <f t="shared" ca="1" si="35"/>
        <v>0.01</v>
      </c>
      <c r="B102" s="357">
        <f t="shared" ca="1" si="36"/>
        <v>0.98000000000000065</v>
      </c>
      <c r="C102" s="342"/>
      <c r="D102" s="359">
        <f t="shared" ca="1" si="37"/>
        <v>17.862811359523519</v>
      </c>
      <c r="E102" s="360">
        <f t="shared" ca="1" si="38"/>
        <v>78.954407267661068</v>
      </c>
      <c r="F102" s="357">
        <f t="shared" ca="1" si="39"/>
        <v>80.94985149247411</v>
      </c>
      <c r="G102" s="359">
        <f t="shared" ca="1" si="40"/>
        <v>15.680600921865743</v>
      </c>
      <c r="H102" s="360">
        <f t="shared" ca="1" si="41"/>
        <v>77.822403016904758</v>
      </c>
      <c r="I102" s="357">
        <f t="shared" ca="1" si="42"/>
        <v>79.386445043195906</v>
      </c>
      <c r="J102" s="359">
        <f t="shared" ca="1" si="43"/>
        <v>7.2107161315282955</v>
      </c>
      <c r="K102" s="360">
        <f t="shared" ca="1" si="44"/>
        <v>37.72056385234292</v>
      </c>
      <c r="L102" s="357">
        <f t="shared" ca="1" si="29"/>
        <v>38.403585307470472</v>
      </c>
      <c r="M102" s="359">
        <f t="shared" ca="1" si="45"/>
        <v>1.3719664492936685</v>
      </c>
      <c r="N102" s="357">
        <f t="shared" ca="1" si="46"/>
        <v>78.607887178076467</v>
      </c>
      <c r="O102" s="343"/>
      <c r="P102" s="363">
        <f t="shared" ca="1" si="47"/>
        <v>6</v>
      </c>
      <c r="Q102" s="357">
        <f t="shared" ca="1" si="48"/>
        <v>1013.7035087719298</v>
      </c>
      <c r="R102" s="359">
        <f t="shared" ca="1" si="49"/>
        <v>0.50779679051117821</v>
      </c>
      <c r="S102" s="360">
        <f t="shared" ca="1" si="50"/>
        <v>11.007327085990948</v>
      </c>
      <c r="T102" s="357">
        <f t="shared" ca="1" si="30"/>
        <v>107.98187871357121</v>
      </c>
      <c r="U102" s="364">
        <f t="shared" ca="1" si="31"/>
        <v>0</v>
      </c>
      <c r="V102" s="359">
        <f t="shared" ca="1" si="32"/>
        <v>1.2203879294232218</v>
      </c>
      <c r="W102" s="357">
        <f t="shared" ca="1" si="33"/>
        <v>17.408855895018121</v>
      </c>
      <c r="X102" s="343"/>
      <c r="Y102" s="367" t="str">
        <f t="shared" ca="1" si="51"/>
        <v/>
      </c>
      <c r="Z102" s="368" t="str">
        <f t="shared" ca="1" si="52"/>
        <v/>
      </c>
      <c r="AA102" s="369" t="str">
        <f t="shared" ca="1" si="53"/>
        <v/>
      </c>
      <c r="AB102" s="344"/>
      <c r="AC102" s="363" t="e">
        <f t="shared" ca="1" si="54"/>
        <v>#N/A</v>
      </c>
      <c r="AD102" s="376" t="e">
        <f t="shared" ca="1" si="55"/>
        <v>#N/A</v>
      </c>
      <c r="AE102" s="377">
        <f t="shared" ca="1" si="34"/>
        <v>37.72056385234292</v>
      </c>
      <c r="AF102" s="344"/>
      <c r="AG102" s="359">
        <f t="shared" ca="1" si="56"/>
        <v>80.926712995254761</v>
      </c>
      <c r="AH102" s="357">
        <f t="shared" ca="1" si="57"/>
        <v>90.5439121489961</v>
      </c>
    </row>
    <row r="103" spans="1:34" x14ac:dyDescent="0.25">
      <c r="A103" s="402">
        <f t="shared" ca="1" si="35"/>
        <v>0.01</v>
      </c>
      <c r="B103" s="357">
        <f t="shared" ca="1" si="36"/>
        <v>0.99000000000000066</v>
      </c>
      <c r="C103" s="342"/>
      <c r="D103" s="359">
        <f t="shared" ca="1" si="37"/>
        <v>17.877377005028933</v>
      </c>
      <c r="E103" s="360">
        <f t="shared" ca="1" si="38"/>
        <v>78.91494396757912</v>
      </c>
      <c r="F103" s="357">
        <f t="shared" ca="1" si="39"/>
        <v>80.914578352643531</v>
      </c>
      <c r="G103" s="359">
        <f t="shared" ca="1" si="40"/>
        <v>15.859374691916033</v>
      </c>
      <c r="H103" s="360">
        <f t="shared" ca="1" si="41"/>
        <v>78.611552456580554</v>
      </c>
      <c r="I103" s="357">
        <f t="shared" ca="1" si="42"/>
        <v>80.195361120530549</v>
      </c>
      <c r="J103" s="359">
        <f t="shared" ca="1" si="43"/>
        <v>7.3684160095972047</v>
      </c>
      <c r="K103" s="360">
        <f t="shared" ca="1" si="44"/>
        <v>38.502733629710349</v>
      </c>
      <c r="L103" s="357">
        <f t="shared" ca="1" si="29"/>
        <v>39.201454710902205</v>
      </c>
      <c r="M103" s="359">
        <f t="shared" ca="1" si="45"/>
        <v>1.3717248274956877</v>
      </c>
      <c r="N103" s="357">
        <f t="shared" ca="1" si="46"/>
        <v>78.594043268813806</v>
      </c>
      <c r="O103" s="343"/>
      <c r="P103" s="363">
        <f t="shared" ca="1" si="47"/>
        <v>6</v>
      </c>
      <c r="Q103" s="357">
        <f t="shared" ca="1" si="48"/>
        <v>1013.2017543859648</v>
      </c>
      <c r="R103" s="359">
        <f t="shared" ca="1" si="49"/>
        <v>0.50754544555221026</v>
      </c>
      <c r="S103" s="360">
        <f t="shared" ca="1" si="50"/>
        <v>11.002251631535426</v>
      </c>
      <c r="T103" s="357">
        <f t="shared" ca="1" si="30"/>
        <v>107.93208850536253</v>
      </c>
      <c r="U103" s="364">
        <f t="shared" ca="1" si="31"/>
        <v>0</v>
      </c>
      <c r="V103" s="359">
        <f t="shared" ca="1" si="32"/>
        <v>1.2202924777541151</v>
      </c>
      <c r="W103" s="357">
        <f t="shared" ca="1" si="33"/>
        <v>17.764052447894027</v>
      </c>
      <c r="X103" s="343"/>
      <c r="Y103" s="367" t="str">
        <f t="shared" ca="1" si="51"/>
        <v/>
      </c>
      <c r="Z103" s="368" t="str">
        <f t="shared" ca="1" si="52"/>
        <v/>
      </c>
      <c r="AA103" s="369" t="str">
        <f t="shared" ca="1" si="53"/>
        <v/>
      </c>
      <c r="AB103" s="344"/>
      <c r="AC103" s="363" t="e">
        <f t="shared" ca="1" si="54"/>
        <v>#N/A</v>
      </c>
      <c r="AD103" s="376" t="e">
        <f t="shared" ca="1" si="55"/>
        <v>#N/A</v>
      </c>
      <c r="AE103" s="377">
        <f t="shared" ca="1" si="34"/>
        <v>38.502733629710349</v>
      </c>
      <c r="AF103" s="344"/>
      <c r="AG103" s="359">
        <f t="shared" ca="1" si="56"/>
        <v>80.891373638822373</v>
      </c>
      <c r="AH103" s="357">
        <f t="shared" ca="1" si="57"/>
        <v>90.508100690656377</v>
      </c>
    </row>
    <row r="104" spans="1:34" x14ac:dyDescent="0.25">
      <c r="A104" s="402">
        <f t="shared" ca="1" si="35"/>
        <v>0.01</v>
      </c>
      <c r="B104" s="357">
        <f t="shared" ca="1" si="36"/>
        <v>1.0000000000000007</v>
      </c>
      <c r="C104" s="342"/>
      <c r="D104" s="359">
        <f t="shared" ca="1" si="37"/>
        <v>17.891660678843159</v>
      </c>
      <c r="E104" s="360">
        <f t="shared" ca="1" si="38"/>
        <v>78.875162518238938</v>
      </c>
      <c r="F104" s="357">
        <f t="shared" ca="1" si="39"/>
        <v>80.878939064044772</v>
      </c>
      <c r="G104" s="359">
        <f t="shared" ca="1" si="40"/>
        <v>16.038291298704465</v>
      </c>
      <c r="H104" s="360">
        <f t="shared" ca="1" si="41"/>
        <v>79.40030408176294</v>
      </c>
      <c r="I104" s="357">
        <f t="shared" ca="1" si="42"/>
        <v>81.003920127722949</v>
      </c>
      <c r="J104" s="359">
        <f t="shared" ca="1" si="43"/>
        <v>7.5279043395503074</v>
      </c>
      <c r="K104" s="360">
        <f t="shared" ca="1" si="44"/>
        <v>39.292792912402064</v>
      </c>
      <c r="L104" s="357">
        <f t="shared" ca="1" si="29"/>
        <v>40.007410796030456</v>
      </c>
      <c r="M104" s="359">
        <f t="shared" ca="1" si="45"/>
        <v>1.3714853306558685</v>
      </c>
      <c r="N104" s="357">
        <f t="shared" ca="1" si="46"/>
        <v>78.580321110685446</v>
      </c>
      <c r="O104" s="343"/>
      <c r="P104" s="363">
        <f t="shared" ca="1" si="47"/>
        <v>6</v>
      </c>
      <c r="Q104" s="357">
        <f t="shared" ca="1" si="48"/>
        <v>1012.6999999999999</v>
      </c>
      <c r="R104" s="359">
        <f t="shared" ca="1" si="49"/>
        <v>0.50729410059324243</v>
      </c>
      <c r="S104" s="360">
        <f t="shared" ca="1" si="50"/>
        <v>10.997178690529493</v>
      </c>
      <c r="T104" s="357">
        <f t="shared" ca="1" si="30"/>
        <v>107.88232295409433</v>
      </c>
      <c r="U104" s="364">
        <f t="shared" ca="1" si="31"/>
        <v>0</v>
      </c>
      <c r="V104" s="359">
        <f t="shared" ca="1" si="32"/>
        <v>1.2201960708578783</v>
      </c>
      <c r="W104" s="357">
        <f t="shared" ca="1" si="33"/>
        <v>18.122633747227834</v>
      </c>
      <c r="X104" s="343"/>
      <c r="Y104" s="367" t="str">
        <f t="shared" ca="1" si="51"/>
        <v/>
      </c>
      <c r="Z104" s="368" t="str">
        <f t="shared" ca="1" si="52"/>
        <v/>
      </c>
      <c r="AA104" s="369" t="str">
        <f t="shared" ca="1" si="53"/>
        <v/>
      </c>
      <c r="AB104" s="344"/>
      <c r="AC104" s="363">
        <f t="shared" ca="1" si="54"/>
        <v>1.0000000000000007</v>
      </c>
      <c r="AD104" s="376">
        <f t="shared" ca="1" si="55"/>
        <v>7.5279043395503074</v>
      </c>
      <c r="AE104" s="377">
        <f t="shared" ca="1" si="34"/>
        <v>39.292792912402064</v>
      </c>
      <c r="AF104" s="344"/>
      <c r="AG104" s="359">
        <f t="shared" ca="1" si="56"/>
        <v>80.855668405117257</v>
      </c>
      <c r="AH104" s="357">
        <f t="shared" ca="1" si="57"/>
        <v>90.4719269869572</v>
      </c>
    </row>
    <row r="105" spans="1:34" x14ac:dyDescent="0.25">
      <c r="A105" s="402">
        <f t="shared" ca="1" si="35"/>
        <v>0.01</v>
      </c>
      <c r="B105" s="357">
        <f t="shared" ca="1" si="36"/>
        <v>1.0100000000000007</v>
      </c>
      <c r="C105" s="342"/>
      <c r="D105" s="359">
        <f t="shared" ca="1" si="37"/>
        <v>17.905666132434636</v>
      </c>
      <c r="E105" s="360">
        <f t="shared" ca="1" si="38"/>
        <v>78.835062570766283</v>
      </c>
      <c r="F105" s="357">
        <f t="shared" ca="1" si="39"/>
        <v>80.84293395333232</v>
      </c>
      <c r="G105" s="359">
        <f t="shared" ca="1" si="40"/>
        <v>16.21734796002881</v>
      </c>
      <c r="H105" s="360">
        <f t="shared" ca="1" si="41"/>
        <v>80.188654707470604</v>
      </c>
      <c r="I105" s="357">
        <f t="shared" ca="1" si="42"/>
        <v>81.812118409503356</v>
      </c>
      <c r="J105" s="359">
        <f t="shared" ca="1" si="43"/>
        <v>7.6891825358439734</v>
      </c>
      <c r="K105" s="360">
        <f t="shared" ca="1" si="44"/>
        <v>40.090737706348229</v>
      </c>
      <c r="L105" s="357">
        <f t="shared" ca="1" si="29"/>
        <v>40.821449973129809</v>
      </c>
      <c r="M105" s="359">
        <f t="shared" ca="1" si="45"/>
        <v>1.3712479182365724</v>
      </c>
      <c r="N105" s="357">
        <f t="shared" ca="1" si="46"/>
        <v>78.566718381055793</v>
      </c>
      <c r="O105" s="343"/>
      <c r="P105" s="363">
        <f t="shared" ca="1" si="47"/>
        <v>6</v>
      </c>
      <c r="Q105" s="357">
        <f t="shared" ca="1" si="48"/>
        <v>1012.198245614035</v>
      </c>
      <c r="R105" s="359">
        <f t="shared" ca="1" si="49"/>
        <v>0.50704275563427448</v>
      </c>
      <c r="S105" s="360">
        <f t="shared" ca="1" si="50"/>
        <v>10.992108262973151</v>
      </c>
      <c r="T105" s="357">
        <f t="shared" ca="1" si="30"/>
        <v>107.83258205976661</v>
      </c>
      <c r="U105" s="364">
        <f t="shared" ca="1" si="31"/>
        <v>0</v>
      </c>
      <c r="V105" s="359">
        <f t="shared" ca="1" si="32"/>
        <v>1.2200987094486682</v>
      </c>
      <c r="W105" s="357">
        <f t="shared" ca="1" si="33"/>
        <v>18.484591703797477</v>
      </c>
      <c r="X105" s="343"/>
      <c r="Y105" s="367" t="str">
        <f t="shared" ca="1" si="51"/>
        <v/>
      </c>
      <c r="Z105" s="368" t="str">
        <f t="shared" ca="1" si="52"/>
        <v/>
      </c>
      <c r="AA105" s="369" t="str">
        <f t="shared" ca="1" si="53"/>
        <v/>
      </c>
      <c r="AB105" s="344"/>
      <c r="AC105" s="363" t="e">
        <f t="shared" ca="1" si="54"/>
        <v>#N/A</v>
      </c>
      <c r="AD105" s="376" t="e">
        <f t="shared" ca="1" si="55"/>
        <v>#N/A</v>
      </c>
      <c r="AE105" s="377">
        <f t="shared" ca="1" si="34"/>
        <v>40.090737706348229</v>
      </c>
      <c r="AF105" s="344"/>
      <c r="AG105" s="359">
        <f t="shared" ca="1" si="56"/>
        <v>80.819597612442294</v>
      </c>
      <c r="AH105" s="357">
        <f t="shared" ca="1" si="57"/>
        <v>90.435391290253648</v>
      </c>
    </row>
    <row r="106" spans="1:34" x14ac:dyDescent="0.25">
      <c r="A106" s="402">
        <f t="shared" ca="1" si="35"/>
        <v>0.01</v>
      </c>
      <c r="B106" s="357">
        <f t="shared" ca="1" si="36"/>
        <v>1.0200000000000007</v>
      </c>
      <c r="C106" s="342"/>
      <c r="D106" s="359">
        <f t="shared" ca="1" si="37"/>
        <v>17.919397009908259</v>
      </c>
      <c r="E106" s="360">
        <f t="shared" ca="1" si="38"/>
        <v>78.79464380090063</v>
      </c>
      <c r="F106" s="357">
        <f t="shared" ca="1" si="39"/>
        <v>80.806563352920264</v>
      </c>
      <c r="G106" s="359">
        <f t="shared" ca="1" si="40"/>
        <v>16.396541930127892</v>
      </c>
      <c r="H106" s="360">
        <f t="shared" ca="1" si="41"/>
        <v>80.976601145479606</v>
      </c>
      <c r="I106" s="357">
        <f t="shared" ca="1" si="42"/>
        <v>82.619952313835981</v>
      </c>
      <c r="J106" s="359">
        <f t="shared" ca="1" si="43"/>
        <v>7.8522519852947568</v>
      </c>
      <c r="K106" s="360">
        <f t="shared" ca="1" si="44"/>
        <v>40.896563985612978</v>
      </c>
      <c r="L106" s="357">
        <f t="shared" ca="1" si="29"/>
        <v>41.643568615932779</v>
      </c>
      <c r="M106" s="359">
        <f t="shared" ca="1" si="45"/>
        <v>1.3710125508591697</v>
      </c>
      <c r="N106" s="357">
        <f t="shared" ca="1" si="46"/>
        <v>78.553232823695552</v>
      </c>
      <c r="O106" s="343"/>
      <c r="P106" s="363">
        <f t="shared" ca="1" si="47"/>
        <v>6</v>
      </c>
      <c r="Q106" s="357">
        <f t="shared" ca="1" si="48"/>
        <v>1011.6964912280702</v>
      </c>
      <c r="R106" s="359">
        <f t="shared" ca="1" si="49"/>
        <v>0.50679141067530664</v>
      </c>
      <c r="S106" s="360">
        <f t="shared" ca="1" si="50"/>
        <v>10.987040348866397</v>
      </c>
      <c r="T106" s="357">
        <f t="shared" ca="1" si="30"/>
        <v>107.78286582237936</v>
      </c>
      <c r="U106" s="364">
        <f t="shared" ca="1" si="31"/>
        <v>0</v>
      </c>
      <c r="V106" s="359">
        <f t="shared" ca="1" si="32"/>
        <v>1.2200003942465922</v>
      </c>
      <c r="W106" s="357">
        <f t="shared" ca="1" si="33"/>
        <v>18.849918153533242</v>
      </c>
      <c r="X106" s="343"/>
      <c r="Y106" s="367" t="str">
        <f t="shared" ca="1" si="51"/>
        <v/>
      </c>
      <c r="Z106" s="368" t="str">
        <f t="shared" ca="1" si="52"/>
        <v/>
      </c>
      <c r="AA106" s="369" t="str">
        <f t="shared" ca="1" si="53"/>
        <v/>
      </c>
      <c r="AB106" s="344"/>
      <c r="AC106" s="363" t="e">
        <f t="shared" ca="1" si="54"/>
        <v>#N/A</v>
      </c>
      <c r="AD106" s="376" t="e">
        <f t="shared" ca="1" si="55"/>
        <v>#N/A</v>
      </c>
      <c r="AE106" s="377">
        <f t="shared" ca="1" si="34"/>
        <v>40.896563985612978</v>
      </c>
      <c r="AF106" s="344"/>
      <c r="AG106" s="359">
        <f t="shared" ca="1" si="56"/>
        <v>80.783161585074311</v>
      </c>
      <c r="AH106" s="357">
        <f t="shared" ca="1" si="57"/>
        <v>90.398493860700952</v>
      </c>
    </row>
    <row r="107" spans="1:34" x14ac:dyDescent="0.25">
      <c r="A107" s="402">
        <f t="shared" ca="1" si="35"/>
        <v>0.01</v>
      </c>
      <c r="B107" s="357">
        <f t="shared" ca="1" si="36"/>
        <v>1.0300000000000007</v>
      </c>
      <c r="C107" s="342"/>
      <c r="D107" s="359">
        <f t="shared" ca="1" si="37"/>
        <v>17.932856852231417</v>
      </c>
      <c r="E107" s="360">
        <f t="shared" ca="1" si="38"/>
        <v>78.753905908347676</v>
      </c>
      <c r="F107" s="357">
        <f t="shared" ca="1" si="39"/>
        <v>80.76982760105102</v>
      </c>
      <c r="G107" s="359">
        <f t="shared" ca="1" si="40"/>
        <v>16.575870498650207</v>
      </c>
      <c r="H107" s="360">
        <f t="shared" ca="1" si="41"/>
        <v>81.764140204563077</v>
      </c>
      <c r="I107" s="357">
        <f t="shared" ca="1" si="42"/>
        <v>83.427418191979726</v>
      </c>
      <c r="J107" s="359">
        <f t="shared" ca="1" si="43"/>
        <v>8.017114047438648</v>
      </c>
      <c r="K107" s="360">
        <f t="shared" ca="1" si="44"/>
        <v>41.710267692363189</v>
      </c>
      <c r="L107" s="357">
        <f t="shared" ca="1" si="29"/>
        <v>42.473763061662368</v>
      </c>
      <c r="M107" s="359">
        <f t="shared" ca="1" si="45"/>
        <v>1.3707791902598263</v>
      </c>
      <c r="N107" s="357">
        <f t="shared" ca="1" si="46"/>
        <v>78.539862246248532</v>
      </c>
      <c r="O107" s="343"/>
      <c r="P107" s="363">
        <f t="shared" ca="1" si="47"/>
        <v>6</v>
      </c>
      <c r="Q107" s="357">
        <f t="shared" ca="1" si="48"/>
        <v>1011.1947368421052</v>
      </c>
      <c r="R107" s="359">
        <f t="shared" ca="1" si="49"/>
        <v>0.50654006571633869</v>
      </c>
      <c r="S107" s="360">
        <f t="shared" ca="1" si="50"/>
        <v>10.981974948209235</v>
      </c>
      <c r="T107" s="357">
        <f t="shared" ca="1" si="30"/>
        <v>107.7331742419326</v>
      </c>
      <c r="U107" s="364">
        <f t="shared" ca="1" si="31"/>
        <v>0</v>
      </c>
      <c r="V107" s="359">
        <f t="shared" ca="1" si="32"/>
        <v>1.2199011259777055</v>
      </c>
      <c r="W107" s="357">
        <f t="shared" ca="1" si="33"/>
        <v>19.218604857795594</v>
      </c>
      <c r="X107" s="343"/>
      <c r="Y107" s="367" t="str">
        <f t="shared" ca="1" si="51"/>
        <v/>
      </c>
      <c r="Z107" s="368" t="str">
        <f t="shared" ca="1" si="52"/>
        <v/>
      </c>
      <c r="AA107" s="369" t="str">
        <f t="shared" ca="1" si="53"/>
        <v/>
      </c>
      <c r="AB107" s="344"/>
      <c r="AC107" s="363" t="e">
        <f t="shared" ca="1" si="54"/>
        <v>#N/A</v>
      </c>
      <c r="AD107" s="376" t="e">
        <f t="shared" ca="1" si="55"/>
        <v>#N/A</v>
      </c>
      <c r="AE107" s="377">
        <f t="shared" ca="1" si="34"/>
        <v>41.710267692363189</v>
      </c>
      <c r="AF107" s="344"/>
      <c r="AG107" s="359">
        <f t="shared" ca="1" si="56"/>
        <v>80.746360653324757</v>
      </c>
      <c r="AH107" s="357">
        <f t="shared" ca="1" si="57"/>
        <v>90.361234966246911</v>
      </c>
    </row>
    <row r="108" spans="1:34" x14ac:dyDescent="0.25">
      <c r="A108" s="402">
        <f t="shared" ca="1" si="35"/>
        <v>0.01</v>
      </c>
      <c r="B108" s="357">
        <f t="shared" ca="1" si="36"/>
        <v>1.0400000000000007</v>
      </c>
      <c r="C108" s="342"/>
      <c r="D108" s="359">
        <f t="shared" ca="1" si="37"/>
        <v>17.946049101256531</v>
      </c>
      <c r="E108" s="360">
        <f t="shared" ca="1" si="38"/>
        <v>78.712848616161622</v>
      </c>
      <c r="F108" s="357">
        <f t="shared" ca="1" si="39"/>
        <v>80.732727041860088</v>
      </c>
      <c r="G108" s="359">
        <f t="shared" ca="1" si="40"/>
        <v>16.755330989662774</v>
      </c>
      <c r="H108" s="360">
        <f t="shared" ca="1" si="41"/>
        <v>82.551268690724697</v>
      </c>
      <c r="I108" s="357">
        <f t="shared" ca="1" si="42"/>
        <v>84.234512398549427</v>
      </c>
      <c r="J108" s="359">
        <f t="shared" ca="1" si="43"/>
        <v>8.1837700548802133</v>
      </c>
      <c r="K108" s="360">
        <f t="shared" ca="1" si="44"/>
        <v>42.531844736839631</v>
      </c>
      <c r="L108" s="357">
        <f t="shared" ca="1" si="29"/>
        <v>43.312029611065185</v>
      </c>
      <c r="M108" s="359">
        <f t="shared" ca="1" si="45"/>
        <v>1.3705477992473876</v>
      </c>
      <c r="N108" s="357">
        <f t="shared" ca="1" si="46"/>
        <v>78.526604517818527</v>
      </c>
      <c r="O108" s="343"/>
      <c r="P108" s="363">
        <f t="shared" ca="1" si="47"/>
        <v>6</v>
      </c>
      <c r="Q108" s="357">
        <f t="shared" ca="1" si="48"/>
        <v>1010.6929824561403</v>
      </c>
      <c r="R108" s="359">
        <f t="shared" ca="1" si="49"/>
        <v>0.50628872075737075</v>
      </c>
      <c r="S108" s="360">
        <f t="shared" ca="1" si="50"/>
        <v>10.976912061001661</v>
      </c>
      <c r="T108" s="357">
        <f t="shared" ca="1" si="30"/>
        <v>107.68350731842629</v>
      </c>
      <c r="U108" s="364">
        <f t="shared" ca="1" si="31"/>
        <v>0</v>
      </c>
      <c r="V108" s="359">
        <f t="shared" ca="1" si="32"/>
        <v>1.2198009053740073</v>
      </c>
      <c r="W108" s="357">
        <f t="shared" ca="1" si="33"/>
        <v>19.590643503656302</v>
      </c>
      <c r="X108" s="343"/>
      <c r="Y108" s="367" t="str">
        <f t="shared" ca="1" si="51"/>
        <v/>
      </c>
      <c r="Z108" s="368" t="str">
        <f t="shared" ca="1" si="52"/>
        <v/>
      </c>
      <c r="AA108" s="369" t="str">
        <f t="shared" ca="1" si="53"/>
        <v/>
      </c>
      <c r="AB108" s="344"/>
      <c r="AC108" s="363" t="e">
        <f t="shared" ca="1" si="54"/>
        <v>#N/A</v>
      </c>
      <c r="AD108" s="376" t="e">
        <f t="shared" ca="1" si="55"/>
        <v>#N/A</v>
      </c>
      <c r="AE108" s="377">
        <f t="shared" ca="1" si="34"/>
        <v>42.531844736839631</v>
      </c>
      <c r="AF108" s="344"/>
      <c r="AG108" s="359">
        <f t="shared" ca="1" si="56"/>
        <v>80.709195153596923</v>
      </c>
      <c r="AH108" s="357">
        <f t="shared" ca="1" si="57"/>
        <v>90.323614882624014</v>
      </c>
    </row>
    <row r="109" spans="1:34" x14ac:dyDescent="0.25">
      <c r="A109" s="402">
        <f t="shared" ca="1" si="35"/>
        <v>0.01</v>
      </c>
      <c r="B109" s="357">
        <f t="shared" ca="1" si="36"/>
        <v>1.0500000000000007</v>
      </c>
      <c r="C109" s="342"/>
      <c r="D109" s="359">
        <f t="shared" ca="1" si="37"/>
        <v>17.958977103552336</v>
      </c>
      <c r="E109" s="360">
        <f t="shared" ca="1" si="38"/>
        <v>78.671471670155327</v>
      </c>
      <c r="F109" s="357">
        <f t="shared" ca="1" si="39"/>
        <v>80.695262025437216</v>
      </c>
      <c r="G109" s="359">
        <f t="shared" ca="1" si="40"/>
        <v>16.934920760698297</v>
      </c>
      <c r="H109" s="360">
        <f t="shared" ca="1" si="41"/>
        <v>83.33798340742625</v>
      </c>
      <c r="I109" s="357">
        <f t="shared" ca="1" si="42"/>
        <v>85.041231291577517</v>
      </c>
      <c r="J109" s="359">
        <f t="shared" ca="1" si="43"/>
        <v>8.3522213136320183</v>
      </c>
      <c r="K109" s="360">
        <f t="shared" ca="1" si="44"/>
        <v>43.361290997330386</v>
      </c>
      <c r="L109" s="357">
        <f t="shared" ca="1" si="29"/>
        <v>44.158364528445276</v>
      </c>
      <c r="M109" s="359">
        <f t="shared" ca="1" si="45"/>
        <v>1.3703183416632452</v>
      </c>
      <c r="N109" s="357">
        <f t="shared" ca="1" si="46"/>
        <v>78.513457566669899</v>
      </c>
      <c r="O109" s="343"/>
      <c r="P109" s="363">
        <f t="shared" ca="1" si="47"/>
        <v>6</v>
      </c>
      <c r="Q109" s="357">
        <f t="shared" ca="1" si="48"/>
        <v>1010.1912280701754</v>
      </c>
      <c r="R109" s="359">
        <f t="shared" ca="1" si="49"/>
        <v>0.50603737579840291</v>
      </c>
      <c r="S109" s="360">
        <f t="shared" ca="1" si="50"/>
        <v>10.971851687243676</v>
      </c>
      <c r="T109" s="357">
        <f t="shared" ca="1" si="30"/>
        <v>107.63386505186047</v>
      </c>
      <c r="U109" s="364">
        <f t="shared" ca="1" si="31"/>
        <v>0</v>
      </c>
      <c r="V109" s="359">
        <f t="shared" ca="1" si="32"/>
        <v>1.2196997331734385</v>
      </c>
      <c r="W109" s="357">
        <f t="shared" ca="1" si="33"/>
        <v>19.966025704182833</v>
      </c>
      <c r="X109" s="343"/>
      <c r="Y109" s="367" t="str">
        <f t="shared" ca="1" si="51"/>
        <v/>
      </c>
      <c r="Z109" s="368" t="str">
        <f t="shared" ca="1" si="52"/>
        <v/>
      </c>
      <c r="AA109" s="369" t="str">
        <f t="shared" ca="1" si="53"/>
        <v/>
      </c>
      <c r="AB109" s="344"/>
      <c r="AC109" s="363" t="e">
        <f t="shared" ca="1" si="54"/>
        <v>#N/A</v>
      </c>
      <c r="AD109" s="376" t="e">
        <f t="shared" ca="1" si="55"/>
        <v>#N/A</v>
      </c>
      <c r="AE109" s="377">
        <f t="shared" ca="1" si="34"/>
        <v>43.361290997330386</v>
      </c>
      <c r="AF109" s="344"/>
      <c r="AG109" s="359">
        <f t="shared" ca="1" si="56"/>
        <v>80.671665428439567</v>
      </c>
      <c r="AH109" s="357">
        <f t="shared" ca="1" si="57"/>
        <v>90.285633893341071</v>
      </c>
    </row>
    <row r="110" spans="1:34" x14ac:dyDescent="0.25">
      <c r="A110" s="402">
        <f t="shared" ca="1" si="35"/>
        <v>0.01</v>
      </c>
      <c r="B110" s="357">
        <f t="shared" ca="1" si="36"/>
        <v>1.0600000000000007</v>
      </c>
      <c r="C110" s="342"/>
      <c r="D110" s="359">
        <f t="shared" ca="1" si="37"/>
        <v>17.971644114054396</v>
      </c>
      <c r="E110" s="360">
        <f t="shared" ca="1" si="38"/>
        <v>78.629774838336957</v>
      </c>
      <c r="F110" s="357">
        <f t="shared" ca="1" si="39"/>
        <v>80.657432907883901</v>
      </c>
      <c r="G110" s="359">
        <f t="shared" ca="1" si="40"/>
        <v>17.114637201838843</v>
      </c>
      <c r="H110" s="360">
        <f t="shared" ca="1" si="41"/>
        <v>84.124281155809626</v>
      </c>
      <c r="I110" s="357">
        <f t="shared" ca="1" si="42"/>
        <v>85.847571232576371</v>
      </c>
      <c r="J110" s="359">
        <f t="shared" ca="1" si="43"/>
        <v>8.5224691034447044</v>
      </c>
      <c r="K110" s="360">
        <f t="shared" ca="1" si="44"/>
        <v>44.198602320146563</v>
      </c>
      <c r="L110" s="357">
        <f t="shared" ca="1" si="29"/>
        <v>45.012764041698603</v>
      </c>
      <c r="M110" s="359">
        <f t="shared" ca="1" si="45"/>
        <v>1.3700907823430752</v>
      </c>
      <c r="N110" s="357">
        <f t="shared" ca="1" si="46"/>
        <v>78.500419378035303</v>
      </c>
      <c r="O110" s="343"/>
      <c r="P110" s="363">
        <f t="shared" ca="1" si="47"/>
        <v>6</v>
      </c>
      <c r="Q110" s="357">
        <f t="shared" ca="1" si="48"/>
        <v>1009.6894736842105</v>
      </c>
      <c r="R110" s="359">
        <f t="shared" ca="1" si="49"/>
        <v>0.50578603083943507</v>
      </c>
      <c r="S110" s="360">
        <f t="shared" ca="1" si="50"/>
        <v>10.966793826935282</v>
      </c>
      <c r="T110" s="357">
        <f t="shared" ca="1" si="30"/>
        <v>107.58424744223512</v>
      </c>
      <c r="U110" s="364">
        <f t="shared" ca="1" si="31"/>
        <v>0</v>
      </c>
      <c r="V110" s="359">
        <f t="shared" ca="1" si="32"/>
        <v>1.2195976101198767</v>
      </c>
      <c r="W110" s="357">
        <f t="shared" ca="1" si="33"/>
        <v>20.344742998726133</v>
      </c>
      <c r="X110" s="343"/>
      <c r="Y110" s="367" t="str">
        <f t="shared" ca="1" si="51"/>
        <v/>
      </c>
      <c r="Z110" s="368" t="str">
        <f t="shared" ca="1" si="52"/>
        <v/>
      </c>
      <c r="AA110" s="369" t="str">
        <f t="shared" ca="1" si="53"/>
        <v/>
      </c>
      <c r="AB110" s="344"/>
      <c r="AC110" s="363" t="e">
        <f t="shared" ca="1" si="54"/>
        <v>#N/A</v>
      </c>
      <c r="AD110" s="376" t="e">
        <f t="shared" ca="1" si="55"/>
        <v>#N/A</v>
      </c>
      <c r="AE110" s="377">
        <f t="shared" ca="1" si="34"/>
        <v>44.198602320146563</v>
      </c>
      <c r="AF110" s="344"/>
      <c r="AG110" s="359">
        <f t="shared" ca="1" si="56"/>
        <v>80.633771826597538</v>
      </c>
      <c r="AH110" s="357">
        <f t="shared" ca="1" si="57"/>
        <v>90.247292289674618</v>
      </c>
    </row>
    <row r="111" spans="1:34" x14ac:dyDescent="0.25">
      <c r="A111" s="402">
        <f t="shared" ca="1" si="35"/>
        <v>0.01</v>
      </c>
      <c r="B111" s="357">
        <f t="shared" ca="1" si="36"/>
        <v>1.0700000000000007</v>
      </c>
      <c r="C111" s="342"/>
      <c r="D111" s="359">
        <f t="shared" ca="1" si="37"/>
        <v>17.984053299544989</v>
      </c>
      <c r="E111" s="360">
        <f t="shared" ca="1" si="38"/>
        <v>78.587757910371494</v>
      </c>
      <c r="F111" s="357">
        <f t="shared" ca="1" si="39"/>
        <v>80.619240051367584</v>
      </c>
      <c r="G111" s="359">
        <f t="shared" ca="1" si="40"/>
        <v>17.294477734834292</v>
      </c>
      <c r="H111" s="360">
        <f t="shared" ca="1" si="41"/>
        <v>84.910158734913338</v>
      </c>
      <c r="I111" s="357">
        <f t="shared" ca="1" si="42"/>
        <v>86.653528586600899</v>
      </c>
      <c r="J111" s="359">
        <f t="shared" ca="1" si="43"/>
        <v>8.6945146781280709</v>
      </c>
      <c r="K111" s="360">
        <f t="shared" ca="1" si="44"/>
        <v>45.043774519600177</v>
      </c>
      <c r="L111" s="357">
        <f t="shared" ca="1" si="29"/>
        <v>45.875224342348083</v>
      </c>
      <c r="M111" s="359">
        <f t="shared" ca="1" si="45"/>
        <v>1.3698650870803415</v>
      </c>
      <c r="N111" s="357">
        <f t="shared" ca="1" si="46"/>
        <v>78.487487992024569</v>
      </c>
      <c r="O111" s="343"/>
      <c r="P111" s="363">
        <f t="shared" ca="1" si="47"/>
        <v>6</v>
      </c>
      <c r="Q111" s="357">
        <f t="shared" ca="1" si="48"/>
        <v>1009.1877192982456</v>
      </c>
      <c r="R111" s="359">
        <f t="shared" ca="1" si="49"/>
        <v>0.50553468588046713</v>
      </c>
      <c r="S111" s="360">
        <f t="shared" ca="1" si="50"/>
        <v>10.961738480076477</v>
      </c>
      <c r="T111" s="357">
        <f t="shared" ca="1" si="30"/>
        <v>107.53465448955025</v>
      </c>
      <c r="U111" s="364">
        <f t="shared" ca="1" si="31"/>
        <v>0</v>
      </c>
      <c r="V111" s="359">
        <f t="shared" ca="1" si="32"/>
        <v>1.219494536963132</v>
      </c>
      <c r="W111" s="357">
        <f t="shared" ca="1" si="33"/>
        <v>20.726786853211578</v>
      </c>
      <c r="X111" s="343"/>
      <c r="Y111" s="367" t="str">
        <f t="shared" ca="1" si="51"/>
        <v/>
      </c>
      <c r="Z111" s="368" t="str">
        <f t="shared" ca="1" si="52"/>
        <v/>
      </c>
      <c r="AA111" s="369" t="str">
        <f t="shared" ca="1" si="53"/>
        <v/>
      </c>
      <c r="AB111" s="344"/>
      <c r="AC111" s="363" t="e">
        <f t="shared" ca="1" si="54"/>
        <v>#N/A</v>
      </c>
      <c r="AD111" s="376" t="e">
        <f t="shared" ca="1" si="55"/>
        <v>#N/A</v>
      </c>
      <c r="AE111" s="377">
        <f t="shared" ca="1" si="34"/>
        <v>45.043774519600177</v>
      </c>
      <c r="AF111" s="344"/>
      <c r="AG111" s="359">
        <f t="shared" ca="1" si="56"/>
        <v>80.595514703059308</v>
      </c>
      <c r="AH111" s="357">
        <f t="shared" ca="1" si="57"/>
        <v>90.208590370659948</v>
      </c>
    </row>
    <row r="112" spans="1:34" x14ac:dyDescent="0.25">
      <c r="A112" s="402">
        <f t="shared" ca="1" si="35"/>
        <v>0.01</v>
      </c>
      <c r="B112" s="357">
        <f t="shared" ca="1" si="36"/>
        <v>1.0800000000000007</v>
      </c>
      <c r="C112" s="342"/>
      <c r="D112" s="359">
        <f t="shared" ca="1" si="37"/>
        <v>17.996207741972057</v>
      </c>
      <c r="E112" s="360">
        <f t="shared" ca="1" si="38"/>
        <v>78.54542069706595</v>
      </c>
      <c r="F112" s="357">
        <f t="shared" ca="1" si="39"/>
        <v>80.580683824172723</v>
      </c>
      <c r="G112" s="359">
        <f t="shared" ca="1" si="40"/>
        <v>17.474439812254012</v>
      </c>
      <c r="H112" s="360">
        <f t="shared" ca="1" si="41"/>
        <v>85.695612941883994</v>
      </c>
      <c r="I112" s="357">
        <f t="shared" ca="1" si="42"/>
        <v>87.459099722311819</v>
      </c>
      <c r="J112" s="359">
        <f t="shared" ca="1" si="43"/>
        <v>8.8683592658635124</v>
      </c>
      <c r="K112" s="360">
        <f t="shared" ca="1" si="44"/>
        <v>45.896803377984163</v>
      </c>
      <c r="L112" s="357">
        <f t="shared" ca="1" si="29"/>
        <v>46.745741585579388</v>
      </c>
      <c r="M112" s="359">
        <f t="shared" ca="1" si="45"/>
        <v>1.3696412225914669</v>
      </c>
      <c r="N112" s="357">
        <f t="shared" ca="1" si="46"/>
        <v>78.4746615016292</v>
      </c>
      <c r="O112" s="343"/>
      <c r="P112" s="363">
        <f t="shared" ca="1" si="47"/>
        <v>6</v>
      </c>
      <c r="Q112" s="357">
        <f t="shared" ca="1" si="48"/>
        <v>1008.6859649122806</v>
      </c>
      <c r="R112" s="359">
        <f t="shared" ca="1" si="49"/>
        <v>0.50528334092149918</v>
      </c>
      <c r="S112" s="360">
        <f t="shared" ca="1" si="50"/>
        <v>10.956685646667262</v>
      </c>
      <c r="T112" s="357">
        <f t="shared" ca="1" si="30"/>
        <v>107.48508619380584</v>
      </c>
      <c r="U112" s="364">
        <f t="shared" ca="1" si="31"/>
        <v>0</v>
      </c>
      <c r="V112" s="359">
        <f t="shared" ca="1" si="32"/>
        <v>1.2193905144589432</v>
      </c>
      <c r="W112" s="357">
        <f t="shared" ca="1" si="33"/>
        <v>21.112148660433348</v>
      </c>
      <c r="X112" s="343"/>
      <c r="Y112" s="367" t="str">
        <f t="shared" ca="1" si="51"/>
        <v/>
      </c>
      <c r="Z112" s="368" t="str">
        <f t="shared" ca="1" si="52"/>
        <v/>
      </c>
      <c r="AA112" s="369" t="str">
        <f t="shared" ca="1" si="53"/>
        <v/>
      </c>
      <c r="AB112" s="344"/>
      <c r="AC112" s="363" t="e">
        <f t="shared" ca="1" si="54"/>
        <v>#N/A</v>
      </c>
      <c r="AD112" s="376" t="e">
        <f t="shared" ca="1" si="55"/>
        <v>#N/A</v>
      </c>
      <c r="AE112" s="377">
        <f t="shared" ca="1" si="34"/>
        <v>45.896803377984163</v>
      </c>
      <c r="AF112" s="344"/>
      <c r="AG112" s="359">
        <f t="shared" ca="1" si="56"/>
        <v>80.556894419101539</v>
      </c>
      <c r="AH112" s="357">
        <f t="shared" ca="1" si="57"/>
        <v>90.169528443081731</v>
      </c>
    </row>
    <row r="113" spans="1:34" x14ac:dyDescent="0.25">
      <c r="A113" s="402">
        <f t="shared" ca="1" si="35"/>
        <v>0.01</v>
      </c>
      <c r="B113" s="357">
        <f t="shared" ca="1" si="36"/>
        <v>1.0900000000000007</v>
      </c>
      <c r="C113" s="342"/>
      <c r="D113" s="359">
        <f t="shared" ca="1" si="37"/>
        <v>18.008110441616072</v>
      </c>
      <c r="E113" s="360">
        <f t="shared" ca="1" si="38"/>
        <v>78.502763029876604</v>
      </c>
      <c r="F113" s="357">
        <f t="shared" ca="1" si="39"/>
        <v>80.541764600748607</v>
      </c>
      <c r="G113" s="359">
        <f t="shared" ca="1" si="40"/>
        <v>17.654520916670172</v>
      </c>
      <c r="H113" s="360">
        <f t="shared" ca="1" si="41"/>
        <v>86.480640572182764</v>
      </c>
      <c r="I113" s="357">
        <f t="shared" ca="1" si="42"/>
        <v>88.26428101203912</v>
      </c>
      <c r="J113" s="359">
        <f t="shared" ca="1" si="43"/>
        <v>9.0440040695081336</v>
      </c>
      <c r="K113" s="360">
        <f t="shared" ca="1" si="44"/>
        <v>46.757684645554498</v>
      </c>
      <c r="L113" s="357">
        <f t="shared" ca="1" si="29"/>
        <v>47.624311890277248</v>
      </c>
      <c r="M113" s="359">
        <f t="shared" ca="1" si="45"/>
        <v>1.3694191564825855</v>
      </c>
      <c r="N113" s="357">
        <f t="shared" ca="1" si="46"/>
        <v>78.461938050817395</v>
      </c>
      <c r="O113" s="343"/>
      <c r="P113" s="363">
        <f t="shared" ca="1" si="47"/>
        <v>6</v>
      </c>
      <c r="Q113" s="357">
        <f t="shared" ca="1" si="48"/>
        <v>1008.1842105263157</v>
      </c>
      <c r="R113" s="359">
        <f t="shared" ca="1" si="49"/>
        <v>0.50503199596253134</v>
      </c>
      <c r="S113" s="360">
        <f t="shared" ca="1" si="50"/>
        <v>10.951635326707637</v>
      </c>
      <c r="T113" s="357">
        <f t="shared" ca="1" si="30"/>
        <v>107.43554255500192</v>
      </c>
      <c r="U113" s="364">
        <f t="shared" ca="1" si="31"/>
        <v>0</v>
      </c>
      <c r="V113" s="359">
        <f t="shared" ca="1" si="32"/>
        <v>1.2192855433689733</v>
      </c>
      <c r="W113" s="357">
        <f t="shared" ca="1" si="33"/>
        <v>21.500819740351933</v>
      </c>
      <c r="X113" s="343"/>
      <c r="Y113" s="367" t="str">
        <f t="shared" ca="1" si="51"/>
        <v/>
      </c>
      <c r="Z113" s="368" t="str">
        <f t="shared" ca="1" si="52"/>
        <v/>
      </c>
      <c r="AA113" s="369" t="str">
        <f t="shared" ca="1" si="53"/>
        <v/>
      </c>
      <c r="AB113" s="344"/>
      <c r="AC113" s="363" t="e">
        <f t="shared" ca="1" si="54"/>
        <v>#N/A</v>
      </c>
      <c r="AD113" s="376" t="e">
        <f t="shared" ca="1" si="55"/>
        <v>#N/A</v>
      </c>
      <c r="AE113" s="377">
        <f t="shared" ca="1" si="34"/>
        <v>46.757684645554498</v>
      </c>
      <c r="AF113" s="344"/>
      <c r="AG113" s="359">
        <f t="shared" ca="1" si="56"/>
        <v>80.517911342331004</v>
      </c>
      <c r="AH113" s="357">
        <f t="shared" ca="1" si="57"/>
        <v>90.130106821464395</v>
      </c>
    </row>
    <row r="114" spans="1:34" x14ac:dyDescent="0.25">
      <c r="A114" s="402">
        <f t="shared" ca="1" si="35"/>
        <v>0.01</v>
      </c>
      <c r="B114" s="357">
        <f t="shared" ca="1" si="36"/>
        <v>1.1000000000000008</v>
      </c>
      <c r="C114" s="342"/>
      <c r="D114" s="359">
        <f t="shared" ca="1" si="37"/>
        <v>18.019764320112795</v>
      </c>
      <c r="E114" s="360">
        <f t="shared" ca="1" si="38"/>
        <v>78.459784760437472</v>
      </c>
      <c r="F114" s="357">
        <f t="shared" ca="1" si="39"/>
        <v>80.502482761754536</v>
      </c>
      <c r="G114" s="359">
        <f t="shared" ca="1" si="40"/>
        <v>17.834718559871302</v>
      </c>
      <c r="H114" s="360">
        <f t="shared" ca="1" si="41"/>
        <v>87.265238419787138</v>
      </c>
      <c r="I114" s="357">
        <f t="shared" ca="1" si="42"/>
        <v>89.069068831845954</v>
      </c>
      <c r="J114" s="359">
        <f t="shared" ca="1" si="43"/>
        <v>9.2214502668908409</v>
      </c>
      <c r="K114" s="360">
        <f t="shared" ca="1" si="44"/>
        <v>47.626414040514348</v>
      </c>
      <c r="L114" s="357">
        <f t="shared" ca="1" si="29"/>
        <v>48.510931339062573</v>
      </c>
      <c r="M114" s="359">
        <f t="shared" ca="1" si="45"/>
        <v>1.3691988572177842</v>
      </c>
      <c r="N114" s="357">
        <f t="shared" ca="1" si="46"/>
        <v>78.449315832714447</v>
      </c>
      <c r="O114" s="343"/>
      <c r="P114" s="363">
        <f t="shared" ca="1" si="47"/>
        <v>6</v>
      </c>
      <c r="Q114" s="357">
        <f t="shared" ca="1" si="48"/>
        <v>1007.6824561403508</v>
      </c>
      <c r="R114" s="359">
        <f t="shared" ca="1" si="49"/>
        <v>0.50478065100356351</v>
      </c>
      <c r="S114" s="360">
        <f t="shared" ca="1" si="50"/>
        <v>10.946587520197602</v>
      </c>
      <c r="T114" s="357">
        <f t="shared" ca="1" si="30"/>
        <v>107.38602357313847</v>
      </c>
      <c r="U114" s="364">
        <f t="shared" ca="1" si="31"/>
        <v>0</v>
      </c>
      <c r="V114" s="359">
        <f t="shared" ca="1" si="32"/>
        <v>1.2191796244608022</v>
      </c>
      <c r="W114" s="357">
        <f t="shared" ca="1" si="33"/>
        <v>21.892791340394908</v>
      </c>
      <c r="X114" s="343"/>
      <c r="Y114" s="367" t="str">
        <f t="shared" ca="1" si="51"/>
        <v/>
      </c>
      <c r="Z114" s="368" t="str">
        <f t="shared" ca="1" si="52"/>
        <v/>
      </c>
      <c r="AA114" s="369" t="str">
        <f t="shared" ca="1" si="53"/>
        <v/>
      </c>
      <c r="AB114" s="344"/>
      <c r="AC114" s="363" t="e">
        <f t="shared" ca="1" si="54"/>
        <v>#N/A</v>
      </c>
      <c r="AD114" s="376" t="e">
        <f t="shared" ca="1" si="55"/>
        <v>#N/A</v>
      </c>
      <c r="AE114" s="377">
        <f t="shared" ca="1" si="34"/>
        <v>47.626414040514348</v>
      </c>
      <c r="AF114" s="344"/>
      <c r="AG114" s="359">
        <f t="shared" ca="1" si="56"/>
        <v>80.478565846723711</v>
      </c>
      <c r="AH114" s="357">
        <f t="shared" ca="1" si="57"/>
        <v>90.090325828061978</v>
      </c>
    </row>
    <row r="115" spans="1:34" x14ac:dyDescent="0.25">
      <c r="A115" s="402">
        <f t="shared" ca="1" si="35"/>
        <v>0.01</v>
      </c>
      <c r="B115" s="357">
        <f t="shared" ca="1" si="36"/>
        <v>1.1100000000000008</v>
      </c>
      <c r="C115" s="342"/>
      <c r="D115" s="359">
        <f t="shared" ca="1" si="37"/>
        <v>18.031172223340256</v>
      </c>
      <c r="E115" s="360">
        <f t="shared" ca="1" si="38"/>
        <v>78.416485760108685</v>
      </c>
      <c r="F115" s="357">
        <f t="shared" ca="1" si="39"/>
        <v>80.462838694102047</v>
      </c>
      <c r="G115" s="359">
        <f t="shared" ca="1" si="40"/>
        <v>18.015030282104703</v>
      </c>
      <c r="H115" s="360">
        <f t="shared" ca="1" si="41"/>
        <v>88.049403277388222</v>
      </c>
      <c r="I115" s="357">
        <f t="shared" ca="1" si="42"/>
        <v>89.873459561593009</v>
      </c>
      <c r="J115" s="359">
        <f t="shared" ca="1" si="43"/>
        <v>9.4006990111007216</v>
      </c>
      <c r="K115" s="360">
        <f t="shared" ca="1" si="44"/>
        <v>48.502987249000228</v>
      </c>
      <c r="L115" s="357">
        <f t="shared" ca="1" si="29"/>
        <v>49.405595978330119</v>
      </c>
      <c r="M115" s="359">
        <f t="shared" ca="1" si="45"/>
        <v>1.3689802940887585</v>
      </c>
      <c r="N115" s="357">
        <f t="shared" ca="1" si="46"/>
        <v>78.436793087864103</v>
      </c>
      <c r="O115" s="343"/>
      <c r="P115" s="363">
        <f t="shared" ca="1" si="47"/>
        <v>6</v>
      </c>
      <c r="Q115" s="357">
        <f t="shared" ca="1" si="48"/>
        <v>1007.180701754386</v>
      </c>
      <c r="R115" s="359">
        <f t="shared" ca="1" si="49"/>
        <v>0.50452930604459556</v>
      </c>
      <c r="S115" s="360">
        <f t="shared" ca="1" si="50"/>
        <v>10.941542227137155</v>
      </c>
      <c r="T115" s="357">
        <f t="shared" ca="1" si="30"/>
        <v>107.3365292482155</v>
      </c>
      <c r="U115" s="364">
        <f t="shared" ca="1" si="31"/>
        <v>0</v>
      </c>
      <c r="V115" s="359">
        <f t="shared" ca="1" si="32"/>
        <v>1.2190727585079231</v>
      </c>
      <c r="W115" s="357">
        <f t="shared" ca="1" si="33"/>
        <v>22.288054635761018</v>
      </c>
      <c r="X115" s="343"/>
      <c r="Y115" s="367" t="str">
        <f t="shared" ca="1" si="51"/>
        <v/>
      </c>
      <c r="Z115" s="368" t="str">
        <f t="shared" ca="1" si="52"/>
        <v/>
      </c>
      <c r="AA115" s="369" t="str">
        <f t="shared" ca="1" si="53"/>
        <v/>
      </c>
      <c r="AB115" s="344"/>
      <c r="AC115" s="363" t="e">
        <f t="shared" ca="1" si="54"/>
        <v>#N/A</v>
      </c>
      <c r="AD115" s="376" t="e">
        <f t="shared" ca="1" si="55"/>
        <v>#N/A</v>
      </c>
      <c r="AE115" s="377">
        <f t="shared" ca="1" si="34"/>
        <v>48.502987249000228</v>
      </c>
      <c r="AF115" s="344"/>
      <c r="AG115" s="359">
        <f t="shared" ca="1" si="56"/>
        <v>80.438858312661722</v>
      </c>
      <c r="AH115" s="357">
        <f t="shared" ca="1" si="57"/>
        <v>90.050185792847856</v>
      </c>
    </row>
    <row r="116" spans="1:34" x14ac:dyDescent="0.25">
      <c r="A116" s="402">
        <f t="shared" ca="1" si="35"/>
        <v>0.01</v>
      </c>
      <c r="B116" s="357">
        <f t="shared" ca="1" si="36"/>
        <v>1.1200000000000008</v>
      </c>
      <c r="C116" s="342"/>
      <c r="D116" s="359">
        <f t="shared" ca="1" si="37"/>
        <v>18.042336924176794</v>
      </c>
      <c r="E116" s="360">
        <f t="shared" ca="1" si="38"/>
        <v>78.372865919543472</v>
      </c>
      <c r="F116" s="357">
        <f t="shared" ca="1" si="39"/>
        <v>80.422832790994448</v>
      </c>
      <c r="G116" s="359">
        <f t="shared" ca="1" si="40"/>
        <v>18.195453651346472</v>
      </c>
      <c r="H116" s="360">
        <f t="shared" ca="1" si="41"/>
        <v>88.833131936583655</v>
      </c>
      <c r="I116" s="357">
        <f t="shared" ca="1" si="42"/>
        <v>90.677449585003089</v>
      </c>
      <c r="J116" s="359">
        <f t="shared" ca="1" si="43"/>
        <v>9.5817514307679783</v>
      </c>
      <c r="K116" s="360">
        <f t="shared" ca="1" si="44"/>
        <v>49.387399925070085</v>
      </c>
      <c r="L116" s="357">
        <f t="shared" ca="1" si="29"/>
        <v>50.308301818286779</v>
      </c>
      <c r="M116" s="359">
        <f t="shared" ca="1" si="45"/>
        <v>1.3687634371858064</v>
      </c>
      <c r="N116" s="357">
        <f t="shared" ca="1" si="46"/>
        <v>78.424368102566675</v>
      </c>
      <c r="O116" s="343"/>
      <c r="P116" s="363">
        <f t="shared" ca="1" si="47"/>
        <v>6</v>
      </c>
      <c r="Q116" s="357">
        <f t="shared" ca="1" si="48"/>
        <v>1006.6789473684209</v>
      </c>
      <c r="R116" s="359">
        <f t="shared" ca="1" si="49"/>
        <v>0.50427796108562761</v>
      </c>
      <c r="S116" s="360">
        <f t="shared" ca="1" si="50"/>
        <v>10.9364994475263</v>
      </c>
      <c r="T116" s="357">
        <f t="shared" ca="1" si="30"/>
        <v>107.28705958023301</v>
      </c>
      <c r="U116" s="364">
        <f t="shared" ca="1" si="31"/>
        <v>0</v>
      </c>
      <c r="V116" s="359">
        <f t="shared" ca="1" si="32"/>
        <v>1.2189649462897367</v>
      </c>
      <c r="W116" s="357">
        <f t="shared" ca="1" si="33"/>
        <v>22.686600729727441</v>
      </c>
      <c r="X116" s="343"/>
      <c r="Y116" s="367" t="str">
        <f t="shared" ca="1" si="51"/>
        <v/>
      </c>
      <c r="Z116" s="368" t="str">
        <f t="shared" ca="1" si="52"/>
        <v/>
      </c>
      <c r="AA116" s="369" t="str">
        <f t="shared" ca="1" si="53"/>
        <v/>
      </c>
      <c r="AB116" s="344"/>
      <c r="AC116" s="363" t="e">
        <f t="shared" ca="1" si="54"/>
        <v>#N/A</v>
      </c>
      <c r="AD116" s="376" t="e">
        <f t="shared" ca="1" si="55"/>
        <v>#N/A</v>
      </c>
      <c r="AE116" s="377">
        <f t="shared" ca="1" si="34"/>
        <v>49.387399925070085</v>
      </c>
      <c r="AF116" s="344"/>
      <c r="AG116" s="359">
        <f t="shared" ca="1" si="56"/>
        <v>80.398789126967316</v>
      </c>
      <c r="AH116" s="357">
        <f t="shared" ca="1" si="57"/>
        <v>90.009687053503839</v>
      </c>
    </row>
    <row r="117" spans="1:34" x14ac:dyDescent="0.25">
      <c r="A117" s="402">
        <f t="shared" ca="1" si="35"/>
        <v>0.01</v>
      </c>
      <c r="B117" s="357">
        <f t="shared" ca="1" si="36"/>
        <v>1.1300000000000008</v>
      </c>
      <c r="C117" s="342"/>
      <c r="D117" s="359">
        <f t="shared" ca="1" si="37"/>
        <v>18.053261125137169</v>
      </c>
      <c r="E117" s="360">
        <f t="shared" ca="1" si="38"/>
        <v>78.328925148273555</v>
      </c>
      <c r="F117" s="357">
        <f t="shared" ca="1" si="39"/>
        <v>80.382465451964265</v>
      </c>
      <c r="G117" s="359">
        <f t="shared" ca="1" si="40"/>
        <v>18.375986262597845</v>
      </c>
      <c r="H117" s="360">
        <f t="shared" ca="1" si="41"/>
        <v>89.616421188066397</v>
      </c>
      <c r="I117" s="357">
        <f t="shared" ca="1" si="42"/>
        <v>91.481035289726037</v>
      </c>
      <c r="J117" s="359">
        <f t="shared" ca="1" si="43"/>
        <v>9.7646086303376993</v>
      </c>
      <c r="K117" s="360">
        <f t="shared" ca="1" si="44"/>
        <v>50.279647690693338</v>
      </c>
      <c r="L117" s="357">
        <f t="shared" ca="1" si="29"/>
        <v>51.219044832990683</v>
      </c>
      <c r="M117" s="359">
        <f t="shared" ca="1" si="45"/>
        <v>1.3685482573700871</v>
      </c>
      <c r="N117" s="357">
        <f t="shared" ca="1" si="46"/>
        <v>78.412039207289553</v>
      </c>
      <c r="O117" s="343"/>
      <c r="P117" s="363">
        <f t="shared" ca="1" si="47"/>
        <v>6</v>
      </c>
      <c r="Q117" s="357">
        <f t="shared" ca="1" si="48"/>
        <v>1006.1771929824561</v>
      </c>
      <c r="R117" s="359">
        <f t="shared" ca="1" si="49"/>
        <v>0.50402661612665978</v>
      </c>
      <c r="S117" s="360">
        <f t="shared" ca="1" si="50"/>
        <v>10.931459181365033</v>
      </c>
      <c r="T117" s="357">
        <f t="shared" ca="1" si="30"/>
        <v>107.23761456919098</v>
      </c>
      <c r="U117" s="364">
        <f t="shared" ca="1" si="31"/>
        <v>0</v>
      </c>
      <c r="V117" s="359">
        <f t="shared" ca="1" si="32"/>
        <v>1.2188561885915448</v>
      </c>
      <c r="W117" s="357">
        <f t="shared" ca="1" si="33"/>
        <v>23.088420653960238</v>
      </c>
      <c r="X117" s="343"/>
      <c r="Y117" s="367" t="str">
        <f t="shared" ca="1" si="51"/>
        <v/>
      </c>
      <c r="Z117" s="368" t="str">
        <f t="shared" ca="1" si="52"/>
        <v/>
      </c>
      <c r="AA117" s="369" t="str">
        <f t="shared" ca="1" si="53"/>
        <v/>
      </c>
      <c r="AB117" s="344"/>
      <c r="AC117" s="363" t="e">
        <f t="shared" ca="1" si="54"/>
        <v>#N/A</v>
      </c>
      <c r="AD117" s="376" t="e">
        <f t="shared" ca="1" si="55"/>
        <v>#N/A</v>
      </c>
      <c r="AE117" s="377">
        <f t="shared" ca="1" si="34"/>
        <v>50.279647690693338</v>
      </c>
      <c r="AF117" s="344"/>
      <c r="AG117" s="359">
        <f t="shared" ca="1" si="56"/>
        <v>80.358358682935275</v>
      </c>
      <c r="AH117" s="357">
        <f t="shared" ca="1" si="57"/>
        <v>89.968829955409319</v>
      </c>
    </row>
    <row r="118" spans="1:34" x14ac:dyDescent="0.25">
      <c r="A118" s="402">
        <f t="shared" ca="1" si="35"/>
        <v>0.01</v>
      </c>
      <c r="B118" s="357">
        <f t="shared" ca="1" si="36"/>
        <v>1.1400000000000008</v>
      </c>
      <c r="C118" s="342"/>
      <c r="D118" s="359">
        <f t="shared" ca="1" si="37"/>
        <v>18.063947460893264</v>
      </c>
      <c r="E118" s="360">
        <f t="shared" ca="1" si="38"/>
        <v>78.284663374310668</v>
      </c>
      <c r="F118" s="357">
        <f t="shared" ca="1" si="39"/>
        <v>80.341737082907599</v>
      </c>
      <c r="G118" s="359">
        <f t="shared" ca="1" si="40"/>
        <v>18.556625737206776</v>
      </c>
      <c r="H118" s="360">
        <f t="shared" ca="1" si="41"/>
        <v>90.399267821809502</v>
      </c>
      <c r="I118" s="357">
        <f t="shared" ca="1" si="42"/>
        <v>92.28421306740394</v>
      </c>
      <c r="J118" s="359">
        <f t="shared" ca="1" si="43"/>
        <v>9.9492716903367224</v>
      </c>
      <c r="K118" s="360">
        <f t="shared" ca="1" si="44"/>
        <v>51.179726135742719</v>
      </c>
      <c r="L118" s="357">
        <f t="shared" ca="1" si="29"/>
        <v>52.137820960390762</v>
      </c>
      <c r="M118" s="359">
        <f t="shared" ca="1" si="45"/>
        <v>1.3683347262470835</v>
      </c>
      <c r="N118" s="357">
        <f t="shared" ca="1" si="46"/>
        <v>78.399804775146762</v>
      </c>
      <c r="O118" s="343"/>
      <c r="P118" s="363">
        <f t="shared" ca="1" si="47"/>
        <v>6</v>
      </c>
      <c r="Q118" s="357">
        <f t="shared" ca="1" si="48"/>
        <v>1005.6754385964912</v>
      </c>
      <c r="R118" s="359">
        <f t="shared" ca="1" si="49"/>
        <v>0.50377527116769194</v>
      </c>
      <c r="S118" s="360">
        <f t="shared" ca="1" si="50"/>
        <v>10.926421428653356</v>
      </c>
      <c r="T118" s="357">
        <f t="shared" ca="1" si="30"/>
        <v>107.18819421508942</v>
      </c>
      <c r="U118" s="364">
        <f t="shared" ca="1" si="31"/>
        <v>0</v>
      </c>
      <c r="V118" s="359">
        <f t="shared" ca="1" si="32"/>
        <v>1.2187464862045434</v>
      </c>
      <c r="W118" s="357">
        <f t="shared" ca="1" si="33"/>
        <v>23.493505368827972</v>
      </c>
      <c r="X118" s="343"/>
      <c r="Y118" s="367" t="str">
        <f t="shared" ca="1" si="51"/>
        <v/>
      </c>
      <c r="Z118" s="368" t="str">
        <f t="shared" ca="1" si="52"/>
        <v/>
      </c>
      <c r="AA118" s="369" t="str">
        <f t="shared" ca="1" si="53"/>
        <v/>
      </c>
      <c r="AB118" s="344"/>
      <c r="AC118" s="363" t="e">
        <f t="shared" ca="1" si="54"/>
        <v>#N/A</v>
      </c>
      <c r="AD118" s="376" t="e">
        <f t="shared" ca="1" si="55"/>
        <v>#N/A</v>
      </c>
      <c r="AE118" s="377">
        <f t="shared" ca="1" si="34"/>
        <v>51.179726135742719</v>
      </c>
      <c r="AF118" s="344"/>
      <c r="AG118" s="359">
        <f t="shared" ca="1" si="56"/>
        <v>80.317567380362419</v>
      </c>
      <c r="AH118" s="357">
        <f t="shared" ca="1" si="57"/>
        <v>89.927614851629556</v>
      </c>
    </row>
    <row r="119" spans="1:34" x14ac:dyDescent="0.25">
      <c r="A119" s="402">
        <f t="shared" ca="1" si="35"/>
        <v>0.01</v>
      </c>
      <c r="B119" s="357">
        <f t="shared" ca="1" si="36"/>
        <v>1.1500000000000008</v>
      </c>
      <c r="C119" s="342"/>
      <c r="D119" s="359">
        <f t="shared" ca="1" si="37"/>
        <v>18.074398500685216</v>
      </c>
      <c r="E119" s="360">
        <f t="shared" ca="1" si="38"/>
        <v>78.24008054376479</v>
      </c>
      <c r="F119" s="357">
        <f t="shared" ca="1" si="39"/>
        <v>80.300648096116717</v>
      </c>
      <c r="G119" s="359">
        <f t="shared" ca="1" si="40"/>
        <v>18.737369722213629</v>
      </c>
      <c r="H119" s="360">
        <f t="shared" ca="1" si="41"/>
        <v>91.181668627247149</v>
      </c>
      <c r="I119" s="357">
        <f t="shared" ca="1" si="42"/>
        <v>93.086979313736649</v>
      </c>
      <c r="J119" s="359">
        <f t="shared" ca="1" si="43"/>
        <v>10.135741667633825</v>
      </c>
      <c r="K119" s="360">
        <f t="shared" ca="1" si="44"/>
        <v>52.087630817988</v>
      </c>
      <c r="L119" s="357">
        <f t="shared" ca="1" si="29"/>
        <v>53.064626102367122</v>
      </c>
      <c r="M119" s="359">
        <f t="shared" ca="1" si="45"/>
        <v>1.368122816141202</v>
      </c>
      <c r="N119" s="357">
        <f t="shared" ca="1" si="46"/>
        <v>78.387663220443571</v>
      </c>
      <c r="O119" s="343"/>
      <c r="P119" s="363">
        <f t="shared" ca="1" si="47"/>
        <v>6</v>
      </c>
      <c r="Q119" s="357">
        <f t="shared" ca="1" si="48"/>
        <v>1005.1736842105263</v>
      </c>
      <c r="R119" s="359">
        <f t="shared" ca="1" si="49"/>
        <v>0.50352392620872399</v>
      </c>
      <c r="S119" s="360">
        <f t="shared" ca="1" si="50"/>
        <v>10.921386189391269</v>
      </c>
      <c r="T119" s="357">
        <f t="shared" ca="1" si="30"/>
        <v>107.13879851792835</v>
      </c>
      <c r="U119" s="364">
        <f t="shared" ca="1" si="31"/>
        <v>0</v>
      </c>
      <c r="V119" s="359">
        <f t="shared" ca="1" si="32"/>
        <v>1.2186358399258173</v>
      </c>
      <c r="W119" s="357">
        <f t="shared" ca="1" si="33"/>
        <v>23.901845763718615</v>
      </c>
      <c r="X119" s="343"/>
      <c r="Y119" s="367" t="str">
        <f t="shared" ca="1" si="51"/>
        <v/>
      </c>
      <c r="Z119" s="368" t="str">
        <f t="shared" ca="1" si="52"/>
        <v/>
      </c>
      <c r="AA119" s="369" t="str">
        <f t="shared" ca="1" si="53"/>
        <v/>
      </c>
      <c r="AB119" s="344"/>
      <c r="AC119" s="363" t="e">
        <f t="shared" ca="1" si="54"/>
        <v>#N/A</v>
      </c>
      <c r="AD119" s="376" t="e">
        <f t="shared" ca="1" si="55"/>
        <v>#N/A</v>
      </c>
      <c r="AE119" s="377">
        <f t="shared" ca="1" si="34"/>
        <v>52.087630817988</v>
      </c>
      <c r="AF119" s="344"/>
      <c r="AG119" s="359">
        <f t="shared" ca="1" si="56"/>
        <v>80.276415625575524</v>
      </c>
      <c r="AH119" s="357">
        <f t="shared" ca="1" si="57"/>
        <v>89.886042102904042</v>
      </c>
    </row>
    <row r="120" spans="1:34" x14ac:dyDescent="0.25">
      <c r="A120" s="402">
        <f t="shared" ca="1" si="35"/>
        <v>0.01</v>
      </c>
      <c r="B120" s="357">
        <f t="shared" ca="1" si="36"/>
        <v>1.1600000000000008</v>
      </c>
      <c r="C120" s="342"/>
      <c r="D120" s="359">
        <f t="shared" ca="1" si="37"/>
        <v>18.084616750628747</v>
      </c>
      <c r="E120" s="360">
        <f t="shared" ca="1" si="38"/>
        <v>78.195176620477241</v>
      </c>
      <c r="F120" s="357">
        <f t="shared" ca="1" si="39"/>
        <v>80.259198910310289</v>
      </c>
      <c r="G120" s="359">
        <f t="shared" ca="1" si="40"/>
        <v>18.918215889719917</v>
      </c>
      <c r="H120" s="360">
        <f t="shared" ca="1" si="41"/>
        <v>91.963620393451919</v>
      </c>
      <c r="I120" s="357">
        <f t="shared" ca="1" si="42"/>
        <v>93.88933042854751</v>
      </c>
      <c r="J120" s="359">
        <f t="shared" ca="1" si="43"/>
        <v>10.324019595693493</v>
      </c>
      <c r="K120" s="360">
        <f t="shared" ca="1" si="44"/>
        <v>53.003357263091495</v>
      </c>
      <c r="L120" s="357">
        <f t="shared" ca="1" si="29"/>
        <v>53.999456124772003</v>
      </c>
      <c r="M120" s="359">
        <f t="shared" ca="1" si="45"/>
        <v>1.3679125000714534</v>
      </c>
      <c r="N120" s="357">
        <f t="shared" ca="1" si="46"/>
        <v>78.375612997283199</v>
      </c>
      <c r="O120" s="343"/>
      <c r="P120" s="363">
        <f t="shared" ca="1" si="47"/>
        <v>6</v>
      </c>
      <c r="Q120" s="357">
        <f t="shared" ca="1" si="48"/>
        <v>1004.6719298245613</v>
      </c>
      <c r="R120" s="359">
        <f t="shared" ca="1" si="49"/>
        <v>0.50327258124975605</v>
      </c>
      <c r="S120" s="360">
        <f t="shared" ca="1" si="50"/>
        <v>10.916353463578771</v>
      </c>
      <c r="T120" s="357">
        <f t="shared" ca="1" si="30"/>
        <v>107.08942747770774</v>
      </c>
      <c r="U120" s="364">
        <f t="shared" ca="1" si="31"/>
        <v>0</v>
      </c>
      <c r="V120" s="359">
        <f t="shared" ca="1" si="32"/>
        <v>1.2185242505583314</v>
      </c>
      <c r="W120" s="357">
        <f t="shared" ca="1" si="33"/>
        <v>24.313432657359471</v>
      </c>
      <c r="X120" s="343"/>
      <c r="Y120" s="367" t="str">
        <f t="shared" ca="1" si="51"/>
        <v/>
      </c>
      <c r="Z120" s="368" t="str">
        <f t="shared" ca="1" si="52"/>
        <v/>
      </c>
      <c r="AA120" s="369" t="str">
        <f t="shared" ca="1" si="53"/>
        <v/>
      </c>
      <c r="AB120" s="344"/>
      <c r="AC120" s="363" t="e">
        <f t="shared" ca="1" si="54"/>
        <v>#N/A</v>
      </c>
      <c r="AD120" s="376" t="e">
        <f t="shared" ca="1" si="55"/>
        <v>#N/A</v>
      </c>
      <c r="AE120" s="377">
        <f t="shared" ca="1" si="34"/>
        <v>53.003357263091495</v>
      </c>
      <c r="AF120" s="344"/>
      <c r="AG120" s="359">
        <f t="shared" ca="1" si="56"/>
        <v>80.234903831457018</v>
      </c>
      <c r="AH120" s="357">
        <f t="shared" ca="1" si="57"/>
        <v>89.844112077634321</v>
      </c>
    </row>
    <row r="121" spans="1:34" x14ac:dyDescent="0.25">
      <c r="A121" s="402">
        <f t="shared" ca="1" si="35"/>
        <v>0.01</v>
      </c>
      <c r="B121" s="357">
        <f t="shared" ca="1" si="36"/>
        <v>1.1700000000000008</v>
      </c>
      <c r="C121" s="342"/>
      <c r="D121" s="359">
        <f t="shared" ca="1" si="37"/>
        <v>18.094604655924016</v>
      </c>
      <c r="E121" s="360">
        <f t="shared" ca="1" si="38"/>
        <v>78.14995158566829</v>
      </c>
      <c r="F121" s="357">
        <f t="shared" ca="1" si="39"/>
        <v>80.217389950661484</v>
      </c>
      <c r="G121" s="359">
        <f t="shared" ca="1" si="40"/>
        <v>19.099161936279156</v>
      </c>
      <c r="H121" s="360">
        <f t="shared" ca="1" si="41"/>
        <v>92.745119909308599</v>
      </c>
      <c r="I121" s="357">
        <f t="shared" ca="1" si="42"/>
        <v>94.691262815849299</v>
      </c>
      <c r="J121" s="359">
        <f t="shared" ca="1" si="43"/>
        <v>10.514106484823488</v>
      </c>
      <c r="K121" s="360">
        <f t="shared" ca="1" si="44"/>
        <v>53.926900964605295</v>
      </c>
      <c r="L121" s="357">
        <f t="shared" ca="1" si="29"/>
        <v>54.942306857471458</v>
      </c>
      <c r="M121" s="359">
        <f t="shared" ca="1" si="45"/>
        <v>1.3677037517281585</v>
      </c>
      <c r="N121" s="357">
        <f t="shared" ca="1" si="46"/>
        <v>78.363652598232051</v>
      </c>
      <c r="O121" s="343"/>
      <c r="P121" s="363">
        <f t="shared" ca="1" si="47"/>
        <v>6</v>
      </c>
      <c r="Q121" s="357">
        <f t="shared" ca="1" si="48"/>
        <v>1004.1701754385964</v>
      </c>
      <c r="R121" s="359">
        <f t="shared" ca="1" si="49"/>
        <v>0.50302123629078821</v>
      </c>
      <c r="S121" s="360">
        <f t="shared" ca="1" si="50"/>
        <v>10.911323251215864</v>
      </c>
      <c r="T121" s="357">
        <f t="shared" ca="1" si="30"/>
        <v>107.04008109442762</v>
      </c>
      <c r="U121" s="364">
        <f t="shared" ca="1" si="31"/>
        <v>0</v>
      </c>
      <c r="V121" s="359">
        <f t="shared" ca="1" si="32"/>
        <v>1.2184117189109269</v>
      </c>
      <c r="W121" s="357">
        <f t="shared" ca="1" si="33"/>
        <v>24.728256798140368</v>
      </c>
      <c r="X121" s="343"/>
      <c r="Y121" s="367" t="str">
        <f t="shared" ca="1" si="51"/>
        <v/>
      </c>
      <c r="Z121" s="368" t="str">
        <f t="shared" ca="1" si="52"/>
        <v/>
      </c>
      <c r="AA121" s="369" t="str">
        <f t="shared" ca="1" si="53"/>
        <v/>
      </c>
      <c r="AB121" s="344"/>
      <c r="AC121" s="363" t="e">
        <f t="shared" ca="1" si="54"/>
        <v>#N/A</v>
      </c>
      <c r="AD121" s="376" t="e">
        <f t="shared" ca="1" si="55"/>
        <v>#N/A</v>
      </c>
      <c r="AE121" s="377">
        <f t="shared" ca="1" si="34"/>
        <v>53.926900964605295</v>
      </c>
      <c r="AF121" s="344"/>
      <c r="AG121" s="359">
        <f t="shared" ca="1" si="56"/>
        <v>80.193032417468771</v>
      </c>
      <c r="AH121" s="357">
        <f t="shared" ca="1" si="57"/>
        <v>89.801825151871483</v>
      </c>
    </row>
    <row r="122" spans="1:34" x14ac:dyDescent="0.25">
      <c r="A122" s="402">
        <f t="shared" ca="1" si="35"/>
        <v>0.01</v>
      </c>
      <c r="B122" s="357">
        <f t="shared" ca="1" si="36"/>
        <v>1.1800000000000008</v>
      </c>
      <c r="C122" s="342"/>
      <c r="D122" s="359">
        <f t="shared" ca="1" si="37"/>
        <v>18.104364602971046</v>
      </c>
      <c r="E122" s="360">
        <f t="shared" ca="1" si="38"/>
        <v>78.104405437598373</v>
      </c>
      <c r="F122" s="357">
        <f t="shared" ca="1" si="39"/>
        <v>80.175221648824007</v>
      </c>
      <c r="G122" s="359">
        <f t="shared" ca="1" si="40"/>
        <v>19.280205582308866</v>
      </c>
      <c r="H122" s="360">
        <f t="shared" ca="1" si="41"/>
        <v>93.526163963684581</v>
      </c>
      <c r="I122" s="357">
        <f t="shared" ca="1" si="42"/>
        <v>95.492772883910476</v>
      </c>
      <c r="J122" s="359">
        <f t="shared" ca="1" si="43"/>
        <v>10.706003322416429</v>
      </c>
      <c r="K122" s="360">
        <f t="shared" ca="1" si="44"/>
        <v>54.858257383970262</v>
      </c>
      <c r="L122" s="357">
        <f t="shared" ca="1" si="29"/>
        <v>55.893174094387582</v>
      </c>
      <c r="M122" s="359">
        <f t="shared" ca="1" si="45"/>
        <v>1.3674965454506298</v>
      </c>
      <c r="N122" s="357">
        <f t="shared" ca="1" si="46"/>
        <v>78.351780553041039</v>
      </c>
      <c r="O122" s="343"/>
      <c r="P122" s="363">
        <f t="shared" ca="1" si="47"/>
        <v>6</v>
      </c>
      <c r="Q122" s="357">
        <f t="shared" ca="1" si="48"/>
        <v>1003.6684210526315</v>
      </c>
      <c r="R122" s="359">
        <f t="shared" ca="1" si="49"/>
        <v>0.50276989133182026</v>
      </c>
      <c r="S122" s="360">
        <f t="shared" ca="1" si="50"/>
        <v>10.906295552302545</v>
      </c>
      <c r="T122" s="357">
        <f t="shared" ca="1" si="30"/>
        <v>106.99075936808798</v>
      </c>
      <c r="U122" s="364">
        <f t="shared" ca="1" si="31"/>
        <v>0</v>
      </c>
      <c r="V122" s="359">
        <f t="shared" ca="1" si="32"/>
        <v>1.2182982457983098</v>
      </c>
      <c r="W122" s="357">
        <f t="shared" ca="1" si="33"/>
        <v>25.146308864439895</v>
      </c>
      <c r="X122" s="343"/>
      <c r="Y122" s="367" t="str">
        <f t="shared" ca="1" si="51"/>
        <v/>
      </c>
      <c r="Z122" s="368" t="str">
        <f t="shared" ca="1" si="52"/>
        <v/>
      </c>
      <c r="AA122" s="369" t="str">
        <f t="shared" ca="1" si="53"/>
        <v/>
      </c>
      <c r="AB122" s="344"/>
      <c r="AC122" s="363" t="e">
        <f t="shared" ca="1" si="54"/>
        <v>#N/A</v>
      </c>
      <c r="AD122" s="376" t="e">
        <f t="shared" ca="1" si="55"/>
        <v>#N/A</v>
      </c>
      <c r="AE122" s="377">
        <f t="shared" ca="1" si="34"/>
        <v>54.858257383970262</v>
      </c>
      <c r="AF122" s="344"/>
      <c r="AG122" s="359">
        <f t="shared" ca="1" si="56"/>
        <v>80.150801809674107</v>
      </c>
      <c r="AH122" s="357">
        <f t="shared" ca="1" si="57"/>
        <v>89.759181709303363</v>
      </c>
    </row>
    <row r="123" spans="1:34" x14ac:dyDescent="0.25">
      <c r="A123" s="402">
        <f t="shared" ca="1" si="35"/>
        <v>0.01</v>
      </c>
      <c r="B123" s="357">
        <f t="shared" ca="1" si="36"/>
        <v>1.1900000000000008</v>
      </c>
      <c r="C123" s="342"/>
      <c r="D123" s="359">
        <f t="shared" ca="1" si="37"/>
        <v>18.113898921396192</v>
      </c>
      <c r="E123" s="360">
        <f t="shared" ca="1" si="38"/>
        <v>78.058538191242306</v>
      </c>
      <c r="F123" s="357">
        <f t="shared" ca="1" si="39"/>
        <v>80.13269444295625</v>
      </c>
      <c r="G123" s="359">
        <f t="shared" ca="1" si="40"/>
        <v>19.461344571522829</v>
      </c>
      <c r="H123" s="360">
        <f t="shared" ca="1" si="41"/>
        <v>94.306749345596998</v>
      </c>
      <c r="I123" s="357">
        <f t="shared" ca="1" si="42"/>
        <v>96.293857045321431</v>
      </c>
      <c r="J123" s="359">
        <f t="shared" ca="1" si="43"/>
        <v>10.899711073185587</v>
      </c>
      <c r="K123" s="360">
        <f t="shared" ca="1" si="44"/>
        <v>55.797421950516672</v>
      </c>
      <c r="L123" s="357">
        <f t="shared" ca="1" si="29"/>
        <v>56.852053593541584</v>
      </c>
      <c r="M123" s="359">
        <f t="shared" ca="1" si="45"/>
        <v>1.3672908562057766</v>
      </c>
      <c r="N123" s="357">
        <f t="shared" ca="1" si="46"/>
        <v>78.339995427419723</v>
      </c>
      <c r="O123" s="343"/>
      <c r="P123" s="363">
        <f t="shared" ca="1" si="47"/>
        <v>6</v>
      </c>
      <c r="Q123" s="357">
        <f t="shared" ca="1" si="48"/>
        <v>1003.1666666666666</v>
      </c>
      <c r="R123" s="359">
        <f t="shared" ca="1" si="49"/>
        <v>0.50251854637285243</v>
      </c>
      <c r="S123" s="360">
        <f t="shared" ca="1" si="50"/>
        <v>10.901270366838817</v>
      </c>
      <c r="T123" s="357">
        <f t="shared" ca="1" si="30"/>
        <v>106.9414622986888</v>
      </c>
      <c r="U123" s="364">
        <f t="shared" ca="1" si="31"/>
        <v>0</v>
      </c>
      <c r="V123" s="359">
        <f t="shared" ca="1" si="32"/>
        <v>1.2181838320410465</v>
      </c>
      <c r="W123" s="357">
        <f t="shared" ca="1" si="33"/>
        <v>25.567579464954736</v>
      </c>
      <c r="X123" s="343"/>
      <c r="Y123" s="367" t="str">
        <f t="shared" ca="1" si="51"/>
        <v/>
      </c>
      <c r="Z123" s="368" t="str">
        <f t="shared" ca="1" si="52"/>
        <v/>
      </c>
      <c r="AA123" s="369" t="str">
        <f t="shared" ca="1" si="53"/>
        <v/>
      </c>
      <c r="AB123" s="344"/>
      <c r="AC123" s="363" t="e">
        <f t="shared" ca="1" si="54"/>
        <v>#N/A</v>
      </c>
      <c r="AD123" s="376" t="e">
        <f t="shared" ca="1" si="55"/>
        <v>#N/A</v>
      </c>
      <c r="AE123" s="377">
        <f t="shared" ca="1" si="34"/>
        <v>55.797421950516672</v>
      </c>
      <c r="AF123" s="344"/>
      <c r="AG123" s="359">
        <f t="shared" ca="1" si="56"/>
        <v>80.108212440757896</v>
      </c>
      <c r="AH123" s="357">
        <f t="shared" ca="1" si="57"/>
        <v>89.716182141241205</v>
      </c>
    </row>
    <row r="124" spans="1:34" x14ac:dyDescent="0.25">
      <c r="A124" s="402">
        <f t="shared" ca="1" si="35"/>
        <v>0.01</v>
      </c>
      <c r="B124" s="357">
        <f t="shared" ca="1" si="36"/>
        <v>1.2000000000000008</v>
      </c>
      <c r="C124" s="342"/>
      <c r="D124" s="359">
        <f t="shared" ca="1" si="37"/>
        <v>18.123209885994488</v>
      </c>
      <c r="E124" s="360">
        <f t="shared" ca="1" si="38"/>
        <v>78.012349877976035</v>
      </c>
      <c r="F124" s="357">
        <f t="shared" ca="1" si="39"/>
        <v>80.089808777743727</v>
      </c>
      <c r="G124" s="359">
        <f t="shared" ca="1" si="40"/>
        <v>19.642576670382773</v>
      </c>
      <c r="H124" s="360">
        <f t="shared" ca="1" si="41"/>
        <v>95.086872844376757</v>
      </c>
      <c r="I124" s="357">
        <f t="shared" ca="1" si="42"/>
        <v>97.094511717061224</v>
      </c>
      <c r="J124" s="359">
        <f t="shared" ca="1" si="43"/>
        <v>11.095230679395115</v>
      </c>
      <c r="K124" s="360">
        <f t="shared" ca="1" si="44"/>
        <v>56.74439006146654</v>
      </c>
      <c r="L124" s="357">
        <f t="shared" ca="1" si="29"/>
        <v>57.818941077097335</v>
      </c>
      <c r="M124" s="359">
        <f t="shared" ca="1" si="45"/>
        <v>1.3670866595675903</v>
      </c>
      <c r="N124" s="357">
        <f t="shared" ca="1" si="46"/>
        <v>78.328295821860891</v>
      </c>
      <c r="O124" s="343"/>
      <c r="P124" s="363">
        <f t="shared" ca="1" si="47"/>
        <v>6</v>
      </c>
      <c r="Q124" s="357">
        <f t="shared" ca="1" si="48"/>
        <v>1002.6649122807017</v>
      </c>
      <c r="R124" s="359">
        <f t="shared" ca="1" si="49"/>
        <v>0.50226720141388459</v>
      </c>
      <c r="S124" s="360">
        <f t="shared" ca="1" si="50"/>
        <v>10.896247694824678</v>
      </c>
      <c r="T124" s="357">
        <f t="shared" ca="1" si="30"/>
        <v>106.8921898862301</v>
      </c>
      <c r="U124" s="364">
        <f t="shared" ca="1" si="31"/>
        <v>0</v>
      </c>
      <c r="V124" s="359">
        <f t="shared" ca="1" si="32"/>
        <v>1.218068478465554</v>
      </c>
      <c r="W124" s="357">
        <f t="shared" ca="1" si="33"/>
        <v>25.992059139032218</v>
      </c>
      <c r="X124" s="343"/>
      <c r="Y124" s="367" t="str">
        <f t="shared" ca="1" si="51"/>
        <v/>
      </c>
      <c r="Z124" s="368" t="str">
        <f t="shared" ca="1" si="52"/>
        <v/>
      </c>
      <c r="AA124" s="369" t="str">
        <f t="shared" ca="1" si="53"/>
        <v/>
      </c>
      <c r="AB124" s="344"/>
      <c r="AC124" s="363" t="e">
        <f t="shared" ca="1" si="54"/>
        <v>#N/A</v>
      </c>
      <c r="AD124" s="376" t="e">
        <f t="shared" ca="1" si="55"/>
        <v>#N/A</v>
      </c>
      <c r="AE124" s="377">
        <f t="shared" ca="1" si="34"/>
        <v>56.74439006146654</v>
      </c>
      <c r="AF124" s="344"/>
      <c r="AG124" s="359">
        <f t="shared" ca="1" si="56"/>
        <v>80.065264750045216</v>
      </c>
      <c r="AH124" s="357">
        <f t="shared" ca="1" si="57"/>
        <v>89.672826846606355</v>
      </c>
    </row>
    <row r="125" spans="1:34" x14ac:dyDescent="0.25">
      <c r="A125" s="402">
        <f t="shared" ca="1" si="35"/>
        <v>0.01</v>
      </c>
      <c r="B125" s="357">
        <f t="shared" ca="1" si="36"/>
        <v>1.2100000000000009</v>
      </c>
      <c r="C125" s="342"/>
      <c r="D125" s="359">
        <f t="shared" ca="1" si="37"/>
        <v>18.132299718591639</v>
      </c>
      <c r="E125" s="360">
        <f t="shared" ca="1" si="38"/>
        <v>77.965840545274716</v>
      </c>
      <c r="F125" s="357">
        <f t="shared" ca="1" si="39"/>
        <v>80.046565104419329</v>
      </c>
      <c r="G125" s="359">
        <f t="shared" ca="1" si="40"/>
        <v>19.823899667568689</v>
      </c>
      <c r="H125" s="360">
        <f t="shared" ca="1" si="41"/>
        <v>95.866531249829507</v>
      </c>
      <c r="I125" s="357">
        <f t="shared" ca="1" si="42"/>
        <v>97.894733320564129</v>
      </c>
      <c r="J125" s="359">
        <f t="shared" ca="1" si="43"/>
        <v>11.292563061084872</v>
      </c>
      <c r="K125" s="360">
        <f t="shared" ca="1" si="44"/>
        <v>57.699157081937571</v>
      </c>
      <c r="L125" s="357">
        <f t="shared" ca="1" si="29"/>
        <v>58.793832231405752</v>
      </c>
      <c r="M125" s="359">
        <f t="shared" ca="1" si="45"/>
        <v>1.3668839316974661</v>
      </c>
      <c r="N125" s="357">
        <f t="shared" ca="1" si="46"/>
        <v>78.316680370513097</v>
      </c>
      <c r="O125" s="343"/>
      <c r="P125" s="363">
        <f t="shared" ca="1" si="47"/>
        <v>6</v>
      </c>
      <c r="Q125" s="357">
        <f t="shared" ca="1" si="48"/>
        <v>1002.1631578947367</v>
      </c>
      <c r="R125" s="359">
        <f t="shared" ca="1" si="49"/>
        <v>0.50201585645491664</v>
      </c>
      <c r="S125" s="360">
        <f t="shared" ca="1" si="50"/>
        <v>10.891227536260129</v>
      </c>
      <c r="T125" s="357">
        <f t="shared" ca="1" si="30"/>
        <v>106.84294213071186</v>
      </c>
      <c r="U125" s="364">
        <f t="shared" ca="1" si="31"/>
        <v>0</v>
      </c>
      <c r="V125" s="359">
        <f t="shared" ca="1" si="32"/>
        <v>1.2179521859040929</v>
      </c>
      <c r="W125" s="357">
        <f t="shared" ca="1" si="33"/>
        <v>26.41973835700577</v>
      </c>
      <c r="X125" s="343"/>
      <c r="Y125" s="367" t="str">
        <f t="shared" ca="1" si="51"/>
        <v/>
      </c>
      <c r="Z125" s="368" t="str">
        <f t="shared" ca="1" si="52"/>
        <v/>
      </c>
      <c r="AA125" s="369" t="str">
        <f t="shared" ca="1" si="53"/>
        <v/>
      </c>
      <c r="AB125" s="344"/>
      <c r="AC125" s="363" t="e">
        <f t="shared" ca="1" si="54"/>
        <v>#N/A</v>
      </c>
      <c r="AD125" s="376" t="e">
        <f t="shared" ca="1" si="55"/>
        <v>#N/A</v>
      </c>
      <c r="AE125" s="377">
        <f t="shared" ca="1" si="34"/>
        <v>57.699157081937571</v>
      </c>
      <c r="AF125" s="344"/>
      <c r="AG125" s="359">
        <f t="shared" ca="1" si="56"/>
        <v>80.021959183518035</v>
      </c>
      <c r="AH125" s="357">
        <f t="shared" ca="1" si="57"/>
        <v>89.629116231916129</v>
      </c>
    </row>
    <row r="126" spans="1:34" x14ac:dyDescent="0.25">
      <c r="A126" s="402">
        <f t="shared" ca="1" si="35"/>
        <v>0.01</v>
      </c>
      <c r="B126" s="357">
        <f t="shared" ca="1" si="36"/>
        <v>1.2200000000000009</v>
      </c>
      <c r="C126" s="342"/>
      <c r="D126" s="359">
        <f t="shared" ca="1" si="37"/>
        <v>18.141170589829954</v>
      </c>
      <c r="E126" s="360">
        <f t="shared" ca="1" si="38"/>
        <v>77.919010256422339</v>
      </c>
      <c r="F126" s="357">
        <f t="shared" ca="1" si="39"/>
        <v>80.002963880782318</v>
      </c>
      <c r="G126" s="359">
        <f t="shared" ca="1" si="40"/>
        <v>20.005311373466988</v>
      </c>
      <c r="H126" s="360">
        <f t="shared" ca="1" si="41"/>
        <v>96.645721352393736</v>
      </c>
      <c r="I126" s="357">
        <f t="shared" ca="1" si="42"/>
        <v>98.694518281786557</v>
      </c>
      <c r="J126" s="359">
        <f t="shared" ca="1" si="43"/>
        <v>11.49170911629005</v>
      </c>
      <c r="K126" s="360">
        <f t="shared" ca="1" si="44"/>
        <v>58.661718344948689</v>
      </c>
      <c r="L126" s="357">
        <f t="shared" ca="1" si="29"/>
        <v>59.776722707049721</v>
      </c>
      <c r="M126" s="359">
        <f t="shared" ca="1" si="45"/>
        <v>1.3666826493253204</v>
      </c>
      <c r="N126" s="357">
        <f t="shared" ca="1" si="46"/>
        <v>78.305147740098761</v>
      </c>
      <c r="O126" s="343"/>
      <c r="P126" s="363">
        <f t="shared" ca="1" si="47"/>
        <v>6</v>
      </c>
      <c r="Q126" s="357">
        <f t="shared" ca="1" si="48"/>
        <v>1001.6614035087719</v>
      </c>
      <c r="R126" s="359">
        <f t="shared" ca="1" si="49"/>
        <v>0.5017645114959487</v>
      </c>
      <c r="S126" s="360">
        <f t="shared" ca="1" si="50"/>
        <v>10.886209891145169</v>
      </c>
      <c r="T126" s="357">
        <f t="shared" ca="1" si="30"/>
        <v>106.79371903213412</v>
      </c>
      <c r="U126" s="364">
        <f t="shared" ca="1" si="31"/>
        <v>0</v>
      </c>
      <c r="V126" s="359">
        <f t="shared" ca="1" si="32"/>
        <v>1.2178349551947585</v>
      </c>
      <c r="W126" s="357">
        <f t="shared" ca="1" si="33"/>
        <v>26.850607520533522</v>
      </c>
      <c r="X126" s="343"/>
      <c r="Y126" s="367" t="str">
        <f t="shared" ca="1" si="51"/>
        <v/>
      </c>
      <c r="Z126" s="368" t="str">
        <f t="shared" ca="1" si="52"/>
        <v/>
      </c>
      <c r="AA126" s="369" t="str">
        <f t="shared" ca="1" si="53"/>
        <v/>
      </c>
      <c r="AB126" s="344"/>
      <c r="AC126" s="363" t="e">
        <f t="shared" ca="1" si="54"/>
        <v>#N/A</v>
      </c>
      <c r="AD126" s="376" t="e">
        <f t="shared" ca="1" si="55"/>
        <v>#N/A</v>
      </c>
      <c r="AE126" s="377">
        <f t="shared" ca="1" si="34"/>
        <v>58.661718344948689</v>
      </c>
      <c r="AF126" s="344"/>
      <c r="AG126" s="359">
        <f t="shared" ca="1" si="56"/>
        <v>79.978296193830587</v>
      </c>
      <c r="AH126" s="357">
        <f t="shared" ca="1" si="57"/>
        <v>89.585050711269716</v>
      </c>
    </row>
    <row r="127" spans="1:34" x14ac:dyDescent="0.25">
      <c r="A127" s="402">
        <f t="shared" ca="1" si="35"/>
        <v>0.01</v>
      </c>
      <c r="B127" s="357">
        <f t="shared" ca="1" si="36"/>
        <v>1.2300000000000009</v>
      </c>
      <c r="C127" s="342"/>
      <c r="D127" s="359">
        <f t="shared" ca="1" si="37"/>
        <v>18.149824620881638</v>
      </c>
      <c r="E127" s="360">
        <f t="shared" ca="1" si="38"/>
        <v>77.871859090231752</v>
      </c>
      <c r="F127" s="357">
        <f t="shared" ca="1" si="39"/>
        <v>79.959005571215499</v>
      </c>
      <c r="G127" s="359">
        <f t="shared" ca="1" si="40"/>
        <v>20.186809619675806</v>
      </c>
      <c r="H127" s="360">
        <f t="shared" ca="1" si="41"/>
        <v>97.424439943296051</v>
      </c>
      <c r="I127" s="357">
        <f t="shared" ca="1" si="42"/>
        <v>99.493863031274117</v>
      </c>
      <c r="J127" s="359">
        <f t="shared" ca="1" si="43"/>
        <v>11.692669721255763</v>
      </c>
      <c r="K127" s="360">
        <f t="shared" ca="1" si="44"/>
        <v>59.632069151427139</v>
      </c>
      <c r="L127" s="357">
        <f t="shared" ca="1" si="29"/>
        <v>60.767608118889783</v>
      </c>
      <c r="M127" s="359">
        <f t="shared" ca="1" si="45"/>
        <v>1.366482789731464</v>
      </c>
      <c r="N127" s="357">
        <f t="shared" ca="1" si="46"/>
        <v>78.293696628875594</v>
      </c>
      <c r="O127" s="343"/>
      <c r="P127" s="363">
        <f t="shared" ca="1" si="47"/>
        <v>6</v>
      </c>
      <c r="Q127" s="357">
        <f t="shared" ca="1" si="48"/>
        <v>1001.159649122807</v>
      </c>
      <c r="R127" s="359">
        <f t="shared" ca="1" si="49"/>
        <v>0.50151316653698086</v>
      </c>
      <c r="S127" s="360">
        <f t="shared" ca="1" si="50"/>
        <v>10.881194759479799</v>
      </c>
      <c r="T127" s="357">
        <f t="shared" ca="1" si="30"/>
        <v>106.74452059049683</v>
      </c>
      <c r="U127" s="364">
        <f t="shared" ca="1" si="31"/>
        <v>0</v>
      </c>
      <c r="V127" s="359">
        <f t="shared" ca="1" si="32"/>
        <v>1.2177167871814725</v>
      </c>
      <c r="W127" s="357">
        <f t="shared" ca="1" si="33"/>
        <v>27.284656962939987</v>
      </c>
      <c r="X127" s="343"/>
      <c r="Y127" s="367" t="str">
        <f t="shared" ca="1" si="51"/>
        <v/>
      </c>
      <c r="Z127" s="368" t="str">
        <f t="shared" ca="1" si="52"/>
        <v/>
      </c>
      <c r="AA127" s="369" t="str">
        <f t="shared" ca="1" si="53"/>
        <v/>
      </c>
      <c r="AB127" s="344"/>
      <c r="AC127" s="363" t="e">
        <f t="shared" ca="1" si="54"/>
        <v>#N/A</v>
      </c>
      <c r="AD127" s="376" t="e">
        <f t="shared" ca="1" si="55"/>
        <v>#N/A</v>
      </c>
      <c r="AE127" s="377">
        <f t="shared" ca="1" si="34"/>
        <v>59.632069151427139</v>
      </c>
      <c r="AF127" s="344"/>
      <c r="AG127" s="359">
        <f t="shared" ca="1" si="56"/>
        <v>79.934276240323257</v>
      </c>
      <c r="AH127" s="357">
        <f t="shared" ca="1" si="57"/>
        <v>89.54063070633363</v>
      </c>
    </row>
    <row r="128" spans="1:34" x14ac:dyDescent="0.25">
      <c r="A128" s="402">
        <f t="shared" ca="1" si="35"/>
        <v>0.01</v>
      </c>
      <c r="B128" s="357">
        <f t="shared" ca="1" si="36"/>
        <v>1.2400000000000009</v>
      </c>
      <c r="C128" s="342"/>
      <c r="D128" s="359">
        <f t="shared" ca="1" si="37"/>
        <v>18.158263885093177</v>
      </c>
      <c r="E128" s="360">
        <f t="shared" ca="1" si="38"/>
        <v>77.824387140774604</v>
      </c>
      <c r="F128" s="357">
        <f t="shared" ca="1" si="39"/>
        <v>79.914690646700507</v>
      </c>
      <c r="G128" s="359">
        <f t="shared" ca="1" si="40"/>
        <v>20.368392258526736</v>
      </c>
      <c r="H128" s="360">
        <f t="shared" ca="1" si="41"/>
        <v>98.202683814703803</v>
      </c>
      <c r="I128" s="357">
        <f t="shared" ca="1" si="42"/>
        <v>100.29276400422864</v>
      </c>
      <c r="J128" s="359">
        <f t="shared" ca="1" si="43"/>
        <v>11.895445730646776</v>
      </c>
      <c r="K128" s="360">
        <f t="shared" ca="1" si="44"/>
        <v>60.610204770217138</v>
      </c>
      <c r="L128" s="357">
        <f t="shared" ca="1" si="29"/>
        <v>61.766484046110435</v>
      </c>
      <c r="M128" s="359">
        <f t="shared" ca="1" si="45"/>
        <v>1.3662843307291992</v>
      </c>
      <c r="N128" s="357">
        <f t="shared" ca="1" si="46"/>
        <v>78.282325765639442</v>
      </c>
      <c r="O128" s="343"/>
      <c r="P128" s="363">
        <f t="shared" ca="1" si="47"/>
        <v>6</v>
      </c>
      <c r="Q128" s="357">
        <f t="shared" ca="1" si="48"/>
        <v>1000.6578947368421</v>
      </c>
      <c r="R128" s="359">
        <f t="shared" ca="1" si="49"/>
        <v>0.50126182157801302</v>
      </c>
      <c r="S128" s="360">
        <f t="shared" ca="1" si="50"/>
        <v>10.876182141264019</v>
      </c>
      <c r="T128" s="357">
        <f t="shared" ca="1" si="30"/>
        <v>106.69534680580003</v>
      </c>
      <c r="U128" s="364">
        <f t="shared" ca="1" si="31"/>
        <v>0</v>
      </c>
      <c r="V128" s="359">
        <f t="shared" ca="1" si="32"/>
        <v>1.2175976827139723</v>
      </c>
      <c r="W128" s="357">
        <f t="shared" ca="1" si="33"/>
        <v>27.721876949560624</v>
      </c>
      <c r="X128" s="343"/>
      <c r="Y128" s="367" t="str">
        <f t="shared" ca="1" si="51"/>
        <v/>
      </c>
      <c r="Z128" s="368" t="str">
        <f t="shared" ca="1" si="52"/>
        <v/>
      </c>
      <c r="AA128" s="369" t="str">
        <f t="shared" ca="1" si="53"/>
        <v/>
      </c>
      <c r="AB128" s="344"/>
      <c r="AC128" s="363" t="e">
        <f t="shared" ca="1" si="54"/>
        <v>#N/A</v>
      </c>
      <c r="AD128" s="376" t="e">
        <f t="shared" ca="1" si="55"/>
        <v>#N/A</v>
      </c>
      <c r="AE128" s="377">
        <f t="shared" ca="1" si="34"/>
        <v>60.610204770217138</v>
      </c>
      <c r="AF128" s="344"/>
      <c r="AG128" s="359">
        <f t="shared" ca="1" si="56"/>
        <v>79.889899789034644</v>
      </c>
      <c r="AH128" s="357">
        <f t="shared" ca="1" si="57"/>
        <v>89.495856646326601</v>
      </c>
    </row>
    <row r="129" spans="1:34" x14ac:dyDescent="0.25">
      <c r="A129" s="402">
        <f t="shared" ca="1" si="35"/>
        <v>0.01</v>
      </c>
      <c r="B129" s="357">
        <f t="shared" ca="1" si="36"/>
        <v>1.2500000000000009</v>
      </c>
      <c r="C129" s="342"/>
      <c r="D129" s="359">
        <f t="shared" ca="1" si="37"/>
        <v>18.166490409563892</v>
      </c>
      <c r="E129" s="360">
        <f t="shared" ca="1" si="38"/>
        <v>77.776594517121254</v>
      </c>
      <c r="F129" s="357">
        <f t="shared" ca="1" si="39"/>
        <v>79.870019584832164</v>
      </c>
      <c r="G129" s="359">
        <f t="shared" ca="1" si="40"/>
        <v>20.550057162622377</v>
      </c>
      <c r="H129" s="360">
        <f t="shared" ca="1" si="41"/>
        <v>98.980449759875015</v>
      </c>
      <c r="I129" s="357">
        <f t="shared" ca="1" si="42"/>
        <v>101.09121764057542</v>
      </c>
      <c r="J129" s="359">
        <f t="shared" ca="1" si="43"/>
        <v>12.100037977752521</v>
      </c>
      <c r="K129" s="360">
        <f t="shared" ca="1" si="44"/>
        <v>61.596120438090033</v>
      </c>
      <c r="L129" s="357">
        <f t="shared" ca="1" si="29"/>
        <v>62.773346032267114</v>
      </c>
      <c r="M129" s="359">
        <f t="shared" ca="1" si="45"/>
        <v>1.3660872506480999</v>
      </c>
      <c r="N129" s="357">
        <f t="shared" ca="1" si="46"/>
        <v>78.271033908766356</v>
      </c>
      <c r="O129" s="343"/>
      <c r="P129" s="363">
        <f t="shared" ca="1" si="47"/>
        <v>6</v>
      </c>
      <c r="Q129" s="357">
        <f t="shared" ca="1" si="48"/>
        <v>1000.1561403508771</v>
      </c>
      <c r="R129" s="359">
        <f t="shared" ca="1" si="49"/>
        <v>0.50101047661904508</v>
      </c>
      <c r="S129" s="360">
        <f t="shared" ca="1" si="50"/>
        <v>10.871172036497828</v>
      </c>
      <c r="T129" s="357">
        <f t="shared" ca="1" si="30"/>
        <v>106.64619767804371</v>
      </c>
      <c r="U129" s="364">
        <f t="shared" ca="1" si="31"/>
        <v>0</v>
      </c>
      <c r="V129" s="359">
        <f t="shared" ca="1" si="32"/>
        <v>1.2174776426478062</v>
      </c>
      <c r="W129" s="357">
        <f t="shared" ca="1" si="33"/>
        <v>28.162257678089549</v>
      </c>
      <c r="X129" s="343"/>
      <c r="Y129" s="367" t="str">
        <f t="shared" ca="1" si="51"/>
        <v/>
      </c>
      <c r="Z129" s="368" t="str">
        <f t="shared" ca="1" si="52"/>
        <v/>
      </c>
      <c r="AA129" s="369" t="str">
        <f t="shared" ca="1" si="53"/>
        <v/>
      </c>
      <c r="AB129" s="344"/>
      <c r="AC129" s="363" t="e">
        <f t="shared" ca="1" si="54"/>
        <v>#N/A</v>
      </c>
      <c r="AD129" s="376" t="e">
        <f t="shared" ca="1" si="55"/>
        <v>#N/A</v>
      </c>
      <c r="AE129" s="377">
        <f t="shared" ca="1" si="34"/>
        <v>61.596120438090033</v>
      </c>
      <c r="AF129" s="344"/>
      <c r="AG129" s="359">
        <f t="shared" ca="1" si="56"/>
        <v>79.845167312712704</v>
      </c>
      <c r="AH129" s="357">
        <f t="shared" ca="1" si="57"/>
        <v>89.450728968004469</v>
      </c>
    </row>
    <row r="130" spans="1:34" x14ac:dyDescent="0.25">
      <c r="A130" s="402">
        <f t="shared" ca="1" si="35"/>
        <v>0.01</v>
      </c>
      <c r="B130" s="357">
        <f t="shared" ca="1" si="36"/>
        <v>1.2600000000000009</v>
      </c>
      <c r="C130" s="342"/>
      <c r="D130" s="359">
        <f t="shared" ca="1" si="37"/>
        <v>18.174506176662113</v>
      </c>
      <c r="E130" s="360">
        <f t="shared" ca="1" si="38"/>
        <v>77.728481343089527</v>
      </c>
      <c r="F130" s="357">
        <f t="shared" ca="1" si="39"/>
        <v>79.824992869830851</v>
      </c>
      <c r="G130" s="359">
        <f t="shared" ca="1" si="40"/>
        <v>20.731802224388996</v>
      </c>
      <c r="H130" s="360">
        <f t="shared" ca="1" si="41"/>
        <v>99.75773457330591</v>
      </c>
      <c r="I130" s="357">
        <f t="shared" ca="1" si="42"/>
        <v>101.8892203850306</v>
      </c>
      <c r="J130" s="359">
        <f t="shared" ca="1" si="43"/>
        <v>12.306447274687578</v>
      </c>
      <c r="K130" s="360">
        <f t="shared" ca="1" si="44"/>
        <v>62.589811359755934</v>
      </c>
      <c r="L130" s="357">
        <f t="shared" ca="1" si="29"/>
        <v>63.788189585333882</v>
      </c>
      <c r="M130" s="359">
        <f t="shared" ca="1" si="45"/>
        <v>1.3658915283179489</v>
      </c>
      <c r="N130" s="357">
        <f t="shared" ca="1" si="46"/>
        <v>78.259819845292242</v>
      </c>
      <c r="O130" s="343"/>
      <c r="P130" s="363">
        <f t="shared" ca="1" si="47"/>
        <v>6</v>
      </c>
      <c r="Q130" s="357">
        <f t="shared" ca="1" si="48"/>
        <v>999.65438596491219</v>
      </c>
      <c r="R130" s="359">
        <f t="shared" ca="1" si="49"/>
        <v>0.50075913166007713</v>
      </c>
      <c r="S130" s="360">
        <f t="shared" ca="1" si="50"/>
        <v>10.866164445181228</v>
      </c>
      <c r="T130" s="357">
        <f t="shared" ca="1" si="30"/>
        <v>106.59707320722785</v>
      </c>
      <c r="U130" s="364">
        <f t="shared" ca="1" si="31"/>
        <v>0</v>
      </c>
      <c r="V130" s="359">
        <f t="shared" ca="1" si="32"/>
        <v>1.2173566678443191</v>
      </c>
      <c r="W130" s="357">
        <f t="shared" ca="1" si="33"/>
        <v>28.605789278930111</v>
      </c>
      <c r="X130" s="343"/>
      <c r="Y130" s="367" t="str">
        <f t="shared" ca="1" si="51"/>
        <v/>
      </c>
      <c r="Z130" s="368" t="str">
        <f t="shared" ca="1" si="52"/>
        <v/>
      </c>
      <c r="AA130" s="369" t="str">
        <f t="shared" ca="1" si="53"/>
        <v/>
      </c>
      <c r="AB130" s="344"/>
      <c r="AC130" s="363" t="e">
        <f t="shared" ca="1" si="54"/>
        <v>#N/A</v>
      </c>
      <c r="AD130" s="376" t="e">
        <f t="shared" ca="1" si="55"/>
        <v>#N/A</v>
      </c>
      <c r="AE130" s="377">
        <f t="shared" ca="1" si="34"/>
        <v>62.589811359755934</v>
      </c>
      <c r="AF130" s="344"/>
      <c r="AG130" s="359">
        <f t="shared" ca="1" si="56"/>
        <v>79.800079290824286</v>
      </c>
      <c r="AH130" s="357">
        <f t="shared" ca="1" si="57"/>
        <v>89.40524811564454</v>
      </c>
    </row>
    <row r="131" spans="1:34" x14ac:dyDescent="0.25">
      <c r="A131" s="402">
        <f t="shared" ca="1" si="35"/>
        <v>0.01</v>
      </c>
      <c r="B131" s="357">
        <f t="shared" ca="1" si="36"/>
        <v>1.2700000000000009</v>
      </c>
      <c r="C131" s="342"/>
      <c r="D131" s="359">
        <f t="shared" ca="1" si="37"/>
        <v>18.182313125481453</v>
      </c>
      <c r="E131" s="360">
        <f t="shared" ca="1" si="38"/>
        <v>77.680047757002086</v>
      </c>
      <c r="F131" s="357">
        <f t="shared" ca="1" si="39"/>
        <v>79.7796109925536</v>
      </c>
      <c r="G131" s="359">
        <f t="shared" ca="1" si="40"/>
        <v>20.913625355643809</v>
      </c>
      <c r="H131" s="360">
        <f t="shared" ca="1" si="41"/>
        <v>100.53453505087593</v>
      </c>
      <c r="I131" s="357">
        <f t="shared" ca="1" si="42"/>
        <v>102.6867686871684</v>
      </c>
      <c r="J131" s="359">
        <f t="shared" ca="1" si="43"/>
        <v>12.514674412587741</v>
      </c>
      <c r="K131" s="360">
        <f t="shared" ca="1" si="44"/>
        <v>63.591272707876847</v>
      </c>
      <c r="L131" s="357">
        <f t="shared" ca="1" si="29"/>
        <v>64.811010177751754</v>
      </c>
      <c r="M131" s="359">
        <f t="shared" ca="1" si="45"/>
        <v>1.3656971430532963</v>
      </c>
      <c r="N131" s="357">
        <f t="shared" ca="1" si="46"/>
        <v>78.248682390028108</v>
      </c>
      <c r="O131" s="343"/>
      <c r="P131" s="363">
        <f t="shared" ca="1" si="47"/>
        <v>6</v>
      </c>
      <c r="Q131" s="357">
        <f t="shared" ca="1" si="48"/>
        <v>999.15263157894731</v>
      </c>
      <c r="R131" s="359">
        <f t="shared" ca="1" si="49"/>
        <v>0.50050778670110929</v>
      </c>
      <c r="S131" s="360">
        <f t="shared" ca="1" si="50"/>
        <v>10.861159367314217</v>
      </c>
      <c r="T131" s="357">
        <f t="shared" ca="1" si="30"/>
        <v>106.54797339335248</v>
      </c>
      <c r="U131" s="364">
        <f t="shared" ca="1" si="31"/>
        <v>0</v>
      </c>
      <c r="V131" s="359">
        <f t="shared" ca="1" si="32"/>
        <v>1.2172347591706463</v>
      </c>
      <c r="W131" s="357">
        <f t="shared" ca="1" si="33"/>
        <v>29.052461815548448</v>
      </c>
      <c r="X131" s="343"/>
      <c r="Y131" s="367" t="str">
        <f t="shared" ca="1" si="51"/>
        <v/>
      </c>
      <c r="Z131" s="368" t="str">
        <f t="shared" ca="1" si="52"/>
        <v/>
      </c>
      <c r="AA131" s="369" t="str">
        <f t="shared" ca="1" si="53"/>
        <v/>
      </c>
      <c r="AB131" s="344"/>
      <c r="AC131" s="363" t="e">
        <f t="shared" ca="1" si="54"/>
        <v>#N/A</v>
      </c>
      <c r="AD131" s="376" t="e">
        <f t="shared" ca="1" si="55"/>
        <v>#N/A</v>
      </c>
      <c r="AE131" s="377">
        <f t="shared" ca="1" si="34"/>
        <v>63.591272707876847</v>
      </c>
      <c r="AF131" s="344"/>
      <c r="AG131" s="359">
        <f t="shared" ca="1" si="56"/>
        <v>79.754636209563287</v>
      </c>
      <c r="AH131" s="357">
        <f t="shared" ca="1" si="57"/>
        <v>89.359414541029537</v>
      </c>
    </row>
    <row r="132" spans="1:34" x14ac:dyDescent="0.25">
      <c r="A132" s="402">
        <f t="shared" ca="1" si="35"/>
        <v>0.01</v>
      </c>
      <c r="B132" s="357">
        <f t="shared" ca="1" si="36"/>
        <v>1.2800000000000009</v>
      </c>
      <c r="C132" s="342"/>
      <c r="D132" s="359">
        <f t="shared" ca="1" si="37"/>
        <v>18.189913153240575</v>
      </c>
      <c r="E132" s="360">
        <f t="shared" ca="1" si="38"/>
        <v>77.631293911452403</v>
      </c>
      <c r="F132" s="357">
        <f t="shared" ca="1" si="39"/>
        <v>79.733874450504047</v>
      </c>
      <c r="G132" s="359">
        <f t="shared" ca="1" si="40"/>
        <v>21.095524487176213</v>
      </c>
      <c r="H132" s="360">
        <f t="shared" ca="1" si="41"/>
        <v>101.31084798999045</v>
      </c>
      <c r="I132" s="357">
        <f t="shared" ca="1" si="42"/>
        <v>103.48385900148874</v>
      </c>
      <c r="J132" s="359">
        <f t="shared" ca="1" si="43"/>
        <v>12.724720161801841</v>
      </c>
      <c r="K132" s="360">
        <f t="shared" ca="1" si="44"/>
        <v>64.600499623081177</v>
      </c>
      <c r="L132" s="357">
        <f t="shared" ref="L132:L195" ca="1" si="58">SQRT(pos_x^2+pos_z^2)</f>
        <v>65.841803246477667</v>
      </c>
      <c r="M132" s="359">
        <f t="shared" ca="1" si="45"/>
        <v>1.3655040746386147</v>
      </c>
      <c r="N132" s="357">
        <f t="shared" ca="1" si="46"/>
        <v>78.237620384709572</v>
      </c>
      <c r="O132" s="343"/>
      <c r="P132" s="363">
        <f t="shared" ca="1" si="47"/>
        <v>6</v>
      </c>
      <c r="Q132" s="357">
        <f t="shared" ca="1" si="48"/>
        <v>998.65087719298242</v>
      </c>
      <c r="R132" s="359">
        <f t="shared" ca="1" si="49"/>
        <v>0.50025644174214146</v>
      </c>
      <c r="S132" s="360">
        <f t="shared" ca="1" si="50"/>
        <v>10.856156802896797</v>
      </c>
      <c r="T132" s="357">
        <f t="shared" ref="T132:T195" ca="1" si="59">m*g</f>
        <v>106.49889823641757</v>
      </c>
      <c r="U132" s="364">
        <f t="shared" ref="U132:U195" ca="1" si="60">IF(pos_xz&lt;L_rampe,Poids*COS(Beta),0)</f>
        <v>0</v>
      </c>
      <c r="V132" s="359">
        <f t="shared" ref="V132:V195" ca="1" si="61">Rho_moyen*(20000-Alt_rampe-pos_z)/(20000+Alt_rampe+pos_z)</f>
        <v>1.217111917499702</v>
      </c>
      <c r="W132" s="357">
        <f t="shared" ref="W132:W195" ca="1" si="62">1/2*Rho*Sref*Cx*vit_xz^2</f>
        <v>29.502265284830059</v>
      </c>
      <c r="X132" s="343"/>
      <c r="Y132" s="367" t="str">
        <f t="shared" ca="1" si="51"/>
        <v/>
      </c>
      <c r="Z132" s="368" t="str">
        <f t="shared" ca="1" si="52"/>
        <v/>
      </c>
      <c r="AA132" s="369" t="str">
        <f t="shared" ca="1" si="53"/>
        <v/>
      </c>
      <c r="AB132" s="344"/>
      <c r="AC132" s="363" t="e">
        <f t="shared" ca="1" si="54"/>
        <v>#N/A</v>
      </c>
      <c r="AD132" s="376" t="e">
        <f t="shared" ca="1" si="55"/>
        <v>#N/A</v>
      </c>
      <c r="AE132" s="377">
        <f t="shared" ref="AE132:AE195" ca="1" si="63">IF(t&lt;T_para, pos_z, NA())</f>
        <v>64.600499623081177</v>
      </c>
      <c r="AF132" s="344"/>
      <c r="AG132" s="359">
        <f t="shared" ca="1" si="56"/>
        <v>79.708838561857732</v>
      </c>
      <c r="AH132" s="357">
        <f t="shared" ca="1" si="57"/>
        <v>89.313228703431378</v>
      </c>
    </row>
    <row r="133" spans="1:34" x14ac:dyDescent="0.25">
      <c r="A133" s="402">
        <f t="shared" ref="A133:A196" ca="1" si="64">IF(B132+0.01&lt;=T_ini+ROUNDUP(Temps_fin_propu,0), 0.01, IF(K132&gt;0, 0.1, 0.0001))</f>
        <v>0.01</v>
      </c>
      <c r="B133" s="357">
        <f t="shared" ref="B133:B196" ca="1" si="65">B132+pas</f>
        <v>1.2900000000000009</v>
      </c>
      <c r="C133" s="342"/>
      <c r="D133" s="359">
        <f t="shared" ref="D133:D196" ca="1" si="66">IF(AND(L132&lt;L_rampe,Poussee&lt;Poids*SIN(M132)),0,(-W132+Poussee)/m*COS(M132)-U132/m*SIN(M132))</f>
        <v>18.190185052189246</v>
      </c>
      <c r="E133" s="360">
        <f t="shared" ref="E133:E196" ca="1" si="67">IF(AND(L132&lt;L_rampe,Poussee&lt;Poids*SIN(M132)),0,(-W132+Poussee)/m*SIN(M132)+U132/m*COS(M132)-Poids/m)</f>
        <v>77.548011593994772</v>
      </c>
      <c r="F133" s="357">
        <f t="shared" ref="F133:F196" ca="1" si="68">SQRT(acc_x^2+acc_z^2)</f>
        <v>79.652852644555281</v>
      </c>
      <c r="G133" s="359">
        <f t="shared" ref="G133:G196" ca="1" si="69">G132+acc_x*pas</f>
        <v>21.277426337698106</v>
      </c>
      <c r="H133" s="360">
        <f t="shared" ref="H133:H196" ca="1" si="70">H132+acc_z*pas</f>
        <v>102.08632810593039</v>
      </c>
      <c r="I133" s="357">
        <f t="shared" ref="I133:I196" ca="1" si="71">SQRT(vit_x^2+vit_z^2)</f>
        <v>104.28013836636315</v>
      </c>
      <c r="J133" s="359">
        <f t="shared" ref="J133:J196" ca="1" si="72">J132+0.5*(vit_x+G132)*pas*(K132&gt;=0)</f>
        <v>12.936584915926213</v>
      </c>
      <c r="K133" s="360">
        <f t="shared" ref="K133:K196" ca="1" si="73">K132+0.5*(vit_z+H132)*pas</f>
        <v>65.617485503560786</v>
      </c>
      <c r="L133" s="357">
        <f t="shared" ca="1" si="58"/>
        <v>66.880562446027469</v>
      </c>
      <c r="M133" s="359">
        <f t="shared" ref="M133:M196" ca="1" si="74">IF(AND(L132&gt;L_rampe,G133&gt;0),ATAN2(G133,H133),$M$4)</f>
        <v>1.3653123026714351</v>
      </c>
      <c r="N133" s="357">
        <f t="shared" ref="N133:N196" ca="1" si="75">DEGREES(Beta)</f>
        <v>78.226632660361261</v>
      </c>
      <c r="O133" s="343"/>
      <c r="P133" s="363">
        <f t="shared" ref="P133:P196" ca="1" si="76">MATCH(t-pas/2-T_ini,CdP_t)</f>
        <v>7</v>
      </c>
      <c r="Q133" s="357">
        <f t="shared" ref="Q133:Q196" ca="1" si="77">(INDEX(CdP,2,i_P+1)-INDEX(CdP,2,i_P+0))/(INDEX(CdP,1,i_P+1)-INDEX(CdP,1,i_P+0))*(t-pas/2-T_ini-INDEX(CdP,1,i_P+0))+INDEX(CdP,2,i_P+0)</f>
        <v>997.77012987012972</v>
      </c>
      <c r="R133" s="359">
        <f t="shared" ref="R133:R196" ca="1" si="78">Poussee/(g*ISP)</f>
        <v>0.49981524699444074</v>
      </c>
      <c r="S133" s="360">
        <f t="shared" ref="S133:S196" ca="1" si="79">S132-Débit*pas</f>
        <v>10.851158650426852</v>
      </c>
      <c r="T133" s="357">
        <f t="shared" ca="1" si="59"/>
        <v>106.44986636068742</v>
      </c>
      <c r="U133" s="364">
        <f t="shared" ca="1" si="60"/>
        <v>0</v>
      </c>
      <c r="V133" s="359">
        <f t="shared" ca="1" si="61"/>
        <v>1.2169881439183285</v>
      </c>
      <c r="W133" s="357">
        <f t="shared" ca="1" si="62"/>
        <v>29.954988876313188</v>
      </c>
      <c r="X133" s="343"/>
      <c r="Y133" s="367" t="str">
        <f t="shared" ref="Y133:Y196" ca="1" si="80">IF(AND(pos_z&lt;=0,K132&gt;0),"Impact balistique","") &amp; IF(AND(H134&lt;0,vit_z&gt;=0),"Apogée","") &amp; IF(AND(Poussee=0,Q132&gt;0),"Fin de propulsion","") &amp; IF(AND(L134&gt;L_rampe,pos_xz&lt;=L_rampe),"Sortie de rampe","")</f>
        <v/>
      </c>
      <c r="Z133" s="368" t="str">
        <f t="shared" ref="Z133:Z196" ca="1" si="81">IF(ABS(t-T_para)&lt;pas/2,"Para","")</f>
        <v/>
      </c>
      <c r="AA133" s="369" t="str">
        <f t="shared" ref="AA133:AA196" ca="1" si="82">IF(ABS(t-T_satellite)&lt;pas/2,"Satellite","")</f>
        <v/>
      </c>
      <c r="AB133" s="344"/>
      <c r="AC133" s="363" t="e">
        <f t="shared" ref="AC133:AC196" ca="1" si="83">IF(ABS(t-ROUND(t,0))&lt;0.001,t,NA())</f>
        <v>#N/A</v>
      </c>
      <c r="AD133" s="376" t="e">
        <f t="shared" ref="AD133:AD196" ca="1" si="84">IF(ABS(t-ROUND(t,0))&lt;0.001,pos_x,NA())</f>
        <v>#N/A</v>
      </c>
      <c r="AE133" s="377">
        <f t="shared" ca="1" si="63"/>
        <v>65.617485503560786</v>
      </c>
      <c r="AF133" s="344"/>
      <c r="AG133" s="359">
        <f t="shared" ref="AG133:AG196" ca="1" si="85">IF(AND(L132&lt;L_rampe,Poussee&lt;Poids*SIN(M132)),0,(-W132+Poussee)/m-Poids*SIN(M132)/m)</f>
        <v>79.62774473458127</v>
      </c>
      <c r="AH133" s="357">
        <f t="shared" ref="AH133:AH196" ca="1" si="86">IF(AND(L132&lt;L_rampe,Poussee&lt;Poids*SIN(M132)), g*SIN(M132), (-W132+Poussee)/m)</f>
        <v>89.231748956800203</v>
      </c>
    </row>
    <row r="134" spans="1:34" x14ac:dyDescent="0.25">
      <c r="A134" s="402">
        <f t="shared" ca="1" si="64"/>
        <v>0.01</v>
      </c>
      <c r="B134" s="357">
        <f t="shared" ca="1" si="65"/>
        <v>1.3000000000000009</v>
      </c>
      <c r="C134" s="342"/>
      <c r="D134" s="359">
        <f t="shared" ca="1" si="66"/>
        <v>18.18310176658489</v>
      </c>
      <c r="E134" s="360">
        <f t="shared" ca="1" si="67"/>
        <v>77.43016069736403</v>
      </c>
      <c r="F134" s="357">
        <f t="shared" ca="1" si="68"/>
        <v>79.536500900363976</v>
      </c>
      <c r="G134" s="359">
        <f t="shared" ca="1" si="69"/>
        <v>21.459257355363956</v>
      </c>
      <c r="H134" s="360">
        <f t="shared" ca="1" si="70"/>
        <v>102.86062971290403</v>
      </c>
      <c r="I134" s="357">
        <f t="shared" ca="1" si="71"/>
        <v>105.07525337194718</v>
      </c>
      <c r="J134" s="359">
        <f t="shared" ca="1" si="72"/>
        <v>13.150268334391523</v>
      </c>
      <c r="K134" s="360">
        <f t="shared" ca="1" si="73"/>
        <v>66.642220292654955</v>
      </c>
      <c r="L134" s="357">
        <f t="shared" ca="1" si="58"/>
        <v>67.927277899244956</v>
      </c>
      <c r="M134" s="359">
        <f t="shared" ca="1" si="74"/>
        <v>1.3651218065836463</v>
      </c>
      <c r="N134" s="357">
        <f t="shared" ca="1" si="75"/>
        <v>78.21571803851721</v>
      </c>
      <c r="O134" s="343"/>
      <c r="P134" s="363">
        <f t="shared" ca="1" si="76"/>
        <v>7</v>
      </c>
      <c r="Q134" s="357">
        <f t="shared" ca="1" si="77"/>
        <v>996.51038961038944</v>
      </c>
      <c r="R134" s="359">
        <f t="shared" ca="1" si="78"/>
        <v>0.49918420245800738</v>
      </c>
      <c r="S134" s="360">
        <f t="shared" ca="1" si="79"/>
        <v>10.846166808402272</v>
      </c>
      <c r="T134" s="357">
        <f t="shared" ca="1" si="59"/>
        <v>106.40089639042628</v>
      </c>
      <c r="U134" s="364">
        <f t="shared" ca="1" si="60"/>
        <v>0</v>
      </c>
      <c r="V134" s="359">
        <f t="shared" ca="1" si="61"/>
        <v>1.2168634399355618</v>
      </c>
      <c r="W134" s="357">
        <f t="shared" ca="1" si="62"/>
        <v>30.410415418309405</v>
      </c>
      <c r="X134" s="343"/>
      <c r="Y134" s="367" t="str">
        <f t="shared" ca="1" si="80"/>
        <v/>
      </c>
      <c r="Z134" s="368" t="str">
        <f t="shared" ca="1" si="81"/>
        <v/>
      </c>
      <c r="AA134" s="369" t="str">
        <f t="shared" ca="1" si="82"/>
        <v/>
      </c>
      <c r="AB134" s="344"/>
      <c r="AC134" s="363" t="e">
        <f t="shared" ca="1" si="83"/>
        <v>#N/A</v>
      </c>
      <c r="AD134" s="376" t="e">
        <f t="shared" ca="1" si="84"/>
        <v>#N/A</v>
      </c>
      <c r="AE134" s="377">
        <f t="shared" ca="1" si="63"/>
        <v>66.642220292654955</v>
      </c>
      <c r="AF134" s="344"/>
      <c r="AG134" s="359">
        <f t="shared" ca="1" si="85"/>
        <v>79.511309905874739</v>
      </c>
      <c r="AH134" s="357">
        <f t="shared" ca="1" si="86"/>
        <v>89.114930445778171</v>
      </c>
    </row>
    <row r="135" spans="1:34" x14ac:dyDescent="0.25">
      <c r="A135" s="402">
        <f t="shared" ca="1" si="64"/>
        <v>0.01</v>
      </c>
      <c r="B135" s="357">
        <f t="shared" ca="1" si="65"/>
        <v>1.3100000000000009</v>
      </c>
      <c r="C135" s="342"/>
      <c r="D135" s="359">
        <f t="shared" ca="1" si="66"/>
        <v>18.175779323401358</v>
      </c>
      <c r="E135" s="360">
        <f t="shared" ca="1" si="67"/>
        <v>77.311938833569485</v>
      </c>
      <c r="F135" s="357">
        <f t="shared" ca="1" si="68"/>
        <v>79.41973835400475</v>
      </c>
      <c r="G135" s="359">
        <f t="shared" ca="1" si="69"/>
        <v>21.641015148597969</v>
      </c>
      <c r="H135" s="360">
        <f t="shared" ca="1" si="70"/>
        <v>103.63374910123973</v>
      </c>
      <c r="I135" s="357">
        <f t="shared" ca="1" si="71"/>
        <v>105.86919990932468</v>
      </c>
      <c r="J135" s="359">
        <f t="shared" ca="1" si="72"/>
        <v>13.365769696911332</v>
      </c>
      <c r="K135" s="360">
        <f t="shared" ca="1" si="73"/>
        <v>67.674692186725679</v>
      </c>
      <c r="L135" s="357">
        <f t="shared" ca="1" si="58"/>
        <v>68.981937941456408</v>
      </c>
      <c r="M135" s="359">
        <f t="shared" ca="1" si="74"/>
        <v>1.3649325662865197</v>
      </c>
      <c r="N135" s="357">
        <f t="shared" ca="1" si="75"/>
        <v>78.204875368178051</v>
      </c>
      <c r="O135" s="343"/>
      <c r="P135" s="363">
        <f t="shared" ca="1" si="76"/>
        <v>7</v>
      </c>
      <c r="Q135" s="357">
        <f t="shared" ca="1" si="77"/>
        <v>995.25064935064916</v>
      </c>
      <c r="R135" s="359">
        <f t="shared" ca="1" si="78"/>
        <v>0.49855315792157406</v>
      </c>
      <c r="S135" s="360">
        <f t="shared" ca="1" si="79"/>
        <v>10.841181276823056</v>
      </c>
      <c r="T135" s="357">
        <f t="shared" ca="1" si="59"/>
        <v>106.35198832563418</v>
      </c>
      <c r="U135" s="364">
        <f t="shared" ca="1" si="60"/>
        <v>0</v>
      </c>
      <c r="V135" s="359">
        <f t="shared" ca="1" si="61"/>
        <v>1.2167378072746</v>
      </c>
      <c r="W135" s="357">
        <f t="shared" ca="1" si="62"/>
        <v>30.868525341760332</v>
      </c>
      <c r="X135" s="343"/>
      <c r="Y135" s="367" t="str">
        <f t="shared" ca="1" si="80"/>
        <v/>
      </c>
      <c r="Z135" s="368" t="str">
        <f t="shared" ca="1" si="81"/>
        <v/>
      </c>
      <c r="AA135" s="369" t="str">
        <f t="shared" ca="1" si="82"/>
        <v/>
      </c>
      <c r="AB135" s="344"/>
      <c r="AC135" s="363" t="e">
        <f t="shared" ca="1" si="83"/>
        <v>#N/A</v>
      </c>
      <c r="AD135" s="376" t="e">
        <f t="shared" ca="1" si="84"/>
        <v>#N/A</v>
      </c>
      <c r="AE135" s="377">
        <f t="shared" ca="1" si="63"/>
        <v>67.674692186725679</v>
      </c>
      <c r="AF135" s="344"/>
      <c r="AG135" s="359">
        <f t="shared" ca="1" si="85"/>
        <v>79.394464168942832</v>
      </c>
      <c r="AH135" s="357">
        <f t="shared" ca="1" si="86"/>
        <v>88.997703229539624</v>
      </c>
    </row>
    <row r="136" spans="1:34" x14ac:dyDescent="0.25">
      <c r="A136" s="402">
        <f t="shared" ca="1" si="64"/>
        <v>0.01</v>
      </c>
      <c r="B136" s="357">
        <f t="shared" ca="1" si="65"/>
        <v>1.320000000000001</v>
      </c>
      <c r="C136" s="342"/>
      <c r="D136" s="359">
        <f t="shared" ca="1" si="66"/>
        <v>18.168219991986746</v>
      </c>
      <c r="E136" s="360">
        <f t="shared" ca="1" si="67"/>
        <v>77.193347085945888</v>
      </c>
      <c r="F136" s="357">
        <f t="shared" ca="1" si="68"/>
        <v>79.302566490678828</v>
      </c>
      <c r="G136" s="359">
        <f t="shared" ca="1" si="69"/>
        <v>21.822697348517835</v>
      </c>
      <c r="H136" s="360">
        <f t="shared" ca="1" si="70"/>
        <v>104.4056825720992</v>
      </c>
      <c r="I136" s="357">
        <f t="shared" ca="1" si="71"/>
        <v>106.66197388437429</v>
      </c>
      <c r="J136" s="359">
        <f t="shared" ca="1" si="72"/>
        <v>13.583088259396911</v>
      </c>
      <c r="K136" s="360">
        <f t="shared" ca="1" si="73"/>
        <v>68.714889345092374</v>
      </c>
      <c r="L136" s="357">
        <f t="shared" ca="1" si="58"/>
        <v>70.044530866948179</v>
      </c>
      <c r="M136" s="359">
        <f t="shared" ca="1" si="74"/>
        <v>1.3647445621557601</v>
      </c>
      <c r="N136" s="357">
        <f t="shared" ca="1" si="75"/>
        <v>78.1941035249545</v>
      </c>
      <c r="O136" s="343"/>
      <c r="P136" s="363">
        <f t="shared" ca="1" si="76"/>
        <v>7</v>
      </c>
      <c r="Q136" s="357">
        <f t="shared" ca="1" si="77"/>
        <v>993.99090909090899</v>
      </c>
      <c r="R136" s="359">
        <f t="shared" ca="1" si="78"/>
        <v>0.49792211338514075</v>
      </c>
      <c r="S136" s="360">
        <f t="shared" ca="1" si="79"/>
        <v>10.836202055689204</v>
      </c>
      <c r="T136" s="357">
        <f t="shared" ca="1" si="59"/>
        <v>106.3031421663111</v>
      </c>
      <c r="U136" s="364">
        <f t="shared" ca="1" si="60"/>
        <v>0</v>
      </c>
      <c r="V136" s="359">
        <f t="shared" ca="1" si="61"/>
        <v>1.2166112476646493</v>
      </c>
      <c r="W136" s="357">
        <f t="shared" ca="1" si="62"/>
        <v>31.329299034150072</v>
      </c>
      <c r="X136" s="343"/>
      <c r="Y136" s="367" t="str">
        <f t="shared" ca="1" si="80"/>
        <v/>
      </c>
      <c r="Z136" s="368" t="str">
        <f t="shared" ca="1" si="81"/>
        <v/>
      </c>
      <c r="AA136" s="369" t="str">
        <f t="shared" ca="1" si="82"/>
        <v/>
      </c>
      <c r="AB136" s="344"/>
      <c r="AC136" s="363" t="e">
        <f t="shared" ca="1" si="83"/>
        <v>#N/A</v>
      </c>
      <c r="AD136" s="376" t="e">
        <f t="shared" ca="1" si="84"/>
        <v>#N/A</v>
      </c>
      <c r="AE136" s="377">
        <f t="shared" ca="1" si="63"/>
        <v>68.714889345092374</v>
      </c>
      <c r="AF136" s="344"/>
      <c r="AG136" s="359">
        <f t="shared" ca="1" si="85"/>
        <v>79.277209003638106</v>
      </c>
      <c r="AH136" s="357">
        <f t="shared" ca="1" si="86"/>
        <v>88.880068754669608</v>
      </c>
    </row>
    <row r="137" spans="1:34" x14ac:dyDescent="0.25">
      <c r="A137" s="402">
        <f t="shared" ca="1" si="64"/>
        <v>0.01</v>
      </c>
      <c r="B137" s="357">
        <f t="shared" ca="1" si="65"/>
        <v>1.330000000000001</v>
      </c>
      <c r="C137" s="342"/>
      <c r="D137" s="359">
        <f t="shared" ca="1" si="66"/>
        <v>18.160425997448968</v>
      </c>
      <c r="E137" s="360">
        <f t="shared" ca="1" si="67"/>
        <v>77.074386553275062</v>
      </c>
      <c r="F137" s="357">
        <f t="shared" ca="1" si="68"/>
        <v>79.184986802881312</v>
      </c>
      <c r="G137" s="359">
        <f t="shared" ca="1" si="69"/>
        <v>22.004301608492323</v>
      </c>
      <c r="H137" s="360">
        <f t="shared" ca="1" si="70"/>
        <v>105.17642643763195</v>
      </c>
      <c r="I137" s="357">
        <f t="shared" ca="1" si="71"/>
        <v>107.4535712178432</v>
      </c>
      <c r="J137" s="359">
        <f t="shared" ca="1" si="72"/>
        <v>13.802223254181962</v>
      </c>
      <c r="K137" s="360">
        <f t="shared" ca="1" si="73"/>
        <v>69.762799890141025</v>
      </c>
      <c r="L137" s="357">
        <f t="shared" ca="1" si="58"/>
        <v>71.115044929115683</v>
      </c>
      <c r="M137" s="359">
        <f t="shared" ca="1" si="74"/>
        <v>1.3645577750171398</v>
      </c>
      <c r="N137" s="357">
        <f t="shared" ca="1" si="75"/>
        <v>78.183401410244244</v>
      </c>
      <c r="O137" s="343"/>
      <c r="P137" s="363">
        <f t="shared" ca="1" si="76"/>
        <v>7</v>
      </c>
      <c r="Q137" s="357">
        <f t="shared" ca="1" si="77"/>
        <v>992.7311688311687</v>
      </c>
      <c r="R137" s="359">
        <f t="shared" ca="1" si="78"/>
        <v>0.49729106884870744</v>
      </c>
      <c r="S137" s="360">
        <f t="shared" ca="1" si="79"/>
        <v>10.831229145000718</v>
      </c>
      <c r="T137" s="357">
        <f t="shared" ca="1" si="59"/>
        <v>106.25435791245704</v>
      </c>
      <c r="U137" s="364">
        <f t="shared" ca="1" si="60"/>
        <v>0</v>
      </c>
      <c r="V137" s="359">
        <f t="shared" ca="1" si="61"/>
        <v>1.2164837628408953</v>
      </c>
      <c r="W137" s="357">
        <f t="shared" ca="1" si="62"/>
        <v>31.792716840342681</v>
      </c>
      <c r="X137" s="343"/>
      <c r="Y137" s="367" t="str">
        <f t="shared" ca="1" si="80"/>
        <v/>
      </c>
      <c r="Z137" s="368" t="str">
        <f t="shared" ca="1" si="81"/>
        <v/>
      </c>
      <c r="AA137" s="369" t="str">
        <f t="shared" ca="1" si="82"/>
        <v/>
      </c>
      <c r="AB137" s="344"/>
      <c r="AC137" s="363" t="e">
        <f t="shared" ca="1" si="83"/>
        <v>#N/A</v>
      </c>
      <c r="AD137" s="376" t="e">
        <f t="shared" ca="1" si="84"/>
        <v>#N/A</v>
      </c>
      <c r="AE137" s="377">
        <f t="shared" ca="1" si="63"/>
        <v>69.762799890141025</v>
      </c>
      <c r="AF137" s="344"/>
      <c r="AG137" s="359">
        <f t="shared" ca="1" si="85"/>
        <v>79.159545897171085</v>
      </c>
      <c r="AH137" s="357">
        <f t="shared" ca="1" si="86"/>
        <v>88.762028475850784</v>
      </c>
    </row>
    <row r="138" spans="1:34" x14ac:dyDescent="0.25">
      <c r="A138" s="402">
        <f t="shared" ca="1" si="64"/>
        <v>0.01</v>
      </c>
      <c r="B138" s="357">
        <f t="shared" ca="1" si="65"/>
        <v>1.340000000000001</v>
      </c>
      <c r="C138" s="342"/>
      <c r="D138" s="359">
        <f t="shared" ca="1" si="66"/>
        <v>18.152399522080511</v>
      </c>
      <c r="E138" s="360">
        <f t="shared" ca="1" si="67"/>
        <v>76.955058349489676</v>
      </c>
      <c r="F138" s="357">
        <f t="shared" ca="1" si="68"/>
        <v>79.067000790358733</v>
      </c>
      <c r="G138" s="359">
        <f t="shared" ca="1" si="69"/>
        <v>22.185825603713127</v>
      </c>
      <c r="H138" s="360">
        <f t="shared" ca="1" si="70"/>
        <v>105.94597702112684</v>
      </c>
      <c r="I138" s="357">
        <f t="shared" ca="1" si="71"/>
        <v>108.24398784542035</v>
      </c>
      <c r="J138" s="359">
        <f t="shared" ca="1" si="72"/>
        <v>14.02317389024299</v>
      </c>
      <c r="K138" s="360">
        <f t="shared" ca="1" si="73"/>
        <v>70.818411907434822</v>
      </c>
      <c r="L138" s="357">
        <f t="shared" ca="1" si="58"/>
        <v>72.193468340613052</v>
      </c>
      <c r="M138" s="359">
        <f t="shared" ca="1" si="74"/>
        <v>1.3643721861326854</v>
      </c>
      <c r="N138" s="357">
        <f t="shared" ca="1" si="75"/>
        <v>78.172767950440459</v>
      </c>
      <c r="O138" s="343"/>
      <c r="P138" s="363">
        <f t="shared" ca="1" si="76"/>
        <v>7</v>
      </c>
      <c r="Q138" s="357">
        <f t="shared" ca="1" si="77"/>
        <v>991.47142857142842</v>
      </c>
      <c r="R138" s="359">
        <f t="shared" ca="1" si="78"/>
        <v>0.49666002431227407</v>
      </c>
      <c r="S138" s="360">
        <f t="shared" ca="1" si="79"/>
        <v>10.826262544757595</v>
      </c>
      <c r="T138" s="357">
        <f t="shared" ca="1" si="59"/>
        <v>106.20563556407201</v>
      </c>
      <c r="U138" s="364">
        <f t="shared" ca="1" si="60"/>
        <v>0</v>
      </c>
      <c r="V138" s="359">
        <f t="shared" ca="1" si="61"/>
        <v>1.2163553545444723</v>
      </c>
      <c r="W138" s="357">
        <f t="shared" ca="1" si="62"/>
        <v>32.258759063420491</v>
      </c>
      <c r="X138" s="343"/>
      <c r="Y138" s="367" t="str">
        <f t="shared" ca="1" si="80"/>
        <v/>
      </c>
      <c r="Z138" s="368" t="str">
        <f t="shared" ca="1" si="81"/>
        <v/>
      </c>
      <c r="AA138" s="369" t="str">
        <f t="shared" ca="1" si="82"/>
        <v/>
      </c>
      <c r="AB138" s="344"/>
      <c r="AC138" s="363" t="e">
        <f t="shared" ca="1" si="83"/>
        <v>#N/A</v>
      </c>
      <c r="AD138" s="376" t="e">
        <f t="shared" ca="1" si="84"/>
        <v>#N/A</v>
      </c>
      <c r="AE138" s="377">
        <f t="shared" ca="1" si="63"/>
        <v>70.818411907434822</v>
      </c>
      <c r="AF138" s="344"/>
      <c r="AG138" s="359">
        <f t="shared" ca="1" si="85"/>
        <v>79.041476344065273</v>
      </c>
      <c r="AH138" s="357">
        <f t="shared" ca="1" si="86"/>
        <v>88.643583855796223</v>
      </c>
    </row>
    <row r="139" spans="1:34" x14ac:dyDescent="0.25">
      <c r="A139" s="402">
        <f t="shared" ca="1" si="64"/>
        <v>0.01</v>
      </c>
      <c r="B139" s="357">
        <f t="shared" ca="1" si="65"/>
        <v>1.350000000000001</v>
      </c>
      <c r="C139" s="342"/>
      <c r="D139" s="359">
        <f t="shared" ca="1" si="66"/>
        <v>18.144142706727703</v>
      </c>
      <c r="E139" s="360">
        <f t="shared" ca="1" si="67"/>
        <v>76.835363603385332</v>
      </c>
      <c r="F139" s="357">
        <f t="shared" ca="1" si="68"/>
        <v>78.948609960065369</v>
      </c>
      <c r="G139" s="359">
        <f t="shared" ca="1" si="69"/>
        <v>22.367267030780404</v>
      </c>
      <c r="H139" s="360">
        <f t="shared" ca="1" si="70"/>
        <v>106.71433065716069</v>
      </c>
      <c r="I139" s="357">
        <f t="shared" ca="1" si="71"/>
        <v>109.03321971780922</v>
      </c>
      <c r="J139" s="359">
        <f t="shared" ca="1" si="72"/>
        <v>14.245939353415459</v>
      </c>
      <c r="K139" s="360">
        <f t="shared" ca="1" si="73"/>
        <v>71.881713445826264</v>
      </c>
      <c r="L139" s="357">
        <f t="shared" ca="1" si="58"/>
        <v>73.279789273503454</v>
      </c>
      <c r="M139" s="359">
        <f t="shared" ca="1" si="74"/>
        <v>1.3641877771873936</v>
      </c>
      <c r="N139" s="357">
        <f t="shared" ca="1" si="75"/>
        <v>78.162202096170773</v>
      </c>
      <c r="O139" s="343"/>
      <c r="P139" s="363">
        <f t="shared" ca="1" si="76"/>
        <v>7</v>
      </c>
      <c r="Q139" s="357">
        <f t="shared" ca="1" si="77"/>
        <v>990.21168831168814</v>
      </c>
      <c r="R139" s="359">
        <f t="shared" ca="1" si="78"/>
        <v>0.49602897977584076</v>
      </c>
      <c r="S139" s="360">
        <f t="shared" ca="1" si="79"/>
        <v>10.821302254959837</v>
      </c>
      <c r="T139" s="357">
        <f t="shared" ca="1" si="59"/>
        <v>106.15697512115601</v>
      </c>
      <c r="U139" s="364">
        <f t="shared" ca="1" si="60"/>
        <v>0</v>
      </c>
      <c r="V139" s="359">
        <f t="shared" ca="1" si="61"/>
        <v>1.2162260245224394</v>
      </c>
      <c r="W139" s="357">
        <f t="shared" ca="1" si="62"/>
        <v>32.727405965523339</v>
      </c>
      <c r="X139" s="343"/>
      <c r="Y139" s="367" t="str">
        <f t="shared" ca="1" si="80"/>
        <v/>
      </c>
      <c r="Z139" s="368" t="str">
        <f t="shared" ca="1" si="81"/>
        <v/>
      </c>
      <c r="AA139" s="369" t="str">
        <f t="shared" ca="1" si="82"/>
        <v/>
      </c>
      <c r="AB139" s="344"/>
      <c r="AC139" s="363" t="e">
        <f t="shared" ca="1" si="83"/>
        <v>#N/A</v>
      </c>
      <c r="AD139" s="376" t="e">
        <f t="shared" ca="1" si="84"/>
        <v>#N/A</v>
      </c>
      <c r="AE139" s="377">
        <f t="shared" ca="1" si="63"/>
        <v>71.881713445826264</v>
      </c>
      <c r="AF139" s="344"/>
      <c r="AG139" s="359">
        <f t="shared" ca="1" si="85"/>
        <v>78.923001846111049</v>
      </c>
      <c r="AH139" s="357">
        <f t="shared" ca="1" si="86"/>
        <v>88.524736365181866</v>
      </c>
    </row>
    <row r="140" spans="1:34" x14ac:dyDescent="0.25">
      <c r="A140" s="402">
        <f t="shared" ca="1" si="64"/>
        <v>0.01</v>
      </c>
      <c r="B140" s="357">
        <f t="shared" ca="1" si="65"/>
        <v>1.360000000000001</v>
      </c>
      <c r="C140" s="342"/>
      <c r="D140" s="359">
        <f t="shared" ca="1" si="66"/>
        <v>18.135657652106993</v>
      </c>
      <c r="E140" s="360">
        <f t="shared" ca="1" si="67"/>
        <v>76.715303458340642</v>
      </c>
      <c r="F140" s="357">
        <f t="shared" ca="1" si="68"/>
        <v>78.829815826118221</v>
      </c>
      <c r="G140" s="359">
        <f t="shared" ca="1" si="69"/>
        <v>22.548623607301472</v>
      </c>
      <c r="H140" s="360">
        <f t="shared" ca="1" si="70"/>
        <v>107.48148369174409</v>
      </c>
      <c r="I140" s="357">
        <f t="shared" ca="1" si="71"/>
        <v>109.82126280080011</v>
      </c>
      <c r="J140" s="359">
        <f t="shared" ca="1" si="72"/>
        <v>14.470518806605869</v>
      </c>
      <c r="K140" s="360">
        <f t="shared" ca="1" si="73"/>
        <v>72.952692517570782</v>
      </c>
      <c r="L140" s="357">
        <f t="shared" ca="1" si="58"/>
        <v>74.373995859410172</v>
      </c>
      <c r="M140" s="359">
        <f t="shared" ca="1" si="74"/>
        <v>1.3640045302764519</v>
      </c>
      <c r="N140" s="357">
        <f t="shared" ca="1" si="75"/>
        <v>78.15170282156501</v>
      </c>
      <c r="O140" s="343"/>
      <c r="P140" s="363">
        <f t="shared" ca="1" si="76"/>
        <v>7</v>
      </c>
      <c r="Q140" s="357">
        <f t="shared" ca="1" si="77"/>
        <v>988.95194805194785</v>
      </c>
      <c r="R140" s="359">
        <f t="shared" ca="1" si="78"/>
        <v>0.49539793523940739</v>
      </c>
      <c r="S140" s="360">
        <f t="shared" ca="1" si="79"/>
        <v>10.816348275607444</v>
      </c>
      <c r="T140" s="357">
        <f t="shared" ca="1" si="59"/>
        <v>106.10837658370903</v>
      </c>
      <c r="U140" s="364">
        <f t="shared" ca="1" si="60"/>
        <v>0</v>
      </c>
      <c r="V140" s="359">
        <f t="shared" ca="1" si="61"/>
        <v>1.216095774527747</v>
      </c>
      <c r="W140" s="357">
        <f t="shared" ca="1" si="62"/>
        <v>33.198637768688265</v>
      </c>
      <c r="X140" s="343"/>
      <c r="Y140" s="367" t="str">
        <f t="shared" ca="1" si="80"/>
        <v/>
      </c>
      <c r="Z140" s="368" t="str">
        <f t="shared" ca="1" si="81"/>
        <v/>
      </c>
      <c r="AA140" s="369" t="str">
        <f t="shared" ca="1" si="82"/>
        <v/>
      </c>
      <c r="AB140" s="344"/>
      <c r="AC140" s="363" t="e">
        <f t="shared" ca="1" si="83"/>
        <v>#N/A</v>
      </c>
      <c r="AD140" s="376" t="e">
        <f t="shared" ca="1" si="84"/>
        <v>#N/A</v>
      </c>
      <c r="AE140" s="377">
        <f t="shared" ca="1" si="63"/>
        <v>72.952692517570782</v>
      </c>
      <c r="AF140" s="344"/>
      <c r="AG140" s="359">
        <f t="shared" ca="1" si="85"/>
        <v>78.804123912318431</v>
      </c>
      <c r="AH140" s="357">
        <f t="shared" ca="1" si="86"/>
        <v>88.405487482578607</v>
      </c>
    </row>
    <row r="141" spans="1:34" x14ac:dyDescent="0.25">
      <c r="A141" s="402">
        <f t="shared" ca="1" si="64"/>
        <v>0.01</v>
      </c>
      <c r="B141" s="357">
        <f t="shared" ca="1" si="65"/>
        <v>1.370000000000001</v>
      </c>
      <c r="C141" s="342"/>
      <c r="D141" s="359">
        <f t="shared" ca="1" si="66"/>
        <v>18.126946420070627</v>
      </c>
      <c r="E141" s="360">
        <f t="shared" ca="1" si="67"/>
        <v>76.594879072044876</v>
      </c>
      <c r="F141" s="357">
        <f t="shared" ca="1" si="68"/>
        <v>78.710619909750989</v>
      </c>
      <c r="G141" s="359">
        <f t="shared" ca="1" si="69"/>
        <v>22.729893071502179</v>
      </c>
      <c r="H141" s="360">
        <f t="shared" ca="1" si="70"/>
        <v>108.24743248246453</v>
      </c>
      <c r="I141" s="357">
        <f t="shared" ca="1" si="71"/>
        <v>110.60811307534199</v>
      </c>
      <c r="J141" s="359">
        <f t="shared" ca="1" si="72"/>
        <v>14.696911389999887</v>
      </c>
      <c r="K141" s="360">
        <f t="shared" ca="1" si="73"/>
        <v>74.031337098441824</v>
      </c>
      <c r="L141" s="357">
        <f t="shared" ca="1" si="58"/>
        <v>75.476076189668447</v>
      </c>
      <c r="M141" s="359">
        <f t="shared" ca="1" si="74"/>
        <v>1.3638224278929394</v>
      </c>
      <c r="N141" s="357">
        <f t="shared" ca="1" si="75"/>
        <v>78.141269123550472</v>
      </c>
      <c r="O141" s="343"/>
      <c r="P141" s="363">
        <f t="shared" ca="1" si="76"/>
        <v>7</v>
      </c>
      <c r="Q141" s="357">
        <f t="shared" ca="1" si="77"/>
        <v>987.69220779220768</v>
      </c>
      <c r="R141" s="359">
        <f t="shared" ca="1" si="78"/>
        <v>0.49476689070297414</v>
      </c>
      <c r="S141" s="360">
        <f t="shared" ca="1" si="79"/>
        <v>10.811400606700415</v>
      </c>
      <c r="T141" s="357">
        <f t="shared" ca="1" si="59"/>
        <v>106.05983995173108</v>
      </c>
      <c r="U141" s="364">
        <f t="shared" ca="1" si="60"/>
        <v>0</v>
      </c>
      <c r="V141" s="359">
        <f t="shared" ca="1" si="61"/>
        <v>1.2159646063192111</v>
      </c>
      <c r="W141" s="357">
        <f t="shared" ca="1" si="62"/>
        <v>33.672434655690182</v>
      </c>
      <c r="X141" s="343"/>
      <c r="Y141" s="367" t="str">
        <f t="shared" ca="1" si="80"/>
        <v/>
      </c>
      <c r="Z141" s="368" t="str">
        <f t="shared" ca="1" si="81"/>
        <v/>
      </c>
      <c r="AA141" s="369" t="str">
        <f t="shared" ca="1" si="82"/>
        <v/>
      </c>
      <c r="AB141" s="344"/>
      <c r="AC141" s="363" t="e">
        <f t="shared" ca="1" si="83"/>
        <v>#N/A</v>
      </c>
      <c r="AD141" s="376" t="e">
        <f t="shared" ca="1" si="84"/>
        <v>#N/A</v>
      </c>
      <c r="AE141" s="377">
        <f t="shared" ca="1" si="63"/>
        <v>74.031337098441824</v>
      </c>
      <c r="AF141" s="344"/>
      <c r="AG141" s="359">
        <f t="shared" ca="1" si="85"/>
        <v>78.684844058868705</v>
      </c>
      <c r="AH141" s="357">
        <f t="shared" ca="1" si="86"/>
        <v>88.285838694384111</v>
      </c>
    </row>
    <row r="142" spans="1:34" x14ac:dyDescent="0.25">
      <c r="A142" s="402">
        <f t="shared" ca="1" si="64"/>
        <v>0.01</v>
      </c>
      <c r="B142" s="357">
        <f t="shared" ca="1" si="65"/>
        <v>1.380000000000001</v>
      </c>
      <c r="C142" s="342"/>
      <c r="D142" s="359">
        <f t="shared" ca="1" si="66"/>
        <v>18.118011034824139</v>
      </c>
      <c r="E142" s="360">
        <f t="shared" ca="1" si="67"/>
        <v>76.474091616232997</v>
      </c>
      <c r="F142" s="357">
        <f t="shared" ca="1" si="68"/>
        <v>78.591023739266859</v>
      </c>
      <c r="G142" s="359">
        <f t="shared" ca="1" si="69"/>
        <v>22.911073181850419</v>
      </c>
      <c r="H142" s="360">
        <f t="shared" ca="1" si="70"/>
        <v>109.01217339862686</v>
      </c>
      <c r="I142" s="357">
        <f t="shared" ca="1" si="71"/>
        <v>111.39376653761374</v>
      </c>
      <c r="J142" s="359">
        <f t="shared" ca="1" si="72"/>
        <v>14.92511622126665</v>
      </c>
      <c r="K142" s="360">
        <f t="shared" ca="1" si="73"/>
        <v>75.117635127847279</v>
      </c>
      <c r="L142" s="357">
        <f t="shared" ca="1" si="58"/>
        <v>76.586018315477872</v>
      </c>
      <c r="M142" s="359">
        <f t="shared" ca="1" si="74"/>
        <v>1.363641452915989</v>
      </c>
      <c r="N142" s="357">
        <f t="shared" ca="1" si="75"/>
        <v>78.130900021173744</v>
      </c>
      <c r="O142" s="343"/>
      <c r="P142" s="363">
        <f t="shared" ca="1" si="76"/>
        <v>7</v>
      </c>
      <c r="Q142" s="357">
        <f t="shared" ca="1" si="77"/>
        <v>986.4324675324674</v>
      </c>
      <c r="R142" s="359">
        <f t="shared" ca="1" si="78"/>
        <v>0.49413584616654077</v>
      </c>
      <c r="S142" s="360">
        <f t="shared" ca="1" si="79"/>
        <v>10.806459248238749</v>
      </c>
      <c r="T142" s="357">
        <f t="shared" ca="1" si="59"/>
        <v>106.01136522522214</v>
      </c>
      <c r="U142" s="364">
        <f t="shared" ca="1" si="60"/>
        <v>0</v>
      </c>
      <c r="V142" s="359">
        <f t="shared" ca="1" si="61"/>
        <v>1.2158325216614825</v>
      </c>
      <c r="W142" s="357">
        <f t="shared" ca="1" si="62"/>
        <v>34.148776770882797</v>
      </c>
      <c r="X142" s="343"/>
      <c r="Y142" s="367" t="str">
        <f t="shared" ca="1" si="80"/>
        <v/>
      </c>
      <c r="Z142" s="368" t="str">
        <f t="shared" ca="1" si="81"/>
        <v/>
      </c>
      <c r="AA142" s="369" t="str">
        <f t="shared" ca="1" si="82"/>
        <v/>
      </c>
      <c r="AB142" s="344"/>
      <c r="AC142" s="363" t="e">
        <f t="shared" ca="1" si="83"/>
        <v>#N/A</v>
      </c>
      <c r="AD142" s="376" t="e">
        <f t="shared" ca="1" si="84"/>
        <v>#N/A</v>
      </c>
      <c r="AE142" s="377">
        <f t="shared" ca="1" si="63"/>
        <v>75.117635127847279</v>
      </c>
      <c r="AF142" s="344"/>
      <c r="AG142" s="359">
        <f t="shared" ca="1" si="85"/>
        <v>78.565163809065083</v>
      </c>
      <c r="AH142" s="357">
        <f t="shared" ca="1" si="86"/>
        <v>88.165791494754345</v>
      </c>
    </row>
    <row r="143" spans="1:34" x14ac:dyDescent="0.25">
      <c r="A143" s="402">
        <f t="shared" ca="1" si="64"/>
        <v>0.01</v>
      </c>
      <c r="B143" s="357">
        <f t="shared" ca="1" si="65"/>
        <v>1.390000000000001</v>
      </c>
      <c r="C143" s="342"/>
      <c r="D143" s="359">
        <f t="shared" ca="1" si="66"/>
        <v>18.108853484097637</v>
      </c>
      <c r="E143" s="360">
        <f t="shared" ca="1" si="67"/>
        <v>76.352942276427342</v>
      </c>
      <c r="F143" s="357">
        <f t="shared" ca="1" si="68"/>
        <v>78.471028849989978</v>
      </c>
      <c r="G143" s="359">
        <f t="shared" ca="1" si="69"/>
        <v>23.092161716691397</v>
      </c>
      <c r="H143" s="360">
        <f t="shared" ca="1" si="70"/>
        <v>109.77570282139114</v>
      </c>
      <c r="I143" s="357">
        <f t="shared" ca="1" si="71"/>
        <v>112.17821919909501</v>
      </c>
      <c r="J143" s="359">
        <f t="shared" ca="1" si="72"/>
        <v>15.15513239575936</v>
      </c>
      <c r="K143" s="360">
        <f t="shared" ca="1" si="73"/>
        <v>76.211574508947365</v>
      </c>
      <c r="L143" s="357">
        <f t="shared" ca="1" si="58"/>
        <v>77.703810248055603</v>
      </c>
      <c r="M143" s="359">
        <f t="shared" ca="1" si="74"/>
        <v>1.3634615885993875</v>
      </c>
      <c r="N143" s="357">
        <f t="shared" ca="1" si="75"/>
        <v>78.120594554947459</v>
      </c>
      <c r="O143" s="343"/>
      <c r="P143" s="363">
        <f t="shared" ca="1" si="76"/>
        <v>7</v>
      </c>
      <c r="Q143" s="357">
        <f t="shared" ca="1" si="77"/>
        <v>985.17272727272712</v>
      </c>
      <c r="R143" s="359">
        <f t="shared" ca="1" si="78"/>
        <v>0.49350480163010746</v>
      </c>
      <c r="S143" s="360">
        <f t="shared" ca="1" si="79"/>
        <v>10.801524200222447</v>
      </c>
      <c r="T143" s="357">
        <f t="shared" ca="1" si="59"/>
        <v>105.96295240418222</v>
      </c>
      <c r="U143" s="364">
        <f t="shared" ca="1" si="60"/>
        <v>0</v>
      </c>
      <c r="V143" s="359">
        <f t="shared" ca="1" si="61"/>
        <v>1.2156995223250189</v>
      </c>
      <c r="W143" s="357">
        <f t="shared" ca="1" si="62"/>
        <v>34.627644221040399</v>
      </c>
      <c r="X143" s="343"/>
      <c r="Y143" s="367" t="str">
        <f t="shared" ca="1" si="80"/>
        <v/>
      </c>
      <c r="Z143" s="368" t="str">
        <f t="shared" ca="1" si="81"/>
        <v/>
      </c>
      <c r="AA143" s="369" t="str">
        <f t="shared" ca="1" si="82"/>
        <v/>
      </c>
      <c r="AB143" s="344"/>
      <c r="AC143" s="363" t="e">
        <f t="shared" ca="1" si="83"/>
        <v>#N/A</v>
      </c>
      <c r="AD143" s="376" t="e">
        <f t="shared" ca="1" si="84"/>
        <v>#N/A</v>
      </c>
      <c r="AE143" s="377">
        <f t="shared" ca="1" si="63"/>
        <v>76.211574508947365</v>
      </c>
      <c r="AF143" s="344"/>
      <c r="AG143" s="359">
        <f t="shared" ca="1" si="85"/>
        <v>78.445084693282183</v>
      </c>
      <c r="AH143" s="357">
        <f t="shared" ca="1" si="86"/>
        <v>88.045347385534612</v>
      </c>
    </row>
    <row r="144" spans="1:34" x14ac:dyDescent="0.25">
      <c r="A144" s="402">
        <f t="shared" ca="1" si="64"/>
        <v>0.01</v>
      </c>
      <c r="B144" s="357">
        <f t="shared" ca="1" si="65"/>
        <v>1.400000000000001</v>
      </c>
      <c r="C144" s="342"/>
      <c r="D144" s="359">
        <f t="shared" ca="1" si="66"/>
        <v>18.099475720273148</v>
      </c>
      <c r="E144" s="360">
        <f t="shared" ca="1" si="67"/>
        <v>76.231432251686428</v>
      </c>
      <c r="F144" s="357">
        <f t="shared" ca="1" si="68"/>
        <v>78.350636784216462</v>
      </c>
      <c r="G144" s="359">
        <f t="shared" ca="1" si="69"/>
        <v>23.273156473894129</v>
      </c>
      <c r="H144" s="360">
        <f t="shared" ca="1" si="70"/>
        <v>110.53801714390799</v>
      </c>
      <c r="I144" s="357">
        <f t="shared" ca="1" si="71"/>
        <v>112.96146708663649</v>
      </c>
      <c r="J144" s="359">
        <f t="shared" ca="1" si="72"/>
        <v>15.386958986712287</v>
      </c>
      <c r="K144" s="360">
        <f t="shared" ca="1" si="73"/>
        <v>77.313143108773858</v>
      </c>
      <c r="L144" s="357">
        <f t="shared" ca="1" si="58"/>
        <v>78.829439958790218</v>
      </c>
      <c r="M144" s="359">
        <f t="shared" ca="1" si="74"/>
        <v>1.3632828185605959</v>
      </c>
      <c r="N144" s="357">
        <f t="shared" ca="1" si="75"/>
        <v>78.110351786221315</v>
      </c>
      <c r="O144" s="343"/>
      <c r="P144" s="363">
        <f t="shared" ca="1" si="76"/>
        <v>7</v>
      </c>
      <c r="Q144" s="357">
        <f t="shared" ca="1" si="77"/>
        <v>983.91298701298683</v>
      </c>
      <c r="R144" s="359">
        <f t="shared" ca="1" si="78"/>
        <v>0.49287375709367409</v>
      </c>
      <c r="S144" s="360">
        <f t="shared" ca="1" si="79"/>
        <v>10.79659546265151</v>
      </c>
      <c r="T144" s="357">
        <f t="shared" ca="1" si="59"/>
        <v>105.91460148861131</v>
      </c>
      <c r="U144" s="364">
        <f t="shared" ca="1" si="60"/>
        <v>0</v>
      </c>
      <c r="V144" s="359">
        <f t="shared" ca="1" si="61"/>
        <v>1.2155656100860532</v>
      </c>
      <c r="W144" s="357">
        <f t="shared" ca="1" si="62"/>
        <v>35.109017076199805</v>
      </c>
      <c r="X144" s="343"/>
      <c r="Y144" s="367" t="str">
        <f t="shared" ca="1" si="80"/>
        <v/>
      </c>
      <c r="Z144" s="368" t="str">
        <f t="shared" ca="1" si="81"/>
        <v/>
      </c>
      <c r="AA144" s="369" t="str">
        <f t="shared" ca="1" si="82"/>
        <v/>
      </c>
      <c r="AB144" s="344"/>
      <c r="AC144" s="363" t="e">
        <f t="shared" ca="1" si="83"/>
        <v>#N/A</v>
      </c>
      <c r="AD144" s="376" t="e">
        <f t="shared" ca="1" si="84"/>
        <v>#N/A</v>
      </c>
      <c r="AE144" s="377">
        <f t="shared" ca="1" si="63"/>
        <v>77.313143108773858</v>
      </c>
      <c r="AF144" s="344"/>
      <c r="AG144" s="359">
        <f t="shared" ca="1" si="85"/>
        <v>78.324608248914871</v>
      </c>
      <c r="AH144" s="357">
        <f t="shared" ca="1" si="86"/>
        <v>87.924507876190603</v>
      </c>
    </row>
    <row r="145" spans="1:34" x14ac:dyDescent="0.25">
      <c r="A145" s="402">
        <f t="shared" ca="1" si="64"/>
        <v>0.01</v>
      </c>
      <c r="B145" s="357">
        <f t="shared" ca="1" si="65"/>
        <v>1.410000000000001</v>
      </c>
      <c r="C145" s="342"/>
      <c r="D145" s="359">
        <f t="shared" ca="1" si="66"/>
        <v>18.089879661469755</v>
      </c>
      <c r="E145" s="360">
        <f t="shared" ca="1" si="67"/>
        <v>76.109562754359516</v>
      </c>
      <c r="F145" s="357">
        <f t="shared" ca="1" si="68"/>
        <v>78.2298490911637</v>
      </c>
      <c r="G145" s="359">
        <f t="shared" ca="1" si="69"/>
        <v>23.454055270508828</v>
      </c>
      <c r="H145" s="360">
        <f t="shared" ca="1" si="70"/>
        <v>111.29911277145159</v>
      </c>
      <c r="I145" s="357">
        <f t="shared" ca="1" si="71"/>
        <v>113.74350624252965</v>
      </c>
      <c r="J145" s="359">
        <f t="shared" ca="1" si="72"/>
        <v>15.620595045434301</v>
      </c>
      <c r="K145" s="360">
        <f t="shared" ca="1" si="73"/>
        <v>78.422328758350659</v>
      </c>
      <c r="L145" s="357">
        <f t="shared" ca="1" si="58"/>
        <v>79.962895379396301</v>
      </c>
      <c r="M145" s="359">
        <f t="shared" ca="1" si="74"/>
        <v>1.3631051267701721</v>
      </c>
      <c r="N145" s="357">
        <f t="shared" ca="1" si="75"/>
        <v>78.10017079657591</v>
      </c>
      <c r="O145" s="343"/>
      <c r="P145" s="363">
        <f t="shared" ca="1" si="76"/>
        <v>7</v>
      </c>
      <c r="Q145" s="357">
        <f t="shared" ca="1" si="77"/>
        <v>982.65324675324655</v>
      </c>
      <c r="R145" s="359">
        <f t="shared" ca="1" si="78"/>
        <v>0.49224271255724078</v>
      </c>
      <c r="S145" s="360">
        <f t="shared" ca="1" si="79"/>
        <v>10.791673035525937</v>
      </c>
      <c r="T145" s="357">
        <f t="shared" ca="1" si="59"/>
        <v>105.86631247850944</v>
      </c>
      <c r="U145" s="364">
        <f t="shared" ca="1" si="60"/>
        <v>0</v>
      </c>
      <c r="V145" s="359">
        <f t="shared" ca="1" si="61"/>
        <v>1.2154307867265663</v>
      </c>
      <c r="W145" s="357">
        <f t="shared" ca="1" si="62"/>
        <v>35.592875370502981</v>
      </c>
      <c r="X145" s="343"/>
      <c r="Y145" s="367" t="str">
        <f t="shared" ca="1" si="80"/>
        <v/>
      </c>
      <c r="Z145" s="368" t="str">
        <f t="shared" ca="1" si="81"/>
        <v/>
      </c>
      <c r="AA145" s="369" t="str">
        <f t="shared" ca="1" si="82"/>
        <v/>
      </c>
      <c r="AB145" s="344"/>
      <c r="AC145" s="363" t="e">
        <f t="shared" ca="1" si="83"/>
        <v>#N/A</v>
      </c>
      <c r="AD145" s="376" t="e">
        <f t="shared" ca="1" si="84"/>
        <v>#N/A</v>
      </c>
      <c r="AE145" s="377">
        <f t="shared" ca="1" si="63"/>
        <v>78.422328758350659</v>
      </c>
      <c r="AF145" s="344"/>
      <c r="AG145" s="359">
        <f t="shared" ca="1" si="85"/>
        <v>78.203736020325735</v>
      </c>
      <c r="AH145" s="357">
        <f t="shared" ca="1" si="86"/>
        <v>87.803274483738818</v>
      </c>
    </row>
    <row r="146" spans="1:34" x14ac:dyDescent="0.25">
      <c r="A146" s="402">
        <f t="shared" ca="1" si="64"/>
        <v>0.01</v>
      </c>
      <c r="B146" s="357">
        <f t="shared" ca="1" si="65"/>
        <v>1.420000000000001</v>
      </c>
      <c r="C146" s="342"/>
      <c r="D146" s="359">
        <f t="shared" ca="1" si="66"/>
        <v>18.080067192588487</v>
      </c>
      <c r="E146" s="360">
        <f t="shared" ca="1" si="67"/>
        <v>75.987335009847627</v>
      </c>
      <c r="F146" s="357">
        <f t="shared" ca="1" si="68"/>
        <v>78.108667326919161</v>
      </c>
      <c r="G146" s="359">
        <f t="shared" ca="1" si="69"/>
        <v>23.634855942434712</v>
      </c>
      <c r="H146" s="360">
        <f t="shared" ca="1" si="70"/>
        <v>112.05898612155006</v>
      </c>
      <c r="I146" s="357">
        <f t="shared" ca="1" si="71"/>
        <v>114.524332724576</v>
      </c>
      <c r="J146" s="359">
        <f t="shared" ca="1" si="72"/>
        <v>15.856039601499019</v>
      </c>
      <c r="K146" s="360">
        <f t="shared" ca="1" si="73"/>
        <v>79.539119252815667</v>
      </c>
      <c r="L146" s="357">
        <f t="shared" ca="1" si="58"/>
        <v>81.104164402069614</v>
      </c>
      <c r="M146" s="359">
        <f t="shared" ca="1" si="74"/>
        <v>1.362928497541575</v>
      </c>
      <c r="N146" s="357">
        <f t="shared" ca="1" si="75"/>
        <v>78.090050687238644</v>
      </c>
      <c r="O146" s="343"/>
      <c r="P146" s="363">
        <f t="shared" ca="1" si="76"/>
        <v>7</v>
      </c>
      <c r="Q146" s="357">
        <f t="shared" ca="1" si="77"/>
        <v>981.39350649350638</v>
      </c>
      <c r="R146" s="359">
        <f t="shared" ca="1" si="78"/>
        <v>0.49161166802080747</v>
      </c>
      <c r="S146" s="360">
        <f t="shared" ca="1" si="79"/>
        <v>10.786756918845729</v>
      </c>
      <c r="T146" s="357">
        <f t="shared" ca="1" si="59"/>
        <v>105.8180853738766</v>
      </c>
      <c r="U146" s="364">
        <f t="shared" ca="1" si="60"/>
        <v>0</v>
      </c>
      <c r="V146" s="359">
        <f t="shared" ca="1" si="61"/>
        <v>1.2152950540342558</v>
      </c>
      <c r="W146" s="357">
        <f t="shared" ca="1" si="62"/>
        <v>36.079199103039905</v>
      </c>
      <c r="X146" s="343"/>
      <c r="Y146" s="367" t="str">
        <f t="shared" ca="1" si="80"/>
        <v/>
      </c>
      <c r="Z146" s="368" t="str">
        <f t="shared" ca="1" si="81"/>
        <v/>
      </c>
      <c r="AA146" s="369" t="str">
        <f t="shared" ca="1" si="82"/>
        <v/>
      </c>
      <c r="AB146" s="344"/>
      <c r="AC146" s="363" t="e">
        <f t="shared" ca="1" si="83"/>
        <v>#N/A</v>
      </c>
      <c r="AD146" s="376" t="e">
        <f t="shared" ca="1" si="84"/>
        <v>#N/A</v>
      </c>
      <c r="AE146" s="377">
        <f t="shared" ca="1" si="63"/>
        <v>79.539119252815667</v>
      </c>
      <c r="AF146" s="344"/>
      <c r="AG146" s="359">
        <f t="shared" ca="1" si="85"/>
        <v>78.082469558791985</v>
      </c>
      <c r="AH146" s="357">
        <f t="shared" ca="1" si="86"/>
        <v>87.681648732676905</v>
      </c>
    </row>
    <row r="147" spans="1:34" x14ac:dyDescent="0.25">
      <c r="A147" s="402">
        <f t="shared" ca="1" si="64"/>
        <v>0.01</v>
      </c>
      <c r="B147" s="357">
        <f t="shared" ca="1" si="65"/>
        <v>1.430000000000001</v>
      </c>
      <c r="C147" s="342"/>
      <c r="D147" s="359">
        <f t="shared" ca="1" si="66"/>
        <v>18.07004016631889</v>
      </c>
      <c r="E147" s="360">
        <f t="shared" ca="1" si="67"/>
        <v>75.864750256370158</v>
      </c>
      <c r="F147" s="357">
        <f t="shared" ca="1" si="68"/>
        <v>77.987093054388126</v>
      </c>
      <c r="G147" s="359">
        <f t="shared" ca="1" si="69"/>
        <v>23.815556344097899</v>
      </c>
      <c r="H147" s="360">
        <f t="shared" ca="1" si="70"/>
        <v>112.81763362411377</v>
      </c>
      <c r="I147" s="357">
        <f t="shared" ca="1" si="71"/>
        <v>115.30394260615577</v>
      </c>
      <c r="J147" s="359">
        <f t="shared" ca="1" si="72"/>
        <v>16.09329166293168</v>
      </c>
      <c r="K147" s="360">
        <f t="shared" ca="1" si="73"/>
        <v>80.663502351543983</v>
      </c>
      <c r="L147" s="357">
        <f t="shared" ca="1" si="58"/>
        <v>82.253234879643045</v>
      </c>
      <c r="M147" s="359">
        <f t="shared" ca="1" si="74"/>
        <v>1.362752915521338</v>
      </c>
      <c r="N147" s="357">
        <f t="shared" ca="1" si="75"/>
        <v>78.079990578520679</v>
      </c>
      <c r="O147" s="343"/>
      <c r="P147" s="363">
        <f t="shared" ca="1" si="76"/>
        <v>7</v>
      </c>
      <c r="Q147" s="357">
        <f t="shared" ca="1" si="77"/>
        <v>980.1337662337661</v>
      </c>
      <c r="R147" s="359">
        <f t="shared" ca="1" si="78"/>
        <v>0.4909806234843741</v>
      </c>
      <c r="S147" s="360">
        <f t="shared" ca="1" si="79"/>
        <v>10.781847112610885</v>
      </c>
      <c r="T147" s="357">
        <f t="shared" ca="1" si="59"/>
        <v>105.76992017471279</v>
      </c>
      <c r="U147" s="364">
        <f t="shared" ca="1" si="60"/>
        <v>0</v>
      </c>
      <c r="V147" s="359">
        <f t="shared" ca="1" si="61"/>
        <v>1.2151584138025051</v>
      </c>
      <c r="W147" s="357">
        <f t="shared" ca="1" si="62"/>
        <v>36.567968238691677</v>
      </c>
      <c r="X147" s="343"/>
      <c r="Y147" s="367" t="str">
        <f t="shared" ca="1" si="80"/>
        <v/>
      </c>
      <c r="Z147" s="368" t="str">
        <f t="shared" ca="1" si="81"/>
        <v/>
      </c>
      <c r="AA147" s="369" t="str">
        <f t="shared" ca="1" si="82"/>
        <v/>
      </c>
      <c r="AB147" s="344"/>
      <c r="AC147" s="363" t="e">
        <f t="shared" ca="1" si="83"/>
        <v>#N/A</v>
      </c>
      <c r="AD147" s="376" t="e">
        <f t="shared" ca="1" si="84"/>
        <v>#N/A</v>
      </c>
      <c r="AE147" s="377">
        <f t="shared" ca="1" si="63"/>
        <v>80.663502351543983</v>
      </c>
      <c r="AF147" s="344"/>
      <c r="AG147" s="359">
        <f t="shared" ca="1" si="85"/>
        <v>77.96081042245126</v>
      </c>
      <c r="AH147" s="357">
        <f t="shared" ca="1" si="86"/>
        <v>87.559632154913587</v>
      </c>
    </row>
    <row r="148" spans="1:34" x14ac:dyDescent="0.25">
      <c r="A148" s="402">
        <f t="shared" ca="1" si="64"/>
        <v>0.01</v>
      </c>
      <c r="B148" s="357">
        <f t="shared" ca="1" si="65"/>
        <v>1.4400000000000011</v>
      </c>
      <c r="C148" s="342"/>
      <c r="D148" s="359">
        <f t="shared" ca="1" si="66"/>
        <v>18.059800404108458</v>
      </c>
      <c r="E148" s="360">
        <f t="shared" ca="1" si="67"/>
        <v>75.741809744737083</v>
      </c>
      <c r="F148" s="357">
        <f t="shared" ca="1" si="68"/>
        <v>77.865127843240487</v>
      </c>
      <c r="G148" s="359">
        <f t="shared" ca="1" si="69"/>
        <v>23.996154348138983</v>
      </c>
      <c r="H148" s="360">
        <f t="shared" ca="1" si="70"/>
        <v>113.57505172156114</v>
      </c>
      <c r="I148" s="357">
        <f t="shared" ca="1" si="71"/>
        <v>116.08233197629602</v>
      </c>
      <c r="J148" s="359">
        <f t="shared" ca="1" si="72"/>
        <v>16.332350216392864</v>
      </c>
      <c r="K148" s="360">
        <f t="shared" ca="1" si="73"/>
        <v>81.795465778272359</v>
      </c>
      <c r="L148" s="357">
        <f t="shared" ca="1" si="58"/>
        <v>83.410094625743184</v>
      </c>
      <c r="M148" s="359">
        <f t="shared" ca="1" si="74"/>
        <v>1.3625783656795927</v>
      </c>
      <c r="N148" s="357">
        <f t="shared" ca="1" si="75"/>
        <v>78.069989609274003</v>
      </c>
      <c r="O148" s="343"/>
      <c r="P148" s="363">
        <f t="shared" ca="1" si="76"/>
        <v>7</v>
      </c>
      <c r="Q148" s="357">
        <f t="shared" ca="1" si="77"/>
        <v>978.87402597402581</v>
      </c>
      <c r="R148" s="359">
        <f t="shared" ca="1" si="78"/>
        <v>0.49034957894794079</v>
      </c>
      <c r="S148" s="360">
        <f t="shared" ca="1" si="79"/>
        <v>10.776943616821406</v>
      </c>
      <c r="T148" s="357">
        <f t="shared" ca="1" si="59"/>
        <v>105.721816881018</v>
      </c>
      <c r="U148" s="364">
        <f t="shared" ca="1" si="60"/>
        <v>0</v>
      </c>
      <c r="V148" s="359">
        <f t="shared" ca="1" si="61"/>
        <v>1.2150208678303556</v>
      </c>
      <c r="W148" s="357">
        <f t="shared" ca="1" si="62"/>
        <v>37.059162708973936</v>
      </c>
      <c r="X148" s="343"/>
      <c r="Y148" s="367" t="str">
        <f t="shared" ca="1" si="80"/>
        <v/>
      </c>
      <c r="Z148" s="368" t="str">
        <f t="shared" ca="1" si="81"/>
        <v/>
      </c>
      <c r="AA148" s="369" t="str">
        <f t="shared" ca="1" si="82"/>
        <v/>
      </c>
      <c r="AB148" s="344"/>
      <c r="AC148" s="363" t="e">
        <f t="shared" ca="1" si="83"/>
        <v>#N/A</v>
      </c>
      <c r="AD148" s="376" t="e">
        <f t="shared" ca="1" si="84"/>
        <v>#N/A</v>
      </c>
      <c r="AE148" s="377">
        <f t="shared" ca="1" si="63"/>
        <v>81.795465778272359</v>
      </c>
      <c r="AF148" s="344"/>
      <c r="AG148" s="359">
        <f t="shared" ca="1" si="85"/>
        <v>77.838760176246808</v>
      </c>
      <c r="AH148" s="357">
        <f t="shared" ca="1" si="86"/>
        <v>87.437226289698415</v>
      </c>
    </row>
    <row r="149" spans="1:34" x14ac:dyDescent="0.25">
      <c r="A149" s="402">
        <f t="shared" ca="1" si="64"/>
        <v>0.01</v>
      </c>
      <c r="B149" s="357">
        <f t="shared" ca="1" si="65"/>
        <v>1.4500000000000011</v>
      </c>
      <c r="C149" s="342"/>
      <c r="D149" s="359">
        <f t="shared" ca="1" si="66"/>
        <v>18.04934969709711</v>
      </c>
      <c r="E149" s="360">
        <f t="shared" ca="1" si="67"/>
        <v>75.618514738126464</v>
      </c>
      <c r="F149" s="357">
        <f t="shared" ca="1" si="68"/>
        <v>77.742773269856727</v>
      </c>
      <c r="G149" s="359">
        <f t="shared" ca="1" si="69"/>
        <v>24.176647845109954</v>
      </c>
      <c r="H149" s="360">
        <f t="shared" ca="1" si="70"/>
        <v>114.3312368689424</v>
      </c>
      <c r="I149" s="357">
        <f t="shared" ca="1" si="71"/>
        <v>116.85949693973816</v>
      </c>
      <c r="J149" s="359">
        <f t="shared" ca="1" si="72"/>
        <v>16.573214227359109</v>
      </c>
      <c r="K149" s="360">
        <f t="shared" ca="1" si="73"/>
        <v>82.934997221224876</v>
      </c>
      <c r="L149" s="357">
        <f t="shared" ca="1" si="58"/>
        <v>84.57473141494755</v>
      </c>
      <c r="M149" s="359">
        <f t="shared" ca="1" si="74"/>
        <v>1.3624048333009284</v>
      </c>
      <c r="N149" s="357">
        <f t="shared" ca="1" si="75"/>
        <v>78.060046936367669</v>
      </c>
      <c r="O149" s="343"/>
      <c r="P149" s="363">
        <f t="shared" ca="1" si="76"/>
        <v>7</v>
      </c>
      <c r="Q149" s="357">
        <f t="shared" ca="1" si="77"/>
        <v>977.61428571428553</v>
      </c>
      <c r="R149" s="359">
        <f t="shared" ca="1" si="78"/>
        <v>0.48971853441150742</v>
      </c>
      <c r="S149" s="360">
        <f t="shared" ca="1" si="79"/>
        <v>10.772046431477291</v>
      </c>
      <c r="T149" s="357">
        <f t="shared" ca="1" si="59"/>
        <v>105.67377549279223</v>
      </c>
      <c r="U149" s="364">
        <f t="shared" ca="1" si="60"/>
        <v>0</v>
      </c>
      <c r="V149" s="359">
        <f t="shared" ca="1" si="61"/>
        <v>1.2148824179224742</v>
      </c>
      <c r="W149" s="357">
        <f t="shared" ca="1" si="62"/>
        <v>37.552762412880433</v>
      </c>
      <c r="X149" s="343"/>
      <c r="Y149" s="367" t="str">
        <f t="shared" ca="1" si="80"/>
        <v/>
      </c>
      <c r="Z149" s="368" t="str">
        <f t="shared" ca="1" si="81"/>
        <v/>
      </c>
      <c r="AA149" s="369" t="str">
        <f t="shared" ca="1" si="82"/>
        <v/>
      </c>
      <c r="AB149" s="344"/>
      <c r="AC149" s="363" t="e">
        <f t="shared" ca="1" si="83"/>
        <v>#N/A</v>
      </c>
      <c r="AD149" s="376" t="e">
        <f t="shared" ca="1" si="84"/>
        <v>#N/A</v>
      </c>
      <c r="AE149" s="377">
        <f t="shared" ca="1" si="63"/>
        <v>82.934997221224876</v>
      </c>
      <c r="AF149" s="344"/>
      <c r="AG149" s="359">
        <f t="shared" ca="1" si="85"/>
        <v>77.716320391871605</v>
      </c>
      <c r="AH149" s="357">
        <f t="shared" ca="1" si="86"/>
        <v>87.314432683551175</v>
      </c>
    </row>
    <row r="150" spans="1:34" x14ac:dyDescent="0.25">
      <c r="A150" s="402">
        <f t="shared" ca="1" si="64"/>
        <v>0.01</v>
      </c>
      <c r="B150" s="357">
        <f t="shared" ca="1" si="65"/>
        <v>1.4600000000000011</v>
      </c>
      <c r="C150" s="342"/>
      <c r="D150" s="359">
        <f t="shared" ca="1" si="66"/>
        <v>18.038689807017725</v>
      </c>
      <c r="E150" s="360">
        <f t="shared" ca="1" si="67"/>
        <v>75.494866511866931</v>
      </c>
      <c r="F150" s="357">
        <f t="shared" ca="1" si="68"/>
        <v>77.62003091727297</v>
      </c>
      <c r="G150" s="359">
        <f t="shared" ca="1" si="69"/>
        <v>24.357034743180133</v>
      </c>
      <c r="H150" s="360">
        <f t="shared" ca="1" si="70"/>
        <v>115.08618553406107</v>
      </c>
      <c r="I150" s="357">
        <f t="shared" ca="1" si="71"/>
        <v>117.63543361700509</v>
      </c>
      <c r="J150" s="359">
        <f t="shared" ca="1" si="72"/>
        <v>16.815882640300561</v>
      </c>
      <c r="K150" s="360">
        <f t="shared" ca="1" si="73"/>
        <v>84.082084333239891</v>
      </c>
      <c r="L150" s="357">
        <f t="shared" ca="1" si="58"/>
        <v>85.747132982942503</v>
      </c>
      <c r="M150" s="359">
        <f t="shared" ca="1" si="74"/>
        <v>1.3622323039755759</v>
      </c>
      <c r="N150" s="357">
        <f t="shared" ca="1" si="75"/>
        <v>78.050161734182737</v>
      </c>
      <c r="O150" s="343"/>
      <c r="P150" s="363">
        <f t="shared" ca="1" si="76"/>
        <v>7</v>
      </c>
      <c r="Q150" s="357">
        <f t="shared" ca="1" si="77"/>
        <v>976.35454545454525</v>
      </c>
      <c r="R150" s="359">
        <f t="shared" ca="1" si="78"/>
        <v>0.48908748987507411</v>
      </c>
      <c r="S150" s="360">
        <f t="shared" ca="1" si="79"/>
        <v>10.76715555657854</v>
      </c>
      <c r="T150" s="357">
        <f t="shared" ca="1" si="59"/>
        <v>105.62579601003549</v>
      </c>
      <c r="U150" s="364">
        <f t="shared" ca="1" si="60"/>
        <v>0</v>
      </c>
      <c r="V150" s="359">
        <f t="shared" ca="1" si="61"/>
        <v>1.2147430658891236</v>
      </c>
      <c r="W150" s="357">
        <f t="shared" ca="1" si="62"/>
        <v>38.048747217726721</v>
      </c>
      <c r="X150" s="343"/>
      <c r="Y150" s="367" t="str">
        <f t="shared" ca="1" si="80"/>
        <v/>
      </c>
      <c r="Z150" s="368" t="str">
        <f t="shared" ca="1" si="81"/>
        <v/>
      </c>
      <c r="AA150" s="369" t="str">
        <f t="shared" ca="1" si="82"/>
        <v/>
      </c>
      <c r="AB150" s="344"/>
      <c r="AC150" s="363" t="e">
        <f t="shared" ca="1" si="83"/>
        <v>#N/A</v>
      </c>
      <c r="AD150" s="376" t="e">
        <f t="shared" ca="1" si="84"/>
        <v>#N/A</v>
      </c>
      <c r="AE150" s="377">
        <f t="shared" ca="1" si="63"/>
        <v>84.082084333239891</v>
      </c>
      <c r="AF150" s="344"/>
      <c r="AG150" s="359">
        <f t="shared" ca="1" si="85"/>
        <v>77.593492647711926</v>
      </c>
      <c r="AH150" s="357">
        <f t="shared" ca="1" si="86"/>
        <v>87.191252890191009</v>
      </c>
    </row>
    <row r="151" spans="1:34" x14ac:dyDescent="0.25">
      <c r="A151" s="402">
        <f t="shared" ca="1" si="64"/>
        <v>0.01</v>
      </c>
      <c r="B151" s="357">
        <f t="shared" ca="1" si="65"/>
        <v>1.4700000000000011</v>
      </c>
      <c r="C151" s="342"/>
      <c r="D151" s="359">
        <f t="shared" ca="1" si="66"/>
        <v>18.027822467064389</v>
      </c>
      <c r="E151" s="360">
        <f t="shared" ca="1" si="67"/>
        <v>75.370866353225125</v>
      </c>
      <c r="F151" s="357">
        <f t="shared" ca="1" si="68"/>
        <v>77.496902375125387</v>
      </c>
      <c r="G151" s="359">
        <f t="shared" ca="1" si="69"/>
        <v>24.537312967850777</v>
      </c>
      <c r="H151" s="360">
        <f t="shared" ca="1" si="70"/>
        <v>115.83989419759332</v>
      </c>
      <c r="I151" s="357">
        <f t="shared" ca="1" si="71"/>
        <v>118.41013814446748</v>
      </c>
      <c r="J151" s="359">
        <f t="shared" ca="1" si="72"/>
        <v>17.060354378855717</v>
      </c>
      <c r="K151" s="360">
        <f t="shared" ca="1" si="73"/>
        <v>85.236714731898161</v>
      </c>
      <c r="L151" s="357">
        <f t="shared" ca="1" si="58"/>
        <v>86.927287026681824</v>
      </c>
      <c r="M151" s="359">
        <f t="shared" ca="1" si="74"/>
        <v>1.3620607635908961</v>
      </c>
      <c r="N151" s="357">
        <f t="shared" ca="1" si="75"/>
        <v>78.040333194124528</v>
      </c>
      <c r="O151" s="343"/>
      <c r="P151" s="363">
        <f t="shared" ca="1" si="76"/>
        <v>7</v>
      </c>
      <c r="Q151" s="357">
        <f t="shared" ca="1" si="77"/>
        <v>975.09480519480508</v>
      </c>
      <c r="R151" s="359">
        <f t="shared" ca="1" si="78"/>
        <v>0.4884564453386408</v>
      </c>
      <c r="S151" s="360">
        <f t="shared" ca="1" si="79"/>
        <v>10.762270992125154</v>
      </c>
      <c r="T151" s="357">
        <f t="shared" ca="1" si="59"/>
        <v>105.57787843274777</v>
      </c>
      <c r="U151" s="364">
        <f t="shared" ca="1" si="60"/>
        <v>0</v>
      </c>
      <c r="V151" s="359">
        <f t="shared" ca="1" si="61"/>
        <v>1.2146028135461318</v>
      </c>
      <c r="W151" s="357">
        <f t="shared" ca="1" si="62"/>
        <v>38.547096959993866</v>
      </c>
      <c r="X151" s="343"/>
      <c r="Y151" s="367" t="str">
        <f t="shared" ca="1" si="80"/>
        <v/>
      </c>
      <c r="Z151" s="368" t="str">
        <f t="shared" ca="1" si="81"/>
        <v/>
      </c>
      <c r="AA151" s="369" t="str">
        <f t="shared" ca="1" si="82"/>
        <v/>
      </c>
      <c r="AB151" s="344"/>
      <c r="AC151" s="363" t="e">
        <f t="shared" ca="1" si="83"/>
        <v>#N/A</v>
      </c>
      <c r="AD151" s="376" t="e">
        <f t="shared" ca="1" si="84"/>
        <v>#N/A</v>
      </c>
      <c r="AE151" s="377">
        <f t="shared" ca="1" si="63"/>
        <v>85.236714731898161</v>
      </c>
      <c r="AF151" s="344"/>
      <c r="AG151" s="359">
        <f t="shared" ca="1" si="85"/>
        <v>77.470278528789905</v>
      </c>
      <c r="AH151" s="357">
        <f t="shared" ca="1" si="86"/>
        <v>87.067688470465285</v>
      </c>
    </row>
    <row r="152" spans="1:34" x14ac:dyDescent="0.25">
      <c r="A152" s="402">
        <f t="shared" ca="1" si="64"/>
        <v>0.01</v>
      </c>
      <c r="B152" s="357">
        <f t="shared" ca="1" si="65"/>
        <v>1.4800000000000011</v>
      </c>
      <c r="C152" s="342"/>
      <c r="D152" s="359">
        <f t="shared" ca="1" si="66"/>
        <v>18.016749382729824</v>
      </c>
      <c r="E152" s="360">
        <f t="shared" ca="1" si="67"/>
        <v>75.246515561197711</v>
      </c>
      <c r="F152" s="357">
        <f t="shared" ca="1" si="68"/>
        <v>77.373389239593635</v>
      </c>
      <c r="G152" s="359">
        <f t="shared" ca="1" si="69"/>
        <v>24.717480461678075</v>
      </c>
      <c r="H152" s="360">
        <f t="shared" ca="1" si="70"/>
        <v>116.5923593532053</v>
      </c>
      <c r="I152" s="357">
        <f t="shared" ca="1" si="71"/>
        <v>119.18360667440969</v>
      </c>
      <c r="J152" s="359">
        <f t="shared" ca="1" si="72"/>
        <v>17.306628346003361</v>
      </c>
      <c r="K152" s="360">
        <f t="shared" ca="1" si="73"/>
        <v>86.398875999652148</v>
      </c>
      <c r="L152" s="357">
        <f t="shared" ca="1" si="58"/>
        <v>88.115181204545877</v>
      </c>
      <c r="M152" s="359">
        <f t="shared" ca="1" si="74"/>
        <v>1.3618901983231677</v>
      </c>
      <c r="N152" s="357">
        <f t="shared" ca="1" si="75"/>
        <v>78.030560524152179</v>
      </c>
      <c r="O152" s="343"/>
      <c r="P152" s="363">
        <f t="shared" ca="1" si="76"/>
        <v>7</v>
      </c>
      <c r="Q152" s="357">
        <f t="shared" ca="1" si="77"/>
        <v>973.83506493506479</v>
      </c>
      <c r="R152" s="359">
        <f t="shared" ca="1" si="78"/>
        <v>0.48782540080220749</v>
      </c>
      <c r="S152" s="360">
        <f t="shared" ca="1" si="79"/>
        <v>10.757392738117133</v>
      </c>
      <c r="T152" s="357">
        <f t="shared" ca="1" si="59"/>
        <v>105.53002276092909</v>
      </c>
      <c r="U152" s="364">
        <f t="shared" ca="1" si="60"/>
        <v>0</v>
      </c>
      <c r="V152" s="359">
        <f t="shared" ca="1" si="61"/>
        <v>1.2144616627148594</v>
      </c>
      <c r="W152" s="357">
        <f t="shared" ca="1" si="62"/>
        <v>39.047791446172148</v>
      </c>
      <c r="X152" s="343"/>
      <c r="Y152" s="367" t="str">
        <f t="shared" ca="1" si="80"/>
        <v/>
      </c>
      <c r="Z152" s="368" t="str">
        <f t="shared" ca="1" si="81"/>
        <v/>
      </c>
      <c r="AA152" s="369" t="str">
        <f t="shared" ca="1" si="82"/>
        <v/>
      </c>
      <c r="AB152" s="344"/>
      <c r="AC152" s="363" t="e">
        <f t="shared" ca="1" si="83"/>
        <v>#N/A</v>
      </c>
      <c r="AD152" s="376" t="e">
        <f t="shared" ca="1" si="84"/>
        <v>#N/A</v>
      </c>
      <c r="AE152" s="377">
        <f t="shared" ca="1" si="63"/>
        <v>86.398875999652148</v>
      </c>
      <c r="AF152" s="344"/>
      <c r="AG152" s="359">
        <f t="shared" ca="1" si="85"/>
        <v>77.346679626705594</v>
      </c>
      <c r="AH152" s="357">
        <f t="shared" ca="1" si="86"/>
        <v>86.943740992278251</v>
      </c>
    </row>
    <row r="153" spans="1:34" x14ac:dyDescent="0.25">
      <c r="A153" s="402">
        <f t="shared" ca="1" si="64"/>
        <v>0.01</v>
      </c>
      <c r="B153" s="357">
        <f t="shared" ca="1" si="65"/>
        <v>1.4900000000000011</v>
      </c>
      <c r="C153" s="342"/>
      <c r="D153" s="359">
        <f t="shared" ca="1" si="66"/>
        <v>18.005472232612902</v>
      </c>
      <c r="E153" s="360">
        <f t="shared" ca="1" si="67"/>
        <v>75.121815446307821</v>
      </c>
      <c r="F153" s="357">
        <f t="shared" ca="1" si="68"/>
        <v>77.249493113343632</v>
      </c>
      <c r="G153" s="359">
        <f t="shared" ca="1" si="69"/>
        <v>24.897535184004205</v>
      </c>
      <c r="H153" s="360">
        <f t="shared" ca="1" si="70"/>
        <v>117.34357750766837</v>
      </c>
      <c r="I153" s="357">
        <f t="shared" ca="1" si="71"/>
        <v>119.95583537509503</v>
      </c>
      <c r="J153" s="359">
        <f t="shared" ca="1" si="72"/>
        <v>17.554703424231771</v>
      </c>
      <c r="K153" s="360">
        <f t="shared" ca="1" si="73"/>
        <v>87.568555683956518</v>
      </c>
      <c r="L153" s="357">
        <f t="shared" ca="1" si="58"/>
        <v>89.310803136501505</v>
      </c>
      <c r="M153" s="359">
        <f t="shared" ca="1" si="74"/>
        <v>1.3617205946296567</v>
      </c>
      <c r="N153" s="357">
        <f t="shared" ca="1" si="75"/>
        <v>78.020842948324159</v>
      </c>
      <c r="O153" s="343"/>
      <c r="P153" s="363">
        <f t="shared" ca="1" si="76"/>
        <v>7</v>
      </c>
      <c r="Q153" s="357">
        <f t="shared" ca="1" si="77"/>
        <v>972.57532467532451</v>
      </c>
      <c r="R153" s="359">
        <f t="shared" ca="1" si="78"/>
        <v>0.48719435626577412</v>
      </c>
      <c r="S153" s="360">
        <f t="shared" ca="1" si="79"/>
        <v>10.752520794554476</v>
      </c>
      <c r="T153" s="357">
        <f t="shared" ca="1" si="59"/>
        <v>105.48222899457942</v>
      </c>
      <c r="U153" s="364">
        <f t="shared" ca="1" si="60"/>
        <v>0</v>
      </c>
      <c r="V153" s="359">
        <f t="shared" ca="1" si="61"/>
        <v>1.2143196152221727</v>
      </c>
      <c r="W153" s="357">
        <f t="shared" ca="1" si="62"/>
        <v>39.550810453604861</v>
      </c>
      <c r="X153" s="343"/>
      <c r="Y153" s="367" t="str">
        <f t="shared" ca="1" si="80"/>
        <v/>
      </c>
      <c r="Z153" s="368" t="str">
        <f t="shared" ca="1" si="81"/>
        <v/>
      </c>
      <c r="AA153" s="369" t="str">
        <f t="shared" ca="1" si="82"/>
        <v/>
      </c>
      <c r="AB153" s="344"/>
      <c r="AC153" s="363" t="e">
        <f t="shared" ca="1" si="83"/>
        <v>#N/A</v>
      </c>
      <c r="AD153" s="376" t="e">
        <f t="shared" ca="1" si="84"/>
        <v>#N/A</v>
      </c>
      <c r="AE153" s="377">
        <f t="shared" ca="1" si="63"/>
        <v>87.568555683956518</v>
      </c>
      <c r="AF153" s="344"/>
      <c r="AG153" s="359">
        <f t="shared" ca="1" si="85"/>
        <v>77.222697539578149</v>
      </c>
      <c r="AH153" s="357">
        <f t="shared" ca="1" si="86"/>
        <v>86.819412030519345</v>
      </c>
    </row>
    <row r="154" spans="1:34" x14ac:dyDescent="0.25">
      <c r="A154" s="402">
        <f t="shared" ca="1" si="64"/>
        <v>0.01</v>
      </c>
      <c r="B154" s="357">
        <f t="shared" ca="1" si="65"/>
        <v>1.5000000000000011</v>
      </c>
      <c r="C154" s="342"/>
      <c r="D154" s="359">
        <f t="shared" ca="1" si="66"/>
        <v>17.993992669197883</v>
      </c>
      <c r="E154" s="360">
        <f t="shared" ca="1" si="67"/>
        <v>74.996767330405888</v>
      </c>
      <c r="F154" s="357">
        <f t="shared" ca="1" si="68"/>
        <v>77.125215605469677</v>
      </c>
      <c r="G154" s="359">
        <f t="shared" ca="1" si="69"/>
        <v>25.077475110696184</v>
      </c>
      <c r="H154" s="360">
        <f t="shared" ca="1" si="70"/>
        <v>118.09354518097243</v>
      </c>
      <c r="I154" s="357">
        <f t="shared" ca="1" si="71"/>
        <v>120.72682043083037</v>
      </c>
      <c r="J154" s="359">
        <f t="shared" ca="1" si="72"/>
        <v>17.804578475705274</v>
      </c>
      <c r="K154" s="360">
        <f t="shared" ca="1" si="73"/>
        <v>88.745741297399718</v>
      </c>
      <c r="L154" s="357">
        <f t="shared" ca="1" si="58"/>
        <v>90.514140404262491</v>
      </c>
      <c r="M154" s="359">
        <f t="shared" ca="1" si="74"/>
        <v>1.3615519392409559</v>
      </c>
      <c r="N154" s="357">
        <f t="shared" ca="1" si="75"/>
        <v>78.011179706359471</v>
      </c>
      <c r="O154" s="343"/>
      <c r="P154" s="363">
        <f t="shared" ca="1" si="76"/>
        <v>7</v>
      </c>
      <c r="Q154" s="357">
        <f t="shared" ca="1" si="77"/>
        <v>971.31558441558423</v>
      </c>
      <c r="R154" s="359">
        <f t="shared" ca="1" si="78"/>
        <v>0.48656331172934081</v>
      </c>
      <c r="S154" s="360">
        <f t="shared" ca="1" si="79"/>
        <v>10.747655161437182</v>
      </c>
      <c r="T154" s="357">
        <f t="shared" ca="1" si="59"/>
        <v>105.43449713369876</v>
      </c>
      <c r="U154" s="364">
        <f t="shared" ca="1" si="60"/>
        <v>0</v>
      </c>
      <c r="V154" s="359">
        <f t="shared" ca="1" si="61"/>
        <v>1.2141766729004064</v>
      </c>
      <c r="W154" s="357">
        <f t="shared" ca="1" si="62"/>
        <v>40.056133731331578</v>
      </c>
      <c r="X154" s="343"/>
      <c r="Y154" s="367" t="str">
        <f t="shared" ca="1" si="80"/>
        <v/>
      </c>
      <c r="Z154" s="368" t="str">
        <f t="shared" ca="1" si="81"/>
        <v/>
      </c>
      <c r="AA154" s="369" t="str">
        <f t="shared" ca="1" si="82"/>
        <v/>
      </c>
      <c r="AB154" s="344"/>
      <c r="AC154" s="363" t="e">
        <f t="shared" ca="1" si="83"/>
        <v>#N/A</v>
      </c>
      <c r="AD154" s="376" t="e">
        <f t="shared" ca="1" si="84"/>
        <v>#N/A</v>
      </c>
      <c r="AE154" s="377">
        <f t="shared" ca="1" si="63"/>
        <v>88.745741297399718</v>
      </c>
      <c r="AF154" s="344"/>
      <c r="AG154" s="359">
        <f t="shared" ca="1" si="85"/>
        <v>77.098333871986469</v>
      </c>
      <c r="AH154" s="357">
        <f t="shared" ca="1" si="86"/>
        <v>86.694703166991388</v>
      </c>
    </row>
    <row r="155" spans="1:34" x14ac:dyDescent="0.25">
      <c r="A155" s="402">
        <f t="shared" ca="1" si="64"/>
        <v>0.01</v>
      </c>
      <c r="B155" s="357">
        <f t="shared" ca="1" si="65"/>
        <v>1.5100000000000011</v>
      </c>
      <c r="C155" s="342"/>
      <c r="D155" s="359">
        <f t="shared" ca="1" si="66"/>
        <v>17.982312319606443</v>
      </c>
      <c r="E155" s="360">
        <f t="shared" ca="1" si="67"/>
        <v>74.871372546474291</v>
      </c>
      <c r="F155" s="357">
        <f t="shared" ca="1" si="68"/>
        <v>77.000558331435585</v>
      </c>
      <c r="G155" s="359">
        <f t="shared" ca="1" si="69"/>
        <v>25.25729823389225</v>
      </c>
      <c r="H155" s="360">
        <f t="shared" ca="1" si="70"/>
        <v>118.84225890643717</v>
      </c>
      <c r="I155" s="357">
        <f t="shared" ca="1" si="71"/>
        <v>121.49655804203023</v>
      </c>
      <c r="J155" s="359">
        <f t="shared" ca="1" si="72"/>
        <v>18.056252342428216</v>
      </c>
      <c r="K155" s="360">
        <f t="shared" ca="1" si="73"/>
        <v>89.930420317836763</v>
      </c>
      <c r="L155" s="357">
        <f t="shared" ca="1" si="58"/>
        <v>91.72518055145072</v>
      </c>
      <c r="M155" s="359">
        <f t="shared" ca="1" si="74"/>
        <v>1.3613842191535885</v>
      </c>
      <c r="N155" s="357">
        <f t="shared" ca="1" si="75"/>
        <v>78.001570053213754</v>
      </c>
      <c r="O155" s="343"/>
      <c r="P155" s="363">
        <f t="shared" ca="1" si="76"/>
        <v>7</v>
      </c>
      <c r="Q155" s="357">
        <f t="shared" ca="1" si="77"/>
        <v>970.05584415584394</v>
      </c>
      <c r="R155" s="359">
        <f t="shared" ca="1" si="78"/>
        <v>0.48593226719290744</v>
      </c>
      <c r="S155" s="360">
        <f t="shared" ca="1" si="79"/>
        <v>10.742795838765252</v>
      </c>
      <c r="T155" s="357">
        <f t="shared" ca="1" si="59"/>
        <v>105.38682717828713</v>
      </c>
      <c r="U155" s="364">
        <f t="shared" ca="1" si="60"/>
        <v>0</v>
      </c>
      <c r="V155" s="359">
        <f t="shared" ca="1" si="61"/>
        <v>1.2140328375873384</v>
      </c>
      <c r="W155" s="357">
        <f t="shared" ca="1" si="62"/>
        <v>40.563741000931778</v>
      </c>
      <c r="X155" s="343"/>
      <c r="Y155" s="367" t="str">
        <f t="shared" ca="1" si="80"/>
        <v/>
      </c>
      <c r="Z155" s="368" t="str">
        <f t="shared" ca="1" si="81"/>
        <v/>
      </c>
      <c r="AA155" s="369" t="str">
        <f t="shared" ca="1" si="82"/>
        <v/>
      </c>
      <c r="AB155" s="344"/>
      <c r="AC155" s="363" t="e">
        <f t="shared" ca="1" si="83"/>
        <v>#N/A</v>
      </c>
      <c r="AD155" s="376" t="e">
        <f t="shared" ca="1" si="84"/>
        <v>#N/A</v>
      </c>
      <c r="AE155" s="377">
        <f t="shared" ca="1" si="63"/>
        <v>89.930420317836763</v>
      </c>
      <c r="AF155" s="344"/>
      <c r="AG155" s="359">
        <f t="shared" ca="1" si="85"/>
        <v>76.973590234908997</v>
      </c>
      <c r="AH155" s="357">
        <f t="shared" ca="1" si="86"/>
        <v>86.56961599033832</v>
      </c>
    </row>
    <row r="156" spans="1:34" x14ac:dyDescent="0.25">
      <c r="A156" s="402">
        <f t="shared" ca="1" si="64"/>
        <v>0.01</v>
      </c>
      <c r="B156" s="357">
        <f t="shared" ca="1" si="65"/>
        <v>1.5200000000000011</v>
      </c>
      <c r="C156" s="342"/>
      <c r="D156" s="359">
        <f t="shared" ca="1" si="66"/>
        <v>17.970432786323283</v>
      </c>
      <c r="E156" s="360">
        <f t="shared" ca="1" si="67"/>
        <v>74.745632438436289</v>
      </c>
      <c r="F156" s="357">
        <f t="shared" ca="1" si="68"/>
        <v>76.875522913015573</v>
      </c>
      <c r="G156" s="359">
        <f t="shared" ca="1" si="69"/>
        <v>25.437002561755484</v>
      </c>
      <c r="H156" s="360">
        <f t="shared" ca="1" si="70"/>
        <v>119.58971523082153</v>
      </c>
      <c r="I156" s="357">
        <f t="shared" ca="1" si="71"/>
        <v>122.26504442528021</v>
      </c>
      <c r="J156" s="359">
        <f t="shared" ca="1" si="72"/>
        <v>18.309723846406456</v>
      </c>
      <c r="K156" s="360">
        <f t="shared" ca="1" si="73"/>
        <v>91.12258018852306</v>
      </c>
      <c r="L156" s="357">
        <f t="shared" ca="1" si="58"/>
        <v>92.943911083757826</v>
      </c>
      <c r="M156" s="359">
        <f t="shared" ca="1" si="74"/>
        <v>1.3612174216228581</v>
      </c>
      <c r="N156" s="357">
        <f t="shared" ca="1" si="75"/>
        <v>77.992013258669701</v>
      </c>
      <c r="O156" s="343"/>
      <c r="P156" s="363">
        <f t="shared" ca="1" si="76"/>
        <v>7</v>
      </c>
      <c r="Q156" s="357">
        <f t="shared" ca="1" si="77"/>
        <v>968.79610389610366</v>
      </c>
      <c r="R156" s="359">
        <f t="shared" ca="1" si="78"/>
        <v>0.48530122265647413</v>
      </c>
      <c r="S156" s="360">
        <f t="shared" ca="1" si="79"/>
        <v>10.737942826538687</v>
      </c>
      <c r="T156" s="357">
        <f t="shared" ca="1" si="59"/>
        <v>105.33921912834452</v>
      </c>
      <c r="U156" s="364">
        <f t="shared" ca="1" si="60"/>
        <v>0</v>
      </c>
      <c r="V156" s="359">
        <f t="shared" ca="1" si="61"/>
        <v>1.2138881111261537</v>
      </c>
      <c r="W156" s="357">
        <f t="shared" ca="1" si="62"/>
        <v>41.073611957367746</v>
      </c>
      <c r="X156" s="343"/>
      <c r="Y156" s="367" t="str">
        <f t="shared" ca="1" si="80"/>
        <v/>
      </c>
      <c r="Z156" s="368" t="str">
        <f t="shared" ca="1" si="81"/>
        <v/>
      </c>
      <c r="AA156" s="369" t="str">
        <f t="shared" ca="1" si="82"/>
        <v/>
      </c>
      <c r="AB156" s="344"/>
      <c r="AC156" s="363" t="e">
        <f t="shared" ca="1" si="83"/>
        <v>#N/A</v>
      </c>
      <c r="AD156" s="376" t="e">
        <f t="shared" ca="1" si="84"/>
        <v>#N/A</v>
      </c>
      <c r="AE156" s="377">
        <f t="shared" ca="1" si="63"/>
        <v>91.12258018852306</v>
      </c>
      <c r="AF156" s="344"/>
      <c r="AG156" s="359">
        <f t="shared" ca="1" si="85"/>
        <v>76.848468245663042</v>
      </c>
      <c r="AH156" s="357">
        <f t="shared" ca="1" si="86"/>
        <v>86.444152095972939</v>
      </c>
    </row>
    <row r="157" spans="1:34" x14ac:dyDescent="0.25">
      <c r="A157" s="402">
        <f t="shared" ca="1" si="64"/>
        <v>0.01</v>
      </c>
      <c r="B157" s="357">
        <f t="shared" ca="1" si="65"/>
        <v>1.5300000000000011</v>
      </c>
      <c r="C157" s="342"/>
      <c r="D157" s="359">
        <f t="shared" ca="1" si="66"/>
        <v>17.958355647896958</v>
      </c>
      <c r="E157" s="360">
        <f t="shared" ca="1" si="67"/>
        <v>74.619548360968409</v>
      </c>
      <c r="F157" s="357">
        <f t="shared" ca="1" si="68"/>
        <v>76.750110978234133</v>
      </c>
      <c r="G157" s="359">
        <f t="shared" ca="1" si="69"/>
        <v>25.616586118234455</v>
      </c>
      <c r="H157" s="360">
        <f t="shared" ca="1" si="70"/>
        <v>120.33591071443121</v>
      </c>
      <c r="I157" s="357">
        <f t="shared" ca="1" si="71"/>
        <v>123.03227581339981</v>
      </c>
      <c r="J157" s="359">
        <f t="shared" ca="1" si="72"/>
        <v>18.564991789806406</v>
      </c>
      <c r="K157" s="360">
        <f t="shared" ca="1" si="73"/>
        <v>92.322208318249324</v>
      </c>
      <c r="L157" s="357">
        <f t="shared" ca="1" si="58"/>
        <v>94.170319469107696</v>
      </c>
      <c r="M157" s="359">
        <f t="shared" ca="1" si="74"/>
        <v>1.3610515341559408</v>
      </c>
      <c r="N157" s="357">
        <f t="shared" ca="1" si="75"/>
        <v>77.982508606941224</v>
      </c>
      <c r="O157" s="343"/>
      <c r="P157" s="363">
        <f t="shared" ca="1" si="76"/>
        <v>7</v>
      </c>
      <c r="Q157" s="357">
        <f t="shared" ca="1" si="77"/>
        <v>967.53636363636349</v>
      </c>
      <c r="R157" s="359">
        <f t="shared" ca="1" si="78"/>
        <v>0.48467017812004082</v>
      </c>
      <c r="S157" s="360">
        <f t="shared" ca="1" si="79"/>
        <v>10.733096124757486</v>
      </c>
      <c r="T157" s="357">
        <f t="shared" ca="1" si="59"/>
        <v>105.29167298387094</v>
      </c>
      <c r="U157" s="364">
        <f t="shared" ca="1" si="60"/>
        <v>0</v>
      </c>
      <c r="V157" s="359">
        <f t="shared" ca="1" si="61"/>
        <v>1.2137424953654157</v>
      </c>
      <c r="W157" s="357">
        <f t="shared" ca="1" si="62"/>
        <v>41.585726269827497</v>
      </c>
      <c r="X157" s="343"/>
      <c r="Y157" s="367" t="str">
        <f t="shared" ca="1" si="80"/>
        <v/>
      </c>
      <c r="Z157" s="368" t="str">
        <f t="shared" ca="1" si="81"/>
        <v/>
      </c>
      <c r="AA157" s="369" t="str">
        <f t="shared" ca="1" si="82"/>
        <v/>
      </c>
      <c r="AB157" s="344"/>
      <c r="AC157" s="363" t="e">
        <f t="shared" ca="1" si="83"/>
        <v>#N/A</v>
      </c>
      <c r="AD157" s="376" t="e">
        <f t="shared" ca="1" si="84"/>
        <v>#N/A</v>
      </c>
      <c r="AE157" s="377">
        <f t="shared" ca="1" si="63"/>
        <v>92.322208318249324</v>
      </c>
      <c r="AF157" s="344"/>
      <c r="AG157" s="359">
        <f t="shared" ca="1" si="85"/>
        <v>76.722969527843446</v>
      </c>
      <c r="AH157" s="357">
        <f t="shared" ca="1" si="86"/>
        <v>86.318313086004267</v>
      </c>
    </row>
    <row r="158" spans="1:34" x14ac:dyDescent="0.25">
      <c r="A158" s="402">
        <f t="shared" ca="1" si="64"/>
        <v>0.01</v>
      </c>
      <c r="B158" s="357">
        <f t="shared" ca="1" si="65"/>
        <v>1.5400000000000011</v>
      </c>
      <c r="C158" s="342"/>
      <c r="D158" s="359">
        <f t="shared" ca="1" si="66"/>
        <v>17.946082459616299</v>
      </c>
      <c r="E158" s="360">
        <f t="shared" ca="1" si="67"/>
        <v>74.493121679316474</v>
      </c>
      <c r="F158" s="357">
        <f t="shared" ca="1" si="68"/>
        <v>76.62432416130531</v>
      </c>
      <c r="G158" s="359">
        <f t="shared" ca="1" si="69"/>
        <v>25.796046942830618</v>
      </c>
      <c r="H158" s="360">
        <f t="shared" ca="1" si="70"/>
        <v>121.08084193122437</v>
      </c>
      <c r="I158" s="357">
        <f t="shared" ca="1" si="71"/>
        <v>123.79824845550466</v>
      </c>
      <c r="J158" s="359">
        <f t="shared" ca="1" si="72"/>
        <v>18.822054955111732</v>
      </c>
      <c r="K158" s="360">
        <f t="shared" ca="1" si="73"/>
        <v>93.529292081477607</v>
      </c>
      <c r="L158" s="357">
        <f t="shared" ca="1" si="58"/>
        <v>95.404393137819369</v>
      </c>
      <c r="M158" s="359">
        <f t="shared" ca="1" si="74"/>
        <v>1.3608865445052054</v>
      </c>
      <c r="N158" s="357">
        <f t="shared" ca="1" si="75"/>
        <v>77.973055396290746</v>
      </c>
      <c r="O158" s="343"/>
      <c r="P158" s="363">
        <f t="shared" ca="1" si="76"/>
        <v>7</v>
      </c>
      <c r="Q158" s="357">
        <f t="shared" ca="1" si="77"/>
        <v>966.27662337662321</v>
      </c>
      <c r="R158" s="359">
        <f t="shared" ca="1" si="78"/>
        <v>0.48403913358360751</v>
      </c>
      <c r="S158" s="360">
        <f t="shared" ca="1" si="79"/>
        <v>10.72825573342165</v>
      </c>
      <c r="T158" s="357">
        <f t="shared" ca="1" si="59"/>
        <v>105.24418874486639</v>
      </c>
      <c r="U158" s="364">
        <f t="shared" ca="1" si="60"/>
        <v>0</v>
      </c>
      <c r="V158" s="359">
        <f t="shared" ca="1" si="61"/>
        <v>1.2135959921590318</v>
      </c>
      <c r="W158" s="357">
        <f t="shared" ca="1" si="62"/>
        <v>42.100063582567074</v>
      </c>
      <c r="X158" s="343"/>
      <c r="Y158" s="367" t="str">
        <f t="shared" ca="1" si="80"/>
        <v/>
      </c>
      <c r="Z158" s="368" t="str">
        <f t="shared" ca="1" si="81"/>
        <v/>
      </c>
      <c r="AA158" s="369" t="str">
        <f t="shared" ca="1" si="82"/>
        <v/>
      </c>
      <c r="AB158" s="344"/>
      <c r="AC158" s="363" t="e">
        <f t="shared" ca="1" si="83"/>
        <v>#N/A</v>
      </c>
      <c r="AD158" s="376" t="e">
        <f t="shared" ca="1" si="84"/>
        <v>#N/A</v>
      </c>
      <c r="AE158" s="377">
        <f t="shared" ca="1" si="63"/>
        <v>93.529292081477607</v>
      </c>
      <c r="AF158" s="344"/>
      <c r="AG158" s="359">
        <f t="shared" ca="1" si="85"/>
        <v>76.597095711260494</v>
      </c>
      <c r="AH158" s="357">
        <f t="shared" ca="1" si="86"/>
        <v>86.192100569164609</v>
      </c>
    </row>
    <row r="159" spans="1:34" x14ac:dyDescent="0.25">
      <c r="A159" s="402">
        <f t="shared" ca="1" si="64"/>
        <v>0.01</v>
      </c>
      <c r="B159" s="357">
        <f t="shared" ca="1" si="65"/>
        <v>1.5500000000000012</v>
      </c>
      <c r="C159" s="342"/>
      <c r="D159" s="359">
        <f t="shared" ca="1" si="66"/>
        <v>17.9336147541641</v>
      </c>
      <c r="E159" s="360">
        <f t="shared" ca="1" si="67"/>
        <v>74.366353769115335</v>
      </c>
      <c r="F159" s="357">
        <f t="shared" ca="1" si="68"/>
        <v>76.498164102571678</v>
      </c>
      <c r="G159" s="359">
        <f t="shared" ca="1" si="69"/>
        <v>25.975383090372258</v>
      </c>
      <c r="H159" s="360">
        <f t="shared" ca="1" si="70"/>
        <v>121.82450546891552</v>
      </c>
      <c r="I159" s="357">
        <f t="shared" ca="1" si="71"/>
        <v>124.56295861706812</v>
      </c>
      <c r="J159" s="359">
        <f t="shared" ca="1" si="72"/>
        <v>19.080912105277747</v>
      </c>
      <c r="K159" s="360">
        <f t="shared" ca="1" si="73"/>
        <v>94.743818818478303</v>
      </c>
      <c r="L159" s="357">
        <f t="shared" ca="1" si="58"/>
        <v>96.646119482770644</v>
      </c>
      <c r="M159" s="359">
        <f t="shared" ca="1" si="74"/>
        <v>1.3607224406617575</v>
      </c>
      <c r="N159" s="357">
        <f t="shared" ca="1" si="75"/>
        <v>77.963652938659308</v>
      </c>
      <c r="O159" s="343"/>
      <c r="P159" s="363">
        <f t="shared" ca="1" si="76"/>
        <v>7</v>
      </c>
      <c r="Q159" s="357">
        <f t="shared" ca="1" si="77"/>
        <v>965.01688311688292</v>
      </c>
      <c r="R159" s="359">
        <f t="shared" ca="1" si="78"/>
        <v>0.48340808904717414</v>
      </c>
      <c r="S159" s="360">
        <f t="shared" ca="1" si="79"/>
        <v>10.723421652531178</v>
      </c>
      <c r="T159" s="357">
        <f t="shared" ca="1" si="59"/>
        <v>105.19676641133086</v>
      </c>
      <c r="U159" s="364">
        <f t="shared" ca="1" si="60"/>
        <v>0</v>
      </c>
      <c r="V159" s="359">
        <f t="shared" ca="1" si="61"/>
        <v>1.2134486033662251</v>
      </c>
      <c r="W159" s="357">
        <f t="shared" ca="1" si="62"/>
        <v>42.616603515752715</v>
      </c>
      <c r="X159" s="343"/>
      <c r="Y159" s="367" t="str">
        <f t="shared" ca="1" si="80"/>
        <v/>
      </c>
      <c r="Z159" s="368" t="str">
        <f t="shared" ca="1" si="81"/>
        <v/>
      </c>
      <c r="AA159" s="369" t="str">
        <f t="shared" ca="1" si="82"/>
        <v/>
      </c>
      <c r="AB159" s="344"/>
      <c r="AC159" s="363" t="e">
        <f t="shared" ca="1" si="83"/>
        <v>#N/A</v>
      </c>
      <c r="AD159" s="376" t="e">
        <f t="shared" ca="1" si="84"/>
        <v>#N/A</v>
      </c>
      <c r="AE159" s="377">
        <f t="shared" ca="1" si="63"/>
        <v>94.743818818478303</v>
      </c>
      <c r="AF159" s="344"/>
      <c r="AG159" s="359">
        <f t="shared" ca="1" si="85"/>
        <v>76.470848431877599</v>
      </c>
      <c r="AH159" s="357">
        <f t="shared" ca="1" si="86"/>
        <v>86.065516160736692</v>
      </c>
    </row>
    <row r="160" spans="1:34" x14ac:dyDescent="0.25">
      <c r="A160" s="402">
        <f t="shared" ca="1" si="64"/>
        <v>0.01</v>
      </c>
      <c r="B160" s="357">
        <f t="shared" ca="1" si="65"/>
        <v>1.5600000000000012</v>
      </c>
      <c r="C160" s="342"/>
      <c r="D160" s="359">
        <f t="shared" ca="1" si="66"/>
        <v>17.920954042248123</v>
      </c>
      <c r="E160" s="360">
        <f t="shared" ca="1" si="67"/>
        <v>74.239246016211609</v>
      </c>
      <c r="F160" s="357">
        <f t="shared" ca="1" si="68"/>
        <v>76.371632448442284</v>
      </c>
      <c r="G160" s="359">
        <f t="shared" ca="1" si="69"/>
        <v>26.154592630794738</v>
      </c>
      <c r="H160" s="360">
        <f t="shared" ca="1" si="70"/>
        <v>122.56689792907764</v>
      </c>
      <c r="I160" s="357">
        <f t="shared" ca="1" si="71"/>
        <v>125.32640257998217</v>
      </c>
      <c r="J160" s="359">
        <f t="shared" ca="1" si="72"/>
        <v>19.341561983883583</v>
      </c>
      <c r="K160" s="360">
        <f t="shared" ca="1" si="73"/>
        <v>95.965775835468264</v>
      </c>
      <c r="L160" s="357">
        <f t="shared" ca="1" si="58"/>
        <v>97.895485859562257</v>
      </c>
      <c r="M160" s="359">
        <f t="shared" ca="1" si="74"/>
        <v>1.3605592108491922</v>
      </c>
      <c r="N160" s="357">
        <f t="shared" ca="1" si="75"/>
        <v>77.954300559308592</v>
      </c>
      <c r="O160" s="343"/>
      <c r="P160" s="363">
        <f t="shared" ca="1" si="76"/>
        <v>7</v>
      </c>
      <c r="Q160" s="357">
        <f t="shared" ca="1" si="77"/>
        <v>963.75714285714264</v>
      </c>
      <c r="R160" s="359">
        <f t="shared" ca="1" si="78"/>
        <v>0.48277704451074083</v>
      </c>
      <c r="S160" s="360">
        <f t="shared" ca="1" si="79"/>
        <v>10.71859388208607</v>
      </c>
      <c r="T160" s="357">
        <f t="shared" ca="1" si="59"/>
        <v>105.14940598326436</v>
      </c>
      <c r="U160" s="364">
        <f t="shared" ca="1" si="60"/>
        <v>0</v>
      </c>
      <c r="V160" s="359">
        <f t="shared" ca="1" si="61"/>
        <v>1.2133003308514978</v>
      </c>
      <c r="W160" s="357">
        <f t="shared" ca="1" si="62"/>
        <v>43.135325666302222</v>
      </c>
      <c r="X160" s="343"/>
      <c r="Y160" s="367" t="str">
        <f t="shared" ca="1" si="80"/>
        <v/>
      </c>
      <c r="Z160" s="368" t="str">
        <f t="shared" ca="1" si="81"/>
        <v/>
      </c>
      <c r="AA160" s="369" t="str">
        <f t="shared" ca="1" si="82"/>
        <v/>
      </c>
      <c r="AB160" s="344"/>
      <c r="AC160" s="363" t="e">
        <f t="shared" ca="1" si="83"/>
        <v>#N/A</v>
      </c>
      <c r="AD160" s="376" t="e">
        <f t="shared" ca="1" si="84"/>
        <v>#N/A</v>
      </c>
      <c r="AE160" s="377">
        <f t="shared" ca="1" si="63"/>
        <v>95.965775835468264</v>
      </c>
      <c r="AF160" s="344"/>
      <c r="AG160" s="359">
        <f t="shared" ca="1" si="85"/>
        <v>76.344229331748011</v>
      </c>
      <c r="AH160" s="357">
        <f t="shared" ca="1" si="86"/>
        <v>85.93856148248021</v>
      </c>
    </row>
    <row r="161" spans="1:34" x14ac:dyDescent="0.25">
      <c r="A161" s="402">
        <f t="shared" ca="1" si="64"/>
        <v>0.01</v>
      </c>
      <c r="B161" s="357">
        <f t="shared" ca="1" si="65"/>
        <v>1.5700000000000012</v>
      </c>
      <c r="C161" s="342"/>
      <c r="D161" s="359">
        <f t="shared" ca="1" si="66"/>
        <v>17.908101813211264</v>
      </c>
      <c r="E161" s="360">
        <f t="shared" ca="1" si="67"/>
        <v>74.111799816489764</v>
      </c>
      <c r="F161" s="357">
        <f t="shared" ca="1" si="68"/>
        <v>76.24473085133026</v>
      </c>
      <c r="G161" s="359">
        <f t="shared" ca="1" si="69"/>
        <v>26.333673648926851</v>
      </c>
      <c r="H161" s="360">
        <f t="shared" ca="1" si="70"/>
        <v>123.30801592724254</v>
      </c>
      <c r="I161" s="357">
        <f t="shared" ca="1" si="71"/>
        <v>126.08857664261772</v>
      </c>
      <c r="J161" s="359">
        <f t="shared" ca="1" si="72"/>
        <v>19.604003315282192</v>
      </c>
      <c r="K161" s="360">
        <f t="shared" ca="1" si="73"/>
        <v>97.195150404749867</v>
      </c>
      <c r="L161" s="357">
        <f t="shared" ca="1" si="58"/>
        <v>99.152479586682773</v>
      </c>
      <c r="M161" s="359">
        <f t="shared" ca="1" si="74"/>
        <v>1.3603968435175542</v>
      </c>
      <c r="N161" s="357">
        <f t="shared" ca="1" si="75"/>
        <v>77.944997596474934</v>
      </c>
      <c r="O161" s="343"/>
      <c r="P161" s="363">
        <f t="shared" ca="1" si="76"/>
        <v>7</v>
      </c>
      <c r="Q161" s="357">
        <f t="shared" ca="1" si="77"/>
        <v>962.49740259740236</v>
      </c>
      <c r="R161" s="359">
        <f t="shared" ca="1" si="78"/>
        <v>0.48214599997430746</v>
      </c>
      <c r="S161" s="360">
        <f t="shared" ca="1" si="79"/>
        <v>10.713772422086327</v>
      </c>
      <c r="T161" s="357">
        <f t="shared" ca="1" si="59"/>
        <v>105.10210746066687</v>
      </c>
      <c r="U161" s="364">
        <f t="shared" ca="1" si="60"/>
        <v>0</v>
      </c>
      <c r="V161" s="359">
        <f t="shared" ca="1" si="61"/>
        <v>1.213151176484603</v>
      </c>
      <c r="W161" s="357">
        <f t="shared" ca="1" si="62"/>
        <v>43.656209608725995</v>
      </c>
      <c r="X161" s="343"/>
      <c r="Y161" s="367" t="str">
        <f t="shared" ca="1" si="80"/>
        <v/>
      </c>
      <c r="Z161" s="368" t="str">
        <f t="shared" ca="1" si="81"/>
        <v/>
      </c>
      <c r="AA161" s="369" t="str">
        <f t="shared" ca="1" si="82"/>
        <v/>
      </c>
      <c r="AB161" s="344"/>
      <c r="AC161" s="363" t="e">
        <f t="shared" ca="1" si="83"/>
        <v>#N/A</v>
      </c>
      <c r="AD161" s="376" t="e">
        <f t="shared" ca="1" si="84"/>
        <v>#N/A</v>
      </c>
      <c r="AE161" s="377">
        <f t="shared" ca="1" si="63"/>
        <v>97.195150404749867</v>
      </c>
      <c r="AF161" s="344"/>
      <c r="AG161" s="359">
        <f t="shared" ca="1" si="85"/>
        <v>76.21724005895129</v>
      </c>
      <c r="AH161" s="357">
        <f t="shared" ca="1" si="86"/>
        <v>85.811238162558411</v>
      </c>
    </row>
    <row r="162" spans="1:34" x14ac:dyDescent="0.25">
      <c r="A162" s="402">
        <f t="shared" ca="1" si="64"/>
        <v>0.01</v>
      </c>
      <c r="B162" s="357">
        <f t="shared" ca="1" si="65"/>
        <v>1.5800000000000012</v>
      </c>
      <c r="C162" s="342"/>
      <c r="D162" s="359">
        <f t="shared" ca="1" si="66"/>
        <v>17.895059535620824</v>
      </c>
      <c r="E162" s="360">
        <f t="shared" ca="1" si="67"/>
        <v>73.984016575701332</v>
      </c>
      <c r="F162" s="357">
        <f t="shared" ca="1" si="68"/>
        <v>76.117460969590041</v>
      </c>
      <c r="G162" s="359">
        <f t="shared" ca="1" si="69"/>
        <v>26.51262424428306</v>
      </c>
      <c r="H162" s="360">
        <f t="shared" ca="1" si="70"/>
        <v>124.04785609299955</v>
      </c>
      <c r="I162" s="357">
        <f t="shared" ca="1" si="71"/>
        <v>126.84947711988438</v>
      </c>
      <c r="J162" s="359">
        <f t="shared" ca="1" si="72"/>
        <v>19.868234804748241</v>
      </c>
      <c r="K162" s="360">
        <f t="shared" ca="1" si="73"/>
        <v>98.431929764851077</v>
      </c>
      <c r="L162" s="357">
        <f t="shared" ca="1" si="58"/>
        <v>100.4170879456738</v>
      </c>
      <c r="M162" s="359">
        <f t="shared" ca="1" si="74"/>
        <v>1.360235327337491</v>
      </c>
      <c r="N162" s="357">
        <f t="shared" ca="1" si="75"/>
        <v>77.935743401034244</v>
      </c>
      <c r="O162" s="343"/>
      <c r="P162" s="363">
        <f t="shared" ca="1" si="76"/>
        <v>7</v>
      </c>
      <c r="Q162" s="357">
        <f t="shared" ca="1" si="77"/>
        <v>961.23766233766219</v>
      </c>
      <c r="R162" s="359">
        <f t="shared" ca="1" si="78"/>
        <v>0.4815149554378742</v>
      </c>
      <c r="S162" s="360">
        <f t="shared" ca="1" si="79"/>
        <v>10.708957272531949</v>
      </c>
      <c r="T162" s="357">
        <f t="shared" ca="1" si="59"/>
        <v>105.05487084353842</v>
      </c>
      <c r="U162" s="364">
        <f t="shared" ca="1" si="60"/>
        <v>0</v>
      </c>
      <c r="V162" s="359">
        <f t="shared" ca="1" si="61"/>
        <v>1.21300114214051</v>
      </c>
      <c r="W162" s="357">
        <f t="shared" ca="1" si="62"/>
        <v>44.17923489596749</v>
      </c>
      <c r="X162" s="343"/>
      <c r="Y162" s="367" t="str">
        <f t="shared" ca="1" si="80"/>
        <v/>
      </c>
      <c r="Z162" s="368" t="str">
        <f t="shared" ca="1" si="81"/>
        <v/>
      </c>
      <c r="AA162" s="369" t="str">
        <f t="shared" ca="1" si="82"/>
        <v/>
      </c>
      <c r="AB162" s="344"/>
      <c r="AC162" s="363" t="e">
        <f t="shared" ca="1" si="83"/>
        <v>#N/A</v>
      </c>
      <c r="AD162" s="376" t="e">
        <f t="shared" ca="1" si="84"/>
        <v>#N/A</v>
      </c>
      <c r="AE162" s="377">
        <f t="shared" ca="1" si="63"/>
        <v>98.431929764851077</v>
      </c>
      <c r="AF162" s="344"/>
      <c r="AG162" s="359">
        <f t="shared" ca="1" si="85"/>
        <v>76.089882267529177</v>
      </c>
      <c r="AH162" s="357">
        <f t="shared" ca="1" si="86"/>
        <v>85.683547835464452</v>
      </c>
    </row>
    <row r="163" spans="1:34" x14ac:dyDescent="0.25">
      <c r="A163" s="402">
        <f t="shared" ca="1" si="64"/>
        <v>0.01</v>
      </c>
      <c r="B163" s="357">
        <f t="shared" ca="1" si="65"/>
        <v>1.5900000000000012</v>
      </c>
      <c r="C163" s="342"/>
      <c r="D163" s="359">
        <f t="shared" ca="1" si="66"/>
        <v>17.881828657838387</v>
      </c>
      <c r="E163" s="360">
        <f t="shared" ca="1" si="67"/>
        <v>73.855897709296897</v>
      </c>
      <c r="F163" s="357">
        <f t="shared" ca="1" si="68"/>
        <v>75.989824467453644</v>
      </c>
      <c r="G163" s="359">
        <f t="shared" ca="1" si="69"/>
        <v>26.691442530861444</v>
      </c>
      <c r="H163" s="360">
        <f t="shared" ca="1" si="70"/>
        <v>124.78641507009252</v>
      </c>
      <c r="I163" s="357">
        <f t="shared" ca="1" si="71"/>
        <v>127.60910034328936</v>
      </c>
      <c r="J163" s="359">
        <f t="shared" ca="1" si="72"/>
        <v>20.134255138623963</v>
      </c>
      <c r="K163" s="360">
        <f t="shared" ca="1" si="73"/>
        <v>99.676101120666544</v>
      </c>
      <c r="L163" s="357">
        <f t="shared" ca="1" si="58"/>
        <v>101.68929818129608</v>
      </c>
      <c r="M163" s="359">
        <f t="shared" ca="1" si="74"/>
        <v>1.3600746511945965</v>
      </c>
      <c r="N163" s="357">
        <f t="shared" ca="1" si="75"/>
        <v>77.926537336177944</v>
      </c>
      <c r="O163" s="343"/>
      <c r="P163" s="363">
        <f t="shared" ca="1" si="76"/>
        <v>7</v>
      </c>
      <c r="Q163" s="357">
        <f t="shared" ca="1" si="77"/>
        <v>959.9779220779219</v>
      </c>
      <c r="R163" s="359">
        <f t="shared" ca="1" si="78"/>
        <v>0.48088391090144084</v>
      </c>
      <c r="S163" s="360">
        <f t="shared" ca="1" si="79"/>
        <v>10.704148433422935</v>
      </c>
      <c r="T163" s="357">
        <f t="shared" ca="1" si="59"/>
        <v>105.007696131879</v>
      </c>
      <c r="U163" s="364">
        <f t="shared" ca="1" si="60"/>
        <v>0</v>
      </c>
      <c r="V163" s="359">
        <f t="shared" ca="1" si="61"/>
        <v>1.2128502296993724</v>
      </c>
      <c r="W163" s="357">
        <f t="shared" ca="1" si="62"/>
        <v>44.704381060242802</v>
      </c>
      <c r="X163" s="343"/>
      <c r="Y163" s="367" t="str">
        <f t="shared" ca="1" si="80"/>
        <v/>
      </c>
      <c r="Z163" s="368" t="str">
        <f t="shared" ca="1" si="81"/>
        <v/>
      </c>
      <c r="AA163" s="369" t="str">
        <f t="shared" ca="1" si="82"/>
        <v/>
      </c>
      <c r="AB163" s="344"/>
      <c r="AC163" s="363" t="e">
        <f t="shared" ca="1" si="83"/>
        <v>#N/A</v>
      </c>
      <c r="AD163" s="376" t="e">
        <f t="shared" ca="1" si="84"/>
        <v>#N/A</v>
      </c>
      <c r="AE163" s="377">
        <f t="shared" ca="1" si="63"/>
        <v>99.676101120666544</v>
      </c>
      <c r="AF163" s="344"/>
      <c r="AG163" s="359">
        <f t="shared" ca="1" si="85"/>
        <v>75.962157617420857</v>
      </c>
      <c r="AH163" s="357">
        <f t="shared" ca="1" si="86"/>
        <v>85.555492141947397</v>
      </c>
    </row>
    <row r="164" spans="1:34" x14ac:dyDescent="0.25">
      <c r="A164" s="402">
        <f t="shared" ca="1" si="64"/>
        <v>0.01</v>
      </c>
      <c r="B164" s="357">
        <f t="shared" ca="1" si="65"/>
        <v>1.6000000000000012</v>
      </c>
      <c r="C164" s="342"/>
      <c r="D164" s="359">
        <f t="shared" ca="1" si="66"/>
        <v>17.868410608570546</v>
      </c>
      <c r="E164" s="360">
        <f t="shared" ca="1" si="67"/>
        <v>73.72744464226102</v>
      </c>
      <c r="F164" s="357">
        <f t="shared" ca="1" si="68"/>
        <v>75.86182301496676</v>
      </c>
      <c r="G164" s="359">
        <f t="shared" ca="1" si="69"/>
        <v>26.870126636947148</v>
      </c>
      <c r="H164" s="360">
        <f t="shared" ca="1" si="70"/>
        <v>125.52368951651513</v>
      </c>
      <c r="I164" s="357">
        <f t="shared" ca="1" si="71"/>
        <v>128.36744266099589</v>
      </c>
      <c r="J164" s="359">
        <f t="shared" ca="1" si="72"/>
        <v>20.402062984463008</v>
      </c>
      <c r="K164" s="360">
        <f t="shared" ca="1" si="73"/>
        <v>100.92765164359959</v>
      </c>
      <c r="L164" s="357">
        <f t="shared" ca="1" si="58"/>
        <v>102.96909750169606</v>
      </c>
      <c r="M164" s="359">
        <f t="shared" ca="1" si="74"/>
        <v>1.3599148041839342</v>
      </c>
      <c r="N164" s="357">
        <f t="shared" ca="1" si="75"/>
        <v>77.917378777099216</v>
      </c>
      <c r="O164" s="343"/>
      <c r="P164" s="363">
        <f t="shared" ca="1" si="76"/>
        <v>7</v>
      </c>
      <c r="Q164" s="357">
        <f t="shared" ca="1" si="77"/>
        <v>958.71818181818162</v>
      </c>
      <c r="R164" s="359">
        <f t="shared" ca="1" si="78"/>
        <v>0.48025286636500752</v>
      </c>
      <c r="S164" s="360">
        <f t="shared" ca="1" si="79"/>
        <v>10.699345904759285</v>
      </c>
      <c r="T164" s="357">
        <f t="shared" ca="1" si="59"/>
        <v>104.96058332568859</v>
      </c>
      <c r="U164" s="364">
        <f t="shared" ca="1" si="60"/>
        <v>0</v>
      </c>
      <c r="V164" s="359">
        <f t="shared" ca="1" si="61"/>
        <v>1.2126984410464956</v>
      </c>
      <c r="W164" s="357">
        <f t="shared" ca="1" si="62"/>
        <v>45.231627613879773</v>
      </c>
      <c r="X164" s="343"/>
      <c r="Y164" s="367" t="str">
        <f t="shared" ca="1" si="80"/>
        <v/>
      </c>
      <c r="Z164" s="368" t="str">
        <f t="shared" ca="1" si="81"/>
        <v/>
      </c>
      <c r="AA164" s="369" t="str">
        <f t="shared" ca="1" si="82"/>
        <v/>
      </c>
      <c r="AB164" s="344"/>
      <c r="AC164" s="363" t="e">
        <f t="shared" ca="1" si="83"/>
        <v>#N/A</v>
      </c>
      <c r="AD164" s="376" t="e">
        <f t="shared" ca="1" si="84"/>
        <v>#N/A</v>
      </c>
      <c r="AE164" s="377">
        <f t="shared" ca="1" si="63"/>
        <v>100.92765164359959</v>
      </c>
      <c r="AF164" s="344"/>
      <c r="AG164" s="359">
        <f t="shared" ca="1" si="85"/>
        <v>75.834067774397909</v>
      </c>
      <c r="AH164" s="357">
        <f t="shared" ca="1" si="86"/>
        <v>85.427072728938228</v>
      </c>
    </row>
    <row r="165" spans="1:34" x14ac:dyDescent="0.25">
      <c r="A165" s="402">
        <f t="shared" ca="1" si="64"/>
        <v>0.01</v>
      </c>
      <c r="B165" s="357">
        <f t="shared" ca="1" si="65"/>
        <v>1.6100000000000012</v>
      </c>
      <c r="C165" s="342"/>
      <c r="D165" s="359">
        <f t="shared" ca="1" si="66"/>
        <v>17.854806797401594</v>
      </c>
      <c r="E165" s="360">
        <f t="shared" ca="1" si="67"/>
        <v>73.598658808949907</v>
      </c>
      <c r="F165" s="357">
        <f t="shared" ca="1" si="68"/>
        <v>75.733458287924222</v>
      </c>
      <c r="G165" s="359">
        <f t="shared" ca="1" si="69"/>
        <v>27.048674704921165</v>
      </c>
      <c r="H165" s="360">
        <f t="shared" ca="1" si="70"/>
        <v>126.25967610460464</v>
      </c>
      <c r="I165" s="357">
        <f t="shared" ca="1" si="71"/>
        <v>129.12450043788093</v>
      </c>
      <c r="J165" s="359">
        <f t="shared" ca="1" si="72"/>
        <v>20.671656991172348</v>
      </c>
      <c r="K165" s="360">
        <f t="shared" ca="1" si="73"/>
        <v>102.18656847170519</v>
      </c>
      <c r="L165" s="357">
        <f t="shared" ca="1" si="58"/>
        <v>104.2564730785728</v>
      </c>
      <c r="M165" s="359">
        <f t="shared" ca="1" si="74"/>
        <v>1.3597557756047358</v>
      </c>
      <c r="N165" s="357">
        <f t="shared" ca="1" si="75"/>
        <v>77.908267110689181</v>
      </c>
      <c r="O165" s="343"/>
      <c r="P165" s="363">
        <f t="shared" ca="1" si="76"/>
        <v>7</v>
      </c>
      <c r="Q165" s="357">
        <f t="shared" ca="1" si="77"/>
        <v>957.45844155844134</v>
      </c>
      <c r="R165" s="359">
        <f t="shared" ca="1" si="78"/>
        <v>0.47962182182857416</v>
      </c>
      <c r="S165" s="360">
        <f t="shared" ca="1" si="79"/>
        <v>10.694549686541</v>
      </c>
      <c r="T165" s="357">
        <f t="shared" ca="1" si="59"/>
        <v>104.91353242496722</v>
      </c>
      <c r="U165" s="364">
        <f t="shared" ca="1" si="60"/>
        <v>0</v>
      </c>
      <c r="V165" s="359">
        <f t="shared" ca="1" si="61"/>
        <v>1.212545778072305</v>
      </c>
      <c r="W165" s="357">
        <f t="shared" ca="1" si="62"/>
        <v>45.760954050156208</v>
      </c>
      <c r="X165" s="343"/>
      <c r="Y165" s="367" t="str">
        <f t="shared" ca="1" si="80"/>
        <v/>
      </c>
      <c r="Z165" s="368" t="str">
        <f t="shared" ca="1" si="81"/>
        <v/>
      </c>
      <c r="AA165" s="369" t="str">
        <f t="shared" ca="1" si="82"/>
        <v/>
      </c>
      <c r="AB165" s="344"/>
      <c r="AC165" s="363" t="e">
        <f t="shared" ca="1" si="83"/>
        <v>#N/A</v>
      </c>
      <c r="AD165" s="376" t="e">
        <f t="shared" ca="1" si="84"/>
        <v>#N/A</v>
      </c>
      <c r="AE165" s="377">
        <f t="shared" ca="1" si="63"/>
        <v>102.18656847170519</v>
      </c>
      <c r="AF165" s="344"/>
      <c r="AG165" s="359">
        <f t="shared" ca="1" si="85"/>
        <v>75.705614409998645</v>
      </c>
      <c r="AH165" s="357">
        <f t="shared" ca="1" si="86"/>
        <v>85.29829124947554</v>
      </c>
    </row>
    <row r="166" spans="1:34" x14ac:dyDescent="0.25">
      <c r="A166" s="402">
        <f t="shared" ca="1" si="64"/>
        <v>0.01</v>
      </c>
      <c r="B166" s="357">
        <f t="shared" ca="1" si="65"/>
        <v>1.6200000000000012</v>
      </c>
      <c r="C166" s="342"/>
      <c r="D166" s="359">
        <f t="shared" ca="1" si="66"/>
        <v>17.841018615308563</v>
      </c>
      <c r="E166" s="360">
        <f t="shared" ca="1" si="67"/>
        <v>73.469541652931653</v>
      </c>
      <c r="F166" s="357">
        <f t="shared" ca="1" si="68"/>
        <v>75.604731967805066</v>
      </c>
      <c r="G166" s="359">
        <f t="shared" ca="1" si="69"/>
        <v>27.227084891074252</v>
      </c>
      <c r="H166" s="360">
        <f t="shared" ca="1" si="70"/>
        <v>126.99437152113396</v>
      </c>
      <c r="I166" s="357">
        <f t="shared" ca="1" si="71"/>
        <v>129.88027005559221</v>
      </c>
      <c r="J166" s="359">
        <f t="shared" ca="1" si="72"/>
        <v>20.943035789152326</v>
      </c>
      <c r="K166" s="360">
        <f t="shared" ca="1" si="73"/>
        <v>103.45283870983388</v>
      </c>
      <c r="L166" s="357">
        <f t="shared" ca="1" si="58"/>
        <v>105.55141204734601</v>
      </c>
      <c r="M166" s="359">
        <f t="shared" ca="1" si="74"/>
        <v>1.3595975549552664</v>
      </c>
      <c r="N166" s="357">
        <f t="shared" ca="1" si="75"/>
        <v>77.899201735242769</v>
      </c>
      <c r="O166" s="343"/>
      <c r="P166" s="363">
        <f t="shared" ca="1" si="76"/>
        <v>7</v>
      </c>
      <c r="Q166" s="357">
        <f t="shared" ca="1" si="77"/>
        <v>956.19870129870105</v>
      </c>
      <c r="R166" s="359">
        <f t="shared" ca="1" si="78"/>
        <v>0.47899077729214079</v>
      </c>
      <c r="S166" s="360">
        <f t="shared" ca="1" si="79"/>
        <v>10.68975977876808</v>
      </c>
      <c r="T166" s="357">
        <f t="shared" ca="1" si="59"/>
        <v>104.86654342971487</v>
      </c>
      <c r="U166" s="364">
        <f t="shared" ca="1" si="60"/>
        <v>0</v>
      </c>
      <c r="V166" s="359">
        <f t="shared" ca="1" si="61"/>
        <v>1.2123922426723113</v>
      </c>
      <c r="W166" s="357">
        <f t="shared" ca="1" si="62"/>
        <v>46.292339844137217</v>
      </c>
      <c r="X166" s="343"/>
      <c r="Y166" s="367" t="str">
        <f t="shared" ca="1" si="80"/>
        <v/>
      </c>
      <c r="Z166" s="368" t="str">
        <f t="shared" ca="1" si="81"/>
        <v/>
      </c>
      <c r="AA166" s="369" t="str">
        <f t="shared" ca="1" si="82"/>
        <v/>
      </c>
      <c r="AB166" s="344"/>
      <c r="AC166" s="363" t="e">
        <f t="shared" ca="1" si="83"/>
        <v>#N/A</v>
      </c>
      <c r="AD166" s="376" t="e">
        <f t="shared" ca="1" si="84"/>
        <v>#N/A</v>
      </c>
      <c r="AE166" s="377">
        <f t="shared" ca="1" si="63"/>
        <v>103.45283870983388</v>
      </c>
      <c r="AF166" s="344"/>
      <c r="AG166" s="359">
        <f t="shared" ca="1" si="85"/>
        <v>75.576799201462109</v>
      </c>
      <c r="AH166" s="357">
        <f t="shared" ca="1" si="86"/>
        <v>85.169149362631089</v>
      </c>
    </row>
    <row r="167" spans="1:34" x14ac:dyDescent="0.25">
      <c r="A167" s="402">
        <f t="shared" ca="1" si="64"/>
        <v>0.01</v>
      </c>
      <c r="B167" s="357">
        <f t="shared" ca="1" si="65"/>
        <v>1.6300000000000012</v>
      </c>
      <c r="C167" s="342"/>
      <c r="D167" s="359">
        <f t="shared" ca="1" si="66"/>
        <v>17.827047435159546</v>
      </c>
      <c r="E167" s="360">
        <f t="shared" ca="1" si="67"/>
        <v>73.340094626828986</v>
      </c>
      <c r="F167" s="357">
        <f t="shared" ca="1" si="68"/>
        <v>75.475645741707027</v>
      </c>
      <c r="G167" s="359">
        <f t="shared" ca="1" si="69"/>
        <v>27.405355365425848</v>
      </c>
      <c r="H167" s="360">
        <f t="shared" ca="1" si="70"/>
        <v>127.72777246740225</v>
      </c>
      <c r="I167" s="357">
        <f t="shared" ca="1" si="71"/>
        <v>130.63474791260461</v>
      </c>
      <c r="J167" s="359">
        <f t="shared" ca="1" si="72"/>
        <v>21.216197990434825</v>
      </c>
      <c r="K167" s="360">
        <f t="shared" ca="1" si="73"/>
        <v>104.72644942977657</v>
      </c>
      <c r="L167" s="357">
        <f t="shared" ca="1" si="58"/>
        <v>106.85390150732391</v>
      </c>
      <c r="M167" s="359">
        <f t="shared" ca="1" si="74"/>
        <v>1.3594401319278504</v>
      </c>
      <c r="N167" s="357">
        <f t="shared" ca="1" si="75"/>
        <v>77.890182060173657</v>
      </c>
      <c r="O167" s="343"/>
      <c r="P167" s="363">
        <f t="shared" ca="1" si="76"/>
        <v>7</v>
      </c>
      <c r="Q167" s="357">
        <f t="shared" ca="1" si="77"/>
        <v>954.93896103896088</v>
      </c>
      <c r="R167" s="359">
        <f t="shared" ca="1" si="78"/>
        <v>0.47835973275570753</v>
      </c>
      <c r="S167" s="360">
        <f t="shared" ca="1" si="79"/>
        <v>10.684976181440522</v>
      </c>
      <c r="T167" s="357">
        <f t="shared" ca="1" si="59"/>
        <v>104.81961633993153</v>
      </c>
      <c r="U167" s="364">
        <f t="shared" ca="1" si="60"/>
        <v>0</v>
      </c>
      <c r="V167" s="359">
        <f t="shared" ca="1" si="61"/>
        <v>1.2122378367470783</v>
      </c>
      <c r="W167" s="357">
        <f t="shared" ca="1" si="62"/>
        <v>46.825764453511759</v>
      </c>
      <c r="X167" s="343"/>
      <c r="Y167" s="367" t="str">
        <f t="shared" ca="1" si="80"/>
        <v/>
      </c>
      <c r="Z167" s="368" t="str">
        <f t="shared" ca="1" si="81"/>
        <v/>
      </c>
      <c r="AA167" s="369" t="str">
        <f t="shared" ca="1" si="82"/>
        <v/>
      </c>
      <c r="AB167" s="344"/>
      <c r="AC167" s="363" t="e">
        <f t="shared" ca="1" si="83"/>
        <v>#N/A</v>
      </c>
      <c r="AD167" s="376" t="e">
        <f t="shared" ca="1" si="84"/>
        <v>#N/A</v>
      </c>
      <c r="AE167" s="377">
        <f t="shared" ca="1" si="63"/>
        <v>104.72644942977657</v>
      </c>
      <c r="AF167" s="344"/>
      <c r="AG167" s="359">
        <f t="shared" ca="1" si="85"/>
        <v>75.447623831661559</v>
      </c>
      <c r="AH167" s="357">
        <f t="shared" ca="1" si="86"/>
        <v>85.039648733435186</v>
      </c>
    </row>
    <row r="168" spans="1:34" x14ac:dyDescent="0.25">
      <c r="A168" s="402">
        <f t="shared" ca="1" si="64"/>
        <v>0.01</v>
      </c>
      <c r="B168" s="357">
        <f t="shared" ca="1" si="65"/>
        <v>1.6400000000000012</v>
      </c>
      <c r="C168" s="342"/>
      <c r="D168" s="359">
        <f t="shared" ca="1" si="66"/>
        <v>17.812894612195738</v>
      </c>
      <c r="E168" s="360">
        <f t="shared" ca="1" si="67"/>
        <v>73.210319192164533</v>
      </c>
      <c r="F168" s="357">
        <f t="shared" ca="1" si="68"/>
        <v>75.346201302280704</v>
      </c>
      <c r="G168" s="359">
        <f t="shared" ca="1" si="69"/>
        <v>27.583484311547807</v>
      </c>
      <c r="H168" s="360">
        <f t="shared" ca="1" si="70"/>
        <v>128.4598756593239</v>
      </c>
      <c r="I168" s="357">
        <f t="shared" ca="1" si="71"/>
        <v>131.38793042427588</v>
      </c>
      <c r="J168" s="359">
        <f t="shared" ca="1" si="72"/>
        <v>21.491142188819694</v>
      </c>
      <c r="K168" s="360">
        <f t="shared" ca="1" si="73"/>
        <v>106.0073876704102</v>
      </c>
      <c r="L168" s="357">
        <f t="shared" ca="1" si="58"/>
        <v>108.16392852187231</v>
      </c>
      <c r="M168" s="359">
        <f t="shared" ca="1" si="74"/>
        <v>1.3592834964040545</v>
      </c>
      <c r="N168" s="357">
        <f t="shared" ca="1" si="75"/>
        <v>77.881207505738331</v>
      </c>
      <c r="O168" s="343"/>
      <c r="P168" s="363">
        <f t="shared" ca="1" si="76"/>
        <v>7</v>
      </c>
      <c r="Q168" s="357">
        <f t="shared" ca="1" si="77"/>
        <v>953.6792207792206</v>
      </c>
      <c r="R168" s="359">
        <f t="shared" ca="1" si="78"/>
        <v>0.47772868821927417</v>
      </c>
      <c r="S168" s="360">
        <f t="shared" ca="1" si="79"/>
        <v>10.680198894558329</v>
      </c>
      <c r="T168" s="357">
        <f t="shared" ca="1" si="59"/>
        <v>104.77275115561721</v>
      </c>
      <c r="U168" s="364">
        <f t="shared" ca="1" si="60"/>
        <v>0</v>
      </c>
      <c r="V168" s="359">
        <f t="shared" ca="1" si="61"/>
        <v>1.2120825622021918</v>
      </c>
      <c r="W168" s="357">
        <f t="shared" ca="1" si="62"/>
        <v>47.361207319428239</v>
      </c>
      <c r="X168" s="343"/>
      <c r="Y168" s="367" t="str">
        <f t="shared" ca="1" si="80"/>
        <v/>
      </c>
      <c r="Z168" s="368" t="str">
        <f t="shared" ca="1" si="81"/>
        <v/>
      </c>
      <c r="AA168" s="369" t="str">
        <f t="shared" ca="1" si="82"/>
        <v/>
      </c>
      <c r="AB168" s="344"/>
      <c r="AC168" s="363" t="e">
        <f t="shared" ca="1" si="83"/>
        <v>#N/A</v>
      </c>
      <c r="AD168" s="376" t="e">
        <f t="shared" ca="1" si="84"/>
        <v>#N/A</v>
      </c>
      <c r="AE168" s="377">
        <f t="shared" ca="1" si="63"/>
        <v>106.0073876704102</v>
      </c>
      <c r="AF168" s="344"/>
      <c r="AG168" s="359">
        <f t="shared" ca="1" si="85"/>
        <v>75.318089989037531</v>
      </c>
      <c r="AH168" s="357">
        <f t="shared" ca="1" si="86"/>
        <v>84.909791032801834</v>
      </c>
    </row>
    <row r="169" spans="1:34" x14ac:dyDescent="0.25">
      <c r="A169" s="402">
        <f t="shared" ca="1" si="64"/>
        <v>0.01</v>
      </c>
      <c r="B169" s="357">
        <f t="shared" ca="1" si="65"/>
        <v>1.6500000000000012</v>
      </c>
      <c r="C169" s="342"/>
      <c r="D169" s="359">
        <f t="shared" ca="1" si="66"/>
        <v>17.798561484497871</v>
      </c>
      <c r="E169" s="360">
        <f t="shared" ca="1" si="67"/>
        <v>73.08021681920826</v>
      </c>
      <c r="F169" s="357">
        <f t="shared" ca="1" si="68"/>
        <v>75.216400347663139</v>
      </c>
      <c r="G169" s="359">
        <f t="shared" ca="1" si="69"/>
        <v>27.761469926392785</v>
      </c>
      <c r="H169" s="360">
        <f t="shared" ca="1" si="70"/>
        <v>129.19067782751597</v>
      </c>
      <c r="I169" s="357">
        <f t="shared" ca="1" si="71"/>
        <v>132.13981402290165</v>
      </c>
      <c r="J169" s="359">
        <f t="shared" ca="1" si="72"/>
        <v>21.767866960009396</v>
      </c>
      <c r="K169" s="360">
        <f t="shared" ca="1" si="73"/>
        <v>107.2956404378444</v>
      </c>
      <c r="L169" s="357">
        <f t="shared" ca="1" si="58"/>
        <v>109.4814801185838</v>
      </c>
      <c r="M169" s="359">
        <f t="shared" ca="1" si="74"/>
        <v>1.3591276384500186</v>
      </c>
      <c r="N169" s="357">
        <f t="shared" ca="1" si="75"/>
        <v>77.87227750276854</v>
      </c>
      <c r="O169" s="343"/>
      <c r="P169" s="363">
        <f t="shared" ca="1" si="76"/>
        <v>7</v>
      </c>
      <c r="Q169" s="357">
        <f t="shared" ca="1" si="77"/>
        <v>952.41948051948032</v>
      </c>
      <c r="R169" s="359">
        <f t="shared" ca="1" si="78"/>
        <v>0.47709764368284086</v>
      </c>
      <c r="S169" s="360">
        <f t="shared" ca="1" si="79"/>
        <v>10.6754279181215</v>
      </c>
      <c r="T169" s="357">
        <f t="shared" ca="1" si="59"/>
        <v>104.72594787677191</v>
      </c>
      <c r="U169" s="364">
        <f t="shared" ca="1" si="60"/>
        <v>0</v>
      </c>
      <c r="V169" s="359">
        <f t="shared" ca="1" si="61"/>
        <v>1.2119264209482228</v>
      </c>
      <c r="W169" s="357">
        <f t="shared" ca="1" si="62"/>
        <v>47.898647867328975</v>
      </c>
      <c r="X169" s="343"/>
      <c r="Y169" s="367" t="str">
        <f t="shared" ca="1" si="80"/>
        <v/>
      </c>
      <c r="Z169" s="368" t="str">
        <f t="shared" ca="1" si="81"/>
        <v/>
      </c>
      <c r="AA169" s="369" t="str">
        <f t="shared" ca="1" si="82"/>
        <v/>
      </c>
      <c r="AB169" s="344"/>
      <c r="AC169" s="363" t="e">
        <f t="shared" ca="1" si="83"/>
        <v>#N/A</v>
      </c>
      <c r="AD169" s="376" t="e">
        <f t="shared" ca="1" si="84"/>
        <v>#N/A</v>
      </c>
      <c r="AE169" s="377">
        <f t="shared" ca="1" si="63"/>
        <v>107.2956404378444</v>
      </c>
      <c r="AF169" s="344"/>
      <c r="AG169" s="359">
        <f t="shared" ca="1" si="85"/>
        <v>75.188199367530572</v>
      </c>
      <c r="AH169" s="357">
        <f t="shared" ca="1" si="86"/>
        <v>84.779577937453823</v>
      </c>
    </row>
    <row r="170" spans="1:34" x14ac:dyDescent="0.25">
      <c r="A170" s="402">
        <f t="shared" ca="1" si="64"/>
        <v>0.01</v>
      </c>
      <c r="B170" s="357">
        <f t="shared" ca="1" si="65"/>
        <v>1.6600000000000013</v>
      </c>
      <c r="C170" s="342"/>
      <c r="D170" s="359">
        <f t="shared" ca="1" si="66"/>
        <v>17.784049373437643</v>
      </c>
      <c r="E170" s="360">
        <f t="shared" ca="1" si="67"/>
        <v>72.949788986827357</v>
      </c>
      <c r="F170" s="357">
        <f t="shared" ca="1" si="68"/>
        <v>75.086244581411222</v>
      </c>
      <c r="G170" s="359">
        <f t="shared" ca="1" si="69"/>
        <v>27.93931042012716</v>
      </c>
      <c r="H170" s="360">
        <f t="shared" ca="1" si="70"/>
        <v>129.92017571738424</v>
      </c>
      <c r="I170" s="357">
        <f t="shared" ca="1" si="71"/>
        <v>132.89039515776986</v>
      </c>
      <c r="J170" s="359">
        <f t="shared" ca="1" si="72"/>
        <v>22.046370861741995</v>
      </c>
      <c r="K170" s="360">
        <f t="shared" ca="1" si="73"/>
        <v>108.5911947055689</v>
      </c>
      <c r="L170" s="357">
        <f t="shared" ca="1" si="58"/>
        <v>110.80654328944767</v>
      </c>
      <c r="M170" s="359">
        <f t="shared" ca="1" si="74"/>
        <v>1.3589725483119293</v>
      </c>
      <c r="N170" s="357">
        <f t="shared" ca="1" si="75"/>
        <v>77.863391492411907</v>
      </c>
      <c r="O170" s="343"/>
      <c r="P170" s="363">
        <f t="shared" ca="1" si="76"/>
        <v>7</v>
      </c>
      <c r="Q170" s="357">
        <f t="shared" ca="1" si="77"/>
        <v>951.15974025974003</v>
      </c>
      <c r="R170" s="359">
        <f t="shared" ca="1" si="78"/>
        <v>0.47646659914640749</v>
      </c>
      <c r="S170" s="360">
        <f t="shared" ca="1" si="79"/>
        <v>10.670663252130035</v>
      </c>
      <c r="T170" s="357">
        <f t="shared" ca="1" si="59"/>
        <v>104.67920650339565</v>
      </c>
      <c r="U170" s="364">
        <f t="shared" ca="1" si="60"/>
        <v>0</v>
      </c>
      <c r="V170" s="359">
        <f t="shared" ca="1" si="61"/>
        <v>1.2117694149006972</v>
      </c>
      <c r="W170" s="357">
        <f t="shared" ca="1" si="62"/>
        <v>48.43806550778379</v>
      </c>
      <c r="X170" s="343"/>
      <c r="Y170" s="367" t="str">
        <f t="shared" ca="1" si="80"/>
        <v/>
      </c>
      <c r="Z170" s="368" t="str">
        <f t="shared" ca="1" si="81"/>
        <v/>
      </c>
      <c r="AA170" s="369" t="str">
        <f t="shared" ca="1" si="82"/>
        <v/>
      </c>
      <c r="AB170" s="344"/>
      <c r="AC170" s="363" t="e">
        <f t="shared" ca="1" si="83"/>
        <v>#N/A</v>
      </c>
      <c r="AD170" s="376" t="e">
        <f t="shared" ca="1" si="84"/>
        <v>#N/A</v>
      </c>
      <c r="AE170" s="377">
        <f t="shared" ca="1" si="63"/>
        <v>108.5911947055689</v>
      </c>
      <c r="AF170" s="344"/>
      <c r="AG170" s="359">
        <f t="shared" ca="1" si="85"/>
        <v>75.05795366651347</v>
      </c>
      <c r="AH170" s="357">
        <f t="shared" ca="1" si="86"/>
        <v>84.64901112984758</v>
      </c>
    </row>
    <row r="171" spans="1:34" x14ac:dyDescent="0.25">
      <c r="A171" s="402">
        <f t="shared" ca="1" si="64"/>
        <v>0.01</v>
      </c>
      <c r="B171" s="357">
        <f t="shared" ca="1" si="65"/>
        <v>1.6700000000000013</v>
      </c>
      <c r="C171" s="342"/>
      <c r="D171" s="359">
        <f t="shared" ca="1" si="66"/>
        <v>17.769359584114774</v>
      </c>
      <c r="E171" s="360">
        <f t="shared" ca="1" si="67"/>
        <v>72.819037182338221</v>
      </c>
      <c r="F171" s="357">
        <f t="shared" ca="1" si="68"/>
        <v>74.955735712434489</v>
      </c>
      <c r="G171" s="359">
        <f t="shared" ca="1" si="69"/>
        <v>28.117004015968309</v>
      </c>
      <c r="H171" s="360">
        <f t="shared" ca="1" si="70"/>
        <v>130.64836608920763</v>
      </c>
      <c r="I171" s="357">
        <f t="shared" ca="1" si="71"/>
        <v>133.63967029521433</v>
      </c>
      <c r="J171" s="359">
        <f t="shared" ca="1" si="72"/>
        <v>22.326652433922472</v>
      </c>
      <c r="K171" s="360">
        <f t="shared" ca="1" si="73"/>
        <v>109.89403741460185</v>
      </c>
      <c r="L171" s="357">
        <f t="shared" ca="1" si="58"/>
        <v>112.13910499102036</v>
      </c>
      <c r="M171" s="359">
        <f t="shared" ca="1" si="74"/>
        <v>1.3588182164116351</v>
      </c>
      <c r="N171" s="357">
        <f t="shared" ca="1" si="75"/>
        <v>77.85454892588082</v>
      </c>
      <c r="O171" s="343"/>
      <c r="P171" s="363">
        <f t="shared" ca="1" si="76"/>
        <v>7</v>
      </c>
      <c r="Q171" s="357">
        <f t="shared" ca="1" si="77"/>
        <v>949.89999999999975</v>
      </c>
      <c r="R171" s="359">
        <f t="shared" ca="1" si="78"/>
        <v>0.47583555460997418</v>
      </c>
      <c r="S171" s="360">
        <f t="shared" ca="1" si="79"/>
        <v>10.665904896583935</v>
      </c>
      <c r="T171" s="357">
        <f t="shared" ca="1" si="59"/>
        <v>104.63252703548841</v>
      </c>
      <c r="U171" s="364">
        <f t="shared" ca="1" si="60"/>
        <v>0</v>
      </c>
      <c r="V171" s="359">
        <f t="shared" ca="1" si="61"/>
        <v>1.2116115459800612</v>
      </c>
      <c r="W171" s="357">
        <f t="shared" ca="1" si="62"/>
        <v>48.97943963732228</v>
      </c>
      <c r="X171" s="343"/>
      <c r="Y171" s="367" t="str">
        <f t="shared" ca="1" si="80"/>
        <v/>
      </c>
      <c r="Z171" s="368" t="str">
        <f t="shared" ca="1" si="81"/>
        <v/>
      </c>
      <c r="AA171" s="369" t="str">
        <f t="shared" ca="1" si="82"/>
        <v/>
      </c>
      <c r="AB171" s="344"/>
      <c r="AC171" s="363" t="e">
        <f t="shared" ca="1" si="83"/>
        <v>#N/A</v>
      </c>
      <c r="AD171" s="376" t="e">
        <f t="shared" ca="1" si="84"/>
        <v>#N/A</v>
      </c>
      <c r="AE171" s="377">
        <f t="shared" ca="1" si="63"/>
        <v>109.89403741460185</v>
      </c>
      <c r="AF171" s="344"/>
      <c r="AG171" s="359">
        <f t="shared" ca="1" si="85"/>
        <v>74.927354590723311</v>
      </c>
      <c r="AH171" s="357">
        <f t="shared" ca="1" si="86"/>
        <v>84.518092298097955</v>
      </c>
    </row>
    <row r="172" spans="1:34" x14ac:dyDescent="0.25">
      <c r="A172" s="402">
        <f t="shared" ca="1" si="64"/>
        <v>0.01</v>
      </c>
      <c r="B172" s="357">
        <f t="shared" ca="1" si="65"/>
        <v>1.6800000000000013</v>
      </c>
      <c r="C172" s="342"/>
      <c r="D172" s="359">
        <f t="shared" ca="1" si="66"/>
        <v>17.754493405779897</v>
      </c>
      <c r="E172" s="360">
        <f t="shared" ca="1" si="67"/>
        <v>72.687962901360407</v>
      </c>
      <c r="F172" s="357">
        <f t="shared" ca="1" si="68"/>
        <v>74.824875454927607</v>
      </c>
      <c r="G172" s="359">
        <f t="shared" ca="1" si="69"/>
        <v>28.294548950026108</v>
      </c>
      <c r="H172" s="360">
        <f t="shared" ca="1" si="70"/>
        <v>131.37524571822124</v>
      </c>
      <c r="I172" s="357">
        <f t="shared" ca="1" si="71"/>
        <v>134.38763591866788</v>
      </c>
      <c r="J172" s="359">
        <f t="shared" ca="1" si="72"/>
        <v>22.608710198752444</v>
      </c>
      <c r="K172" s="360">
        <f t="shared" ca="1" si="73"/>
        <v>111.20415547363901</v>
      </c>
      <c r="L172" s="357">
        <f t="shared" ca="1" si="58"/>
        <v>113.47915214459637</v>
      </c>
      <c r="M172" s="359">
        <f t="shared" ca="1" si="74"/>
        <v>1.3586646333423922</v>
      </c>
      <c r="N172" s="357">
        <f t="shared" ca="1" si="75"/>
        <v>77.845749264208536</v>
      </c>
      <c r="O172" s="343"/>
      <c r="P172" s="363">
        <f t="shared" ca="1" si="76"/>
        <v>7</v>
      </c>
      <c r="Q172" s="357">
        <f t="shared" ca="1" si="77"/>
        <v>948.64025974025958</v>
      </c>
      <c r="R172" s="359">
        <f t="shared" ca="1" si="78"/>
        <v>0.47520451007354086</v>
      </c>
      <c r="S172" s="360">
        <f t="shared" ca="1" si="79"/>
        <v>10.6611528514832</v>
      </c>
      <c r="T172" s="357">
        <f t="shared" ca="1" si="59"/>
        <v>104.58590947305019</v>
      </c>
      <c r="U172" s="364">
        <f t="shared" ca="1" si="60"/>
        <v>0</v>
      </c>
      <c r="V172" s="359">
        <f t="shared" ca="1" si="61"/>
        <v>1.2114528161116469</v>
      </c>
      <c r="W172" s="357">
        <f t="shared" ca="1" si="62"/>
        <v>49.522749639265093</v>
      </c>
      <c r="X172" s="343"/>
      <c r="Y172" s="367" t="str">
        <f t="shared" ca="1" si="80"/>
        <v/>
      </c>
      <c r="Z172" s="368" t="str">
        <f t="shared" ca="1" si="81"/>
        <v/>
      </c>
      <c r="AA172" s="369" t="str">
        <f t="shared" ca="1" si="82"/>
        <v/>
      </c>
      <c r="AB172" s="344"/>
      <c r="AC172" s="363" t="e">
        <f t="shared" ca="1" si="83"/>
        <v>#N/A</v>
      </c>
      <c r="AD172" s="376" t="e">
        <f t="shared" ca="1" si="84"/>
        <v>#N/A</v>
      </c>
      <c r="AE172" s="377">
        <f t="shared" ca="1" si="63"/>
        <v>111.20415547363901</v>
      </c>
      <c r="AF172" s="344"/>
      <c r="AG172" s="359">
        <f t="shared" ca="1" si="85"/>
        <v>74.79640385019286</v>
      </c>
      <c r="AH172" s="357">
        <f t="shared" ca="1" si="86"/>
        <v>84.386823135902688</v>
      </c>
    </row>
    <row r="173" spans="1:34" x14ac:dyDescent="0.25">
      <c r="A173" s="402">
        <f t="shared" ca="1" si="64"/>
        <v>0.01</v>
      </c>
      <c r="B173" s="357">
        <f t="shared" ca="1" si="65"/>
        <v>1.6900000000000013</v>
      </c>
      <c r="C173" s="342"/>
      <c r="D173" s="359">
        <f t="shared" ca="1" si="66"/>
        <v>17.739452112244301</v>
      </c>
      <c r="E173" s="360">
        <f t="shared" ca="1" si="67"/>
        <v>72.55656764767275</v>
      </c>
      <c r="F173" s="357">
        <f t="shared" ca="1" si="68"/>
        <v>74.693665528302475</v>
      </c>
      <c r="G173" s="359">
        <f t="shared" ca="1" si="69"/>
        <v>28.471943471148553</v>
      </c>
      <c r="H173" s="360">
        <f t="shared" ca="1" si="70"/>
        <v>132.10081139469796</v>
      </c>
      <c r="I173" s="357">
        <f t="shared" ca="1" si="71"/>
        <v>135.13428852871442</v>
      </c>
      <c r="J173" s="359">
        <f t="shared" ca="1" si="72"/>
        <v>22.892542660858318</v>
      </c>
      <c r="K173" s="360">
        <f t="shared" ca="1" si="73"/>
        <v>112.5215357592036</v>
      </c>
      <c r="L173" s="357">
        <f t="shared" ca="1" si="58"/>
        <v>114.82667163637964</v>
      </c>
      <c r="M173" s="359">
        <f t="shared" ca="1" si="74"/>
        <v>1.3585117898647401</v>
      </c>
      <c r="N173" s="357">
        <f t="shared" ca="1" si="75"/>
        <v>77.836991978012975</v>
      </c>
      <c r="O173" s="343"/>
      <c r="P173" s="363">
        <f t="shared" ca="1" si="76"/>
        <v>7</v>
      </c>
      <c r="Q173" s="357">
        <f t="shared" ca="1" si="77"/>
        <v>947.3805194805193</v>
      </c>
      <c r="R173" s="359">
        <f t="shared" ca="1" si="78"/>
        <v>0.47457346553710755</v>
      </c>
      <c r="S173" s="360">
        <f t="shared" ca="1" si="79"/>
        <v>10.656407116827829</v>
      </c>
      <c r="T173" s="357">
        <f t="shared" ca="1" si="59"/>
        <v>104.539353816081</v>
      </c>
      <c r="U173" s="364">
        <f t="shared" ca="1" si="60"/>
        <v>0</v>
      </c>
      <c r="V173" s="359">
        <f t="shared" ca="1" si="61"/>
        <v>1.2112932272256414</v>
      </c>
      <c r="W173" s="357">
        <f t="shared" ca="1" si="62"/>
        <v>50.067974884553784</v>
      </c>
      <c r="X173" s="343"/>
      <c r="Y173" s="367" t="str">
        <f t="shared" ca="1" si="80"/>
        <v/>
      </c>
      <c r="Z173" s="368" t="str">
        <f t="shared" ca="1" si="81"/>
        <v/>
      </c>
      <c r="AA173" s="369" t="str">
        <f t="shared" ca="1" si="82"/>
        <v/>
      </c>
      <c r="AB173" s="344"/>
      <c r="AC173" s="363" t="e">
        <f t="shared" ca="1" si="83"/>
        <v>#N/A</v>
      </c>
      <c r="AD173" s="376" t="e">
        <f t="shared" ca="1" si="84"/>
        <v>#N/A</v>
      </c>
      <c r="AE173" s="377">
        <f t="shared" ca="1" si="63"/>
        <v>112.5215357592036</v>
      </c>
      <c r="AF173" s="344"/>
      <c r="AG173" s="359">
        <f t="shared" ca="1" si="85"/>
        <v>74.665103160181815</v>
      </c>
      <c r="AH173" s="357">
        <f t="shared" ca="1" si="86"/>
        <v>84.255205342466894</v>
      </c>
    </row>
    <row r="174" spans="1:34" x14ac:dyDescent="0.25">
      <c r="A174" s="402">
        <f t="shared" ca="1" si="64"/>
        <v>0.01</v>
      </c>
      <c r="B174" s="357">
        <f t="shared" ca="1" si="65"/>
        <v>1.7000000000000013</v>
      </c>
      <c r="C174" s="342"/>
      <c r="D174" s="359">
        <f t="shared" ca="1" si="66"/>
        <v>17.724236962276517</v>
      </c>
      <c r="E174" s="360">
        <f t="shared" ca="1" si="67"/>
        <v>72.424852933071449</v>
      </c>
      <c r="F174" s="357">
        <f t="shared" ca="1" si="68"/>
        <v>74.562107657120023</v>
      </c>
      <c r="G174" s="359">
        <f t="shared" ca="1" si="69"/>
        <v>28.649185840771317</v>
      </c>
      <c r="H174" s="360">
        <f t="shared" ca="1" si="70"/>
        <v>132.82505992402866</v>
      </c>
      <c r="I174" s="357">
        <f t="shared" ca="1" si="71"/>
        <v>135.87962464314089</v>
      </c>
      <c r="J174" s="359">
        <f t="shared" ca="1" si="72"/>
        <v>23.178148307417917</v>
      </c>
      <c r="K174" s="360">
        <f t="shared" ca="1" si="73"/>
        <v>113.84616511579723</v>
      </c>
      <c r="L174" s="357">
        <f t="shared" ca="1" si="58"/>
        <v>116.18165031765569</v>
      </c>
      <c r="M174" s="359">
        <f t="shared" ca="1" si="74"/>
        <v>1.3583596769025006</v>
      </c>
      <c r="N174" s="357">
        <f t="shared" ca="1" si="75"/>
        <v>77.828276547267421</v>
      </c>
      <c r="O174" s="343"/>
      <c r="P174" s="363">
        <f t="shared" ca="1" si="76"/>
        <v>7</v>
      </c>
      <c r="Q174" s="357">
        <f t="shared" ca="1" si="77"/>
        <v>946.12077922077901</v>
      </c>
      <c r="R174" s="359">
        <f t="shared" ca="1" si="78"/>
        <v>0.47394242100067419</v>
      </c>
      <c r="S174" s="360">
        <f t="shared" ca="1" si="79"/>
        <v>10.651667692617822</v>
      </c>
      <c r="T174" s="357">
        <f t="shared" ca="1" si="59"/>
        <v>104.49286006458084</v>
      </c>
      <c r="U174" s="364">
        <f t="shared" ca="1" si="60"/>
        <v>0</v>
      </c>
      <c r="V174" s="359">
        <f t="shared" ca="1" si="61"/>
        <v>1.2111327812570505</v>
      </c>
      <c r="W174" s="357">
        <f t="shared" ca="1" si="62"/>
        <v>50.615094732579735</v>
      </c>
      <c r="X174" s="343"/>
      <c r="Y174" s="367" t="str">
        <f t="shared" ca="1" si="80"/>
        <v/>
      </c>
      <c r="Z174" s="368" t="str">
        <f t="shared" ca="1" si="81"/>
        <v/>
      </c>
      <c r="AA174" s="369" t="str">
        <f t="shared" ca="1" si="82"/>
        <v/>
      </c>
      <c r="AB174" s="344"/>
      <c r="AC174" s="363" t="e">
        <f t="shared" ca="1" si="83"/>
        <v>#N/A</v>
      </c>
      <c r="AD174" s="376" t="e">
        <f t="shared" ca="1" si="84"/>
        <v>#N/A</v>
      </c>
      <c r="AE174" s="377">
        <f t="shared" ca="1" si="63"/>
        <v>113.84616511579723</v>
      </c>
      <c r="AF174" s="344"/>
      <c r="AG174" s="359">
        <f t="shared" ca="1" si="85"/>
        <v>74.533454241107748</v>
      </c>
      <c r="AH174" s="357">
        <f t="shared" ca="1" si="86"/>
        <v>84.123240622427403</v>
      </c>
    </row>
    <row r="175" spans="1:34" x14ac:dyDescent="0.25">
      <c r="A175" s="402">
        <f t="shared" ca="1" si="64"/>
        <v>0.01</v>
      </c>
      <c r="B175" s="357">
        <f t="shared" ca="1" si="65"/>
        <v>1.7100000000000013</v>
      </c>
      <c r="C175" s="342"/>
      <c r="D175" s="359">
        <f t="shared" ca="1" si="66"/>
        <v>17.708849199986609</v>
      </c>
      <c r="E175" s="360">
        <f t="shared" ca="1" si="67"/>
        <v>72.292820277229922</v>
      </c>
      <c r="F175" s="357">
        <f t="shared" ca="1" si="68"/>
        <v>74.430203571021707</v>
      </c>
      <c r="G175" s="359">
        <f t="shared" ca="1" si="69"/>
        <v>28.826274332771185</v>
      </c>
      <c r="H175" s="360">
        <f t="shared" ca="1" si="70"/>
        <v>133.54798812680096</v>
      </c>
      <c r="I175" s="357">
        <f t="shared" ca="1" si="71"/>
        <v>136.62364079698781</v>
      </c>
      <c r="J175" s="359">
        <f t="shared" ca="1" si="72"/>
        <v>23.465525608285631</v>
      </c>
      <c r="K175" s="360">
        <f t="shared" ca="1" si="73"/>
        <v>115.17803035605138</v>
      </c>
      <c r="L175" s="357">
        <f t="shared" ca="1" si="58"/>
        <v>117.544075004964</v>
      </c>
      <c r="M175" s="359">
        <f t="shared" ca="1" si="74"/>
        <v>1.3582082855388973</v>
      </c>
      <c r="N175" s="357">
        <f t="shared" ca="1" si="75"/>
        <v>77.819602461078219</v>
      </c>
      <c r="O175" s="343"/>
      <c r="P175" s="363">
        <f t="shared" ca="1" si="76"/>
        <v>7</v>
      </c>
      <c r="Q175" s="357">
        <f t="shared" ca="1" si="77"/>
        <v>944.86103896103873</v>
      </c>
      <c r="R175" s="359">
        <f t="shared" ca="1" si="78"/>
        <v>0.47331137646424087</v>
      </c>
      <c r="S175" s="360">
        <f t="shared" ca="1" si="79"/>
        <v>10.64693457885318</v>
      </c>
      <c r="T175" s="357">
        <f t="shared" ca="1" si="59"/>
        <v>104.4464282185497</v>
      </c>
      <c r="U175" s="364">
        <f t="shared" ca="1" si="60"/>
        <v>0</v>
      </c>
      <c r="V175" s="359">
        <f t="shared" ca="1" si="61"/>
        <v>1.2109714801456655</v>
      </c>
      <c r="W175" s="357">
        <f t="shared" ca="1" si="62"/>
        <v>51.164088532011128</v>
      </c>
      <c r="X175" s="343"/>
      <c r="Y175" s="367" t="str">
        <f t="shared" ca="1" si="80"/>
        <v/>
      </c>
      <c r="Z175" s="368" t="str">
        <f t="shared" ca="1" si="81"/>
        <v/>
      </c>
      <c r="AA175" s="369" t="str">
        <f t="shared" ca="1" si="82"/>
        <v/>
      </c>
      <c r="AB175" s="344"/>
      <c r="AC175" s="363" t="e">
        <f t="shared" ca="1" si="83"/>
        <v>#N/A</v>
      </c>
      <c r="AD175" s="376" t="e">
        <f t="shared" ca="1" si="84"/>
        <v>#N/A</v>
      </c>
      <c r="AE175" s="377">
        <f t="shared" ca="1" si="63"/>
        <v>115.17803035605138</v>
      </c>
      <c r="AF175" s="344"/>
      <c r="AG175" s="359">
        <f t="shared" ca="1" si="85"/>
        <v>74.401458818476641</v>
      </c>
      <c r="AH175" s="357">
        <f t="shared" ca="1" si="86"/>
        <v>83.990930685776917</v>
      </c>
    </row>
    <row r="176" spans="1:34" x14ac:dyDescent="0.25">
      <c r="A176" s="402">
        <f t="shared" ca="1" si="64"/>
        <v>0.01</v>
      </c>
      <c r="B176" s="357">
        <f t="shared" ca="1" si="65"/>
        <v>1.7200000000000013</v>
      </c>
      <c r="C176" s="342"/>
      <c r="D176" s="359">
        <f t="shared" ca="1" si="66"/>
        <v>17.693290055198251</v>
      </c>
      <c r="E176" s="360">
        <f t="shared" ca="1" si="67"/>
        <v>72.160471207560491</v>
      </c>
      <c r="F176" s="357">
        <f t="shared" ca="1" si="68"/>
        <v>74.297955004660423</v>
      </c>
      <c r="G176" s="359">
        <f t="shared" ca="1" si="69"/>
        <v>29.003207233323167</v>
      </c>
      <c r="H176" s="360">
        <f t="shared" ca="1" si="70"/>
        <v>134.26959283887658</v>
      </c>
      <c r="I176" s="357">
        <f t="shared" ca="1" si="71"/>
        <v>137.36633354259982</v>
      </c>
      <c r="J176" s="359">
        <f t="shared" ca="1" si="72"/>
        <v>23.754673016116104</v>
      </c>
      <c r="K176" s="360">
        <f t="shared" ca="1" si="73"/>
        <v>116.51711826087977</v>
      </c>
      <c r="L176" s="357">
        <f t="shared" ca="1" si="58"/>
        <v>118.91393248027094</v>
      </c>
      <c r="M176" s="359">
        <f t="shared" ca="1" si="74"/>
        <v>1.3580576070127888</v>
      </c>
      <c r="N176" s="357">
        <f t="shared" ca="1" si="75"/>
        <v>77.810969217468951</v>
      </c>
      <c r="O176" s="343"/>
      <c r="P176" s="363">
        <f t="shared" ca="1" si="76"/>
        <v>7</v>
      </c>
      <c r="Q176" s="357">
        <f t="shared" ca="1" si="77"/>
        <v>943.60129870129845</v>
      </c>
      <c r="R176" s="359">
        <f t="shared" ca="1" si="78"/>
        <v>0.47268033192780751</v>
      </c>
      <c r="S176" s="360">
        <f t="shared" ca="1" si="79"/>
        <v>10.642207775533903</v>
      </c>
      <c r="T176" s="357">
        <f t="shared" ca="1" si="59"/>
        <v>104.4000582779876</v>
      </c>
      <c r="U176" s="364">
        <f t="shared" ca="1" si="60"/>
        <v>0</v>
      </c>
      <c r="V176" s="359">
        <f t="shared" ca="1" si="61"/>
        <v>1.2108093258360306</v>
      </c>
      <c r="W176" s="357">
        <f t="shared" ca="1" si="62"/>
        <v>51.71493562161924</v>
      </c>
      <c r="X176" s="343"/>
      <c r="Y176" s="367" t="str">
        <f t="shared" ca="1" si="80"/>
        <v/>
      </c>
      <c r="Z176" s="368" t="str">
        <f t="shared" ca="1" si="81"/>
        <v/>
      </c>
      <c r="AA176" s="369" t="str">
        <f t="shared" ca="1" si="82"/>
        <v/>
      </c>
      <c r="AB176" s="344"/>
      <c r="AC176" s="363" t="e">
        <f t="shared" ca="1" si="83"/>
        <v>#N/A</v>
      </c>
      <c r="AD176" s="376" t="e">
        <f t="shared" ca="1" si="84"/>
        <v>#N/A</v>
      </c>
      <c r="AE176" s="377">
        <f t="shared" ca="1" si="63"/>
        <v>116.51711826087977</v>
      </c>
      <c r="AF176" s="344"/>
      <c r="AG176" s="359">
        <f t="shared" ca="1" si="85"/>
        <v>74.269118622813039</v>
      </c>
      <c r="AH176" s="357">
        <f t="shared" ca="1" si="86"/>
        <v>83.85827724778801</v>
      </c>
    </row>
    <row r="177" spans="1:34" x14ac:dyDescent="0.25">
      <c r="A177" s="402">
        <f t="shared" ca="1" si="64"/>
        <v>0.01</v>
      </c>
      <c r="B177" s="357">
        <f t="shared" ca="1" si="65"/>
        <v>1.7300000000000013</v>
      </c>
      <c r="C177" s="342"/>
      <c r="D177" s="359">
        <f t="shared" ca="1" si="66"/>
        <v>17.677560743809387</v>
      </c>
      <c r="E177" s="360">
        <f t="shared" ca="1" si="67"/>
        <v>72.027807259077889</v>
      </c>
      <c r="F177" s="357">
        <f t="shared" ca="1" si="68"/>
        <v>74.16536369763142</v>
      </c>
      <c r="G177" s="359">
        <f t="shared" ca="1" si="69"/>
        <v>29.179982840761262</v>
      </c>
      <c r="H177" s="360">
        <f t="shared" ca="1" si="70"/>
        <v>134.98987091146736</v>
      </c>
      <c r="I177" s="357">
        <f t="shared" ca="1" si="71"/>
        <v>138.10769944967495</v>
      </c>
      <c r="J177" s="359">
        <f t="shared" ca="1" si="72"/>
        <v>24.045588966486527</v>
      </c>
      <c r="K177" s="360">
        <f t="shared" ca="1" si="73"/>
        <v>117.86341557963149</v>
      </c>
      <c r="L177" s="357">
        <f t="shared" ca="1" si="58"/>
        <v>120.29120949114336</v>
      </c>
      <c r="M177" s="359">
        <f t="shared" ca="1" si="74"/>
        <v>1.3579076327150135</v>
      </c>
      <c r="N177" s="357">
        <f t="shared" ca="1" si="75"/>
        <v>77.802376323170989</v>
      </c>
      <c r="O177" s="343"/>
      <c r="P177" s="363">
        <f t="shared" ca="1" si="76"/>
        <v>7</v>
      </c>
      <c r="Q177" s="357">
        <f t="shared" ca="1" si="77"/>
        <v>942.34155844155828</v>
      </c>
      <c r="R177" s="359">
        <f t="shared" ca="1" si="78"/>
        <v>0.47204928739137425</v>
      </c>
      <c r="S177" s="360">
        <f t="shared" ca="1" si="79"/>
        <v>10.63748728265999</v>
      </c>
      <c r="T177" s="357">
        <f t="shared" ca="1" si="59"/>
        <v>104.35375024289451</v>
      </c>
      <c r="U177" s="364">
        <f t="shared" ca="1" si="60"/>
        <v>0</v>
      </c>
      <c r="V177" s="359">
        <f t="shared" ca="1" si="61"/>
        <v>1.2106463202774072</v>
      </c>
      <c r="W177" s="357">
        <f t="shared" ca="1" si="62"/>
        <v>52.267615331102633</v>
      </c>
      <c r="X177" s="343"/>
      <c r="Y177" s="367" t="str">
        <f t="shared" ca="1" si="80"/>
        <v/>
      </c>
      <c r="Z177" s="368" t="str">
        <f t="shared" ca="1" si="81"/>
        <v/>
      </c>
      <c r="AA177" s="369" t="str">
        <f t="shared" ca="1" si="82"/>
        <v/>
      </c>
      <c r="AB177" s="344"/>
      <c r="AC177" s="363" t="e">
        <f t="shared" ca="1" si="83"/>
        <v>#N/A</v>
      </c>
      <c r="AD177" s="376" t="e">
        <f t="shared" ca="1" si="84"/>
        <v>#N/A</v>
      </c>
      <c r="AE177" s="377">
        <f t="shared" ca="1" si="63"/>
        <v>117.86341557963149</v>
      </c>
      <c r="AF177" s="344"/>
      <c r="AG177" s="359">
        <f t="shared" ca="1" si="85"/>
        <v>74.136435389590062</v>
      </c>
      <c r="AH177" s="357">
        <f t="shared" ca="1" si="86"/>
        <v>83.725282028937073</v>
      </c>
    </row>
    <row r="178" spans="1:34" x14ac:dyDescent="0.25">
      <c r="A178" s="402">
        <f t="shared" ca="1" si="64"/>
        <v>0.01</v>
      </c>
      <c r="B178" s="357">
        <f t="shared" ca="1" si="65"/>
        <v>1.7400000000000013</v>
      </c>
      <c r="C178" s="342"/>
      <c r="D178" s="359">
        <f t="shared" ca="1" si="66"/>
        <v>17.66166246814166</v>
      </c>
      <c r="E178" s="360">
        <f t="shared" ca="1" si="67"/>
        <v>71.894829974264411</v>
      </c>
      <c r="F178" s="357">
        <f t="shared" ca="1" si="68"/>
        <v>74.032431394402764</v>
      </c>
      <c r="G178" s="359">
        <f t="shared" ca="1" si="69"/>
        <v>29.356599465442677</v>
      </c>
      <c r="H178" s="360">
        <f t="shared" ca="1" si="70"/>
        <v>135.70881921121</v>
      </c>
      <c r="I178" s="357">
        <f t="shared" ca="1" si="71"/>
        <v>138.84773510531352</v>
      </c>
      <c r="J178" s="359">
        <f t="shared" ca="1" si="72"/>
        <v>24.338271878017547</v>
      </c>
      <c r="K178" s="360">
        <f t="shared" ca="1" si="73"/>
        <v>119.21690903024488</v>
      </c>
      <c r="L178" s="357">
        <f t="shared" ca="1" si="58"/>
        <v>121.67589275092246</v>
      </c>
      <c r="M178" s="359">
        <f t="shared" ca="1" si="74"/>
        <v>1.3577583541848424</v>
      </c>
      <c r="N178" s="357">
        <f t="shared" ca="1" si="75"/>
        <v>77.79382329342026</v>
      </c>
      <c r="O178" s="343"/>
      <c r="P178" s="363">
        <f t="shared" ca="1" si="76"/>
        <v>7</v>
      </c>
      <c r="Q178" s="357">
        <f t="shared" ca="1" si="77"/>
        <v>941.08181818181799</v>
      </c>
      <c r="R178" s="359">
        <f t="shared" ca="1" si="78"/>
        <v>0.47141824285494088</v>
      </c>
      <c r="S178" s="360">
        <f t="shared" ca="1" si="79"/>
        <v>10.632773100231441</v>
      </c>
      <c r="T178" s="357">
        <f t="shared" ca="1" si="59"/>
        <v>104.30750411327044</v>
      </c>
      <c r="U178" s="364">
        <f t="shared" ca="1" si="60"/>
        <v>0</v>
      </c>
      <c r="V178" s="359">
        <f t="shared" ca="1" si="61"/>
        <v>1.2104824654237412</v>
      </c>
      <c r="W178" s="357">
        <f t="shared" ca="1" si="62"/>
        <v>52.822106981910309</v>
      </c>
      <c r="X178" s="343"/>
      <c r="Y178" s="367" t="str">
        <f t="shared" ca="1" si="80"/>
        <v/>
      </c>
      <c r="Z178" s="368" t="str">
        <f t="shared" ca="1" si="81"/>
        <v/>
      </c>
      <c r="AA178" s="369" t="str">
        <f t="shared" ca="1" si="82"/>
        <v/>
      </c>
      <c r="AB178" s="344"/>
      <c r="AC178" s="363" t="e">
        <f t="shared" ca="1" si="83"/>
        <v>#N/A</v>
      </c>
      <c r="AD178" s="376" t="e">
        <f t="shared" ca="1" si="84"/>
        <v>#N/A</v>
      </c>
      <c r="AE178" s="377">
        <f t="shared" ca="1" si="63"/>
        <v>119.21690903024488</v>
      </c>
      <c r="AF178" s="344"/>
      <c r="AG178" s="359">
        <f t="shared" ca="1" si="85"/>
        <v>74.003410859158961</v>
      </c>
      <c r="AH178" s="357">
        <f t="shared" ca="1" si="86"/>
        <v>83.591946754828115</v>
      </c>
    </row>
    <row r="179" spans="1:34" x14ac:dyDescent="0.25">
      <c r="A179" s="402">
        <f t="shared" ca="1" si="64"/>
        <v>0.01</v>
      </c>
      <c r="B179" s="357">
        <f t="shared" ca="1" si="65"/>
        <v>1.7500000000000013</v>
      </c>
      <c r="C179" s="342"/>
      <c r="D179" s="359">
        <f t="shared" ca="1" si="66"/>
        <v>17.645596417278981</v>
      </c>
      <c r="E179" s="360">
        <f t="shared" ca="1" si="67"/>
        <v>71.76154090293673</v>
      </c>
      <c r="F179" s="357">
        <f t="shared" ca="1" si="68"/>
        <v>73.899159844245531</v>
      </c>
      <c r="G179" s="359">
        <f t="shared" ca="1" si="69"/>
        <v>29.533055429615466</v>
      </c>
      <c r="H179" s="360">
        <f t="shared" ca="1" si="70"/>
        <v>136.42643462023938</v>
      </c>
      <c r="I179" s="357">
        <f t="shared" ca="1" si="71"/>
        <v>139.58643711406631</v>
      </c>
      <c r="J179" s="359">
        <f t="shared" ca="1" si="72"/>
        <v>24.632720152492837</v>
      </c>
      <c r="K179" s="360">
        <f t="shared" ca="1" si="73"/>
        <v>120.57758529940213</v>
      </c>
      <c r="L179" s="357">
        <f t="shared" ca="1" si="58"/>
        <v>123.06796893889825</v>
      </c>
      <c r="M179" s="359">
        <f t="shared" ca="1" si="74"/>
        <v>1.3576097631065349</v>
      </c>
      <c r="N179" s="357">
        <f t="shared" ca="1" si="75"/>
        <v>77.785309651759945</v>
      </c>
      <c r="O179" s="343"/>
      <c r="P179" s="363">
        <f t="shared" ca="1" si="76"/>
        <v>7</v>
      </c>
      <c r="Q179" s="357">
        <f t="shared" ca="1" si="77"/>
        <v>939.82207792207771</v>
      </c>
      <c r="R179" s="359">
        <f t="shared" ca="1" si="78"/>
        <v>0.47078719831850757</v>
      </c>
      <c r="S179" s="360">
        <f t="shared" ca="1" si="79"/>
        <v>10.628065228248255</v>
      </c>
      <c r="T179" s="357">
        <f t="shared" ca="1" si="59"/>
        <v>104.26131988911538</v>
      </c>
      <c r="U179" s="364">
        <f t="shared" ca="1" si="60"/>
        <v>0</v>
      </c>
      <c r="V179" s="359">
        <f t="shared" ca="1" si="61"/>
        <v>1.2103177632336277</v>
      </c>
      <c r="W179" s="357">
        <f t="shared" ca="1" si="62"/>
        <v>53.378389888063055</v>
      </c>
      <c r="X179" s="343"/>
      <c r="Y179" s="367" t="str">
        <f t="shared" ca="1" si="80"/>
        <v/>
      </c>
      <c r="Z179" s="368" t="str">
        <f t="shared" ca="1" si="81"/>
        <v/>
      </c>
      <c r="AA179" s="369" t="str">
        <f t="shared" ca="1" si="82"/>
        <v/>
      </c>
      <c r="AB179" s="344"/>
      <c r="AC179" s="363" t="e">
        <f t="shared" ca="1" si="83"/>
        <v>#N/A</v>
      </c>
      <c r="AD179" s="376" t="e">
        <f t="shared" ca="1" si="84"/>
        <v>#N/A</v>
      </c>
      <c r="AE179" s="377">
        <f t="shared" ca="1" si="63"/>
        <v>120.57758529940213</v>
      </c>
      <c r="AF179" s="344"/>
      <c r="AG179" s="359">
        <f t="shared" ca="1" si="85"/>
        <v>73.870046776678691</v>
      </c>
      <c r="AH179" s="357">
        <f t="shared" ca="1" si="86"/>
        <v>83.458273156116576</v>
      </c>
    </row>
    <row r="180" spans="1:34" x14ac:dyDescent="0.25">
      <c r="A180" s="402">
        <f t="shared" ca="1" si="64"/>
        <v>0.01</v>
      </c>
      <c r="B180" s="357">
        <f t="shared" ca="1" si="65"/>
        <v>1.7600000000000013</v>
      </c>
      <c r="C180" s="342"/>
      <c r="D180" s="359">
        <f t="shared" ca="1" si="66"/>
        <v>17.629363767395702</v>
      </c>
      <c r="E180" s="360">
        <f t="shared" ca="1" si="67"/>
        <v>71.627941602114262</v>
      </c>
      <c r="F180" s="357">
        <f t="shared" ca="1" si="68"/>
        <v>73.765550801163656</v>
      </c>
      <c r="G180" s="359">
        <f t="shared" ca="1" si="69"/>
        <v>29.709349067289423</v>
      </c>
      <c r="H180" s="360">
        <f t="shared" ca="1" si="70"/>
        <v>137.14271403626051</v>
      </c>
      <c r="I180" s="357">
        <f t="shared" ca="1" si="71"/>
        <v>140.32380209798185</v>
      </c>
      <c r="J180" s="359">
        <f t="shared" ca="1" si="72"/>
        <v>24.928932174977362</v>
      </c>
      <c r="K180" s="360">
        <f t="shared" ca="1" si="73"/>
        <v>121.94543104268463</v>
      </c>
      <c r="L180" s="357">
        <f t="shared" ca="1" si="58"/>
        <v>124.46742470048449</v>
      </c>
      <c r="M180" s="359">
        <f t="shared" ca="1" si="74"/>
        <v>1.3574618513059931</v>
      </c>
      <c r="N180" s="357">
        <f t="shared" ca="1" si="75"/>
        <v>77.776834929848718</v>
      </c>
      <c r="O180" s="343"/>
      <c r="P180" s="363">
        <f t="shared" ca="1" si="76"/>
        <v>7</v>
      </c>
      <c r="Q180" s="357">
        <f t="shared" ca="1" si="77"/>
        <v>938.56233766233743</v>
      </c>
      <c r="R180" s="359">
        <f t="shared" ca="1" si="78"/>
        <v>0.4701561537820742</v>
      </c>
      <c r="S180" s="360">
        <f t="shared" ca="1" si="79"/>
        <v>10.623363666710434</v>
      </c>
      <c r="T180" s="357">
        <f t="shared" ca="1" si="59"/>
        <v>104.21519757042937</v>
      </c>
      <c r="U180" s="364">
        <f t="shared" ca="1" si="60"/>
        <v>0</v>
      </c>
      <c r="V180" s="359">
        <f t="shared" ca="1" si="61"/>
        <v>1.2101522156702771</v>
      </c>
      <c r="W180" s="357">
        <f t="shared" ca="1" si="62"/>
        <v>53.936443356973179</v>
      </c>
      <c r="X180" s="343"/>
      <c r="Y180" s="367" t="str">
        <f t="shared" ca="1" si="80"/>
        <v/>
      </c>
      <c r="Z180" s="368" t="str">
        <f t="shared" ca="1" si="81"/>
        <v/>
      </c>
      <c r="AA180" s="369" t="str">
        <f t="shared" ca="1" si="82"/>
        <v/>
      </c>
      <c r="AB180" s="344"/>
      <c r="AC180" s="363" t="e">
        <f t="shared" ca="1" si="83"/>
        <v>#N/A</v>
      </c>
      <c r="AD180" s="376" t="e">
        <f t="shared" ca="1" si="84"/>
        <v>#N/A</v>
      </c>
      <c r="AE180" s="377">
        <f t="shared" ca="1" si="63"/>
        <v>121.94543104268463</v>
      </c>
      <c r="AF180" s="344"/>
      <c r="AG180" s="359">
        <f t="shared" ca="1" si="85"/>
        <v>73.736344892044812</v>
      </c>
      <c r="AH180" s="357">
        <f t="shared" ca="1" si="86"/>
        <v>83.324262968432777</v>
      </c>
    </row>
    <row r="181" spans="1:34" x14ac:dyDescent="0.25">
      <c r="A181" s="402">
        <f t="shared" ca="1" si="64"/>
        <v>0.01</v>
      </c>
      <c r="B181" s="357">
        <f t="shared" ca="1" si="65"/>
        <v>1.7700000000000014</v>
      </c>
      <c r="C181" s="342"/>
      <c r="D181" s="359">
        <f t="shared" ca="1" si="66"/>
        <v>17.61296568207489</v>
      </c>
      <c r="E181" s="360">
        <f t="shared" ca="1" si="67"/>
        <v>71.494033635889025</v>
      </c>
      <c r="F181" s="357">
        <f t="shared" ca="1" si="68"/>
        <v>73.631606023823622</v>
      </c>
      <c r="G181" s="359">
        <f t="shared" ca="1" si="69"/>
        <v>29.885478724110172</v>
      </c>
      <c r="H181" s="360">
        <f t="shared" ca="1" si="70"/>
        <v>137.85765437261941</v>
      </c>
      <c r="I181" s="357">
        <f t="shared" ca="1" si="71"/>
        <v>141.0598266966532</v>
      </c>
      <c r="J181" s="359">
        <f t="shared" ca="1" si="72"/>
        <v>25.226906313934361</v>
      </c>
      <c r="K181" s="360">
        <f t="shared" ca="1" si="73"/>
        <v>123.32043288472903</v>
      </c>
      <c r="L181" s="357">
        <f t="shared" ca="1" si="58"/>
        <v>125.87424664739399</v>
      </c>
      <c r="M181" s="359">
        <f t="shared" ca="1" si="74"/>
        <v>1.3573146107475142</v>
      </c>
      <c r="N181" s="357">
        <f t="shared" ca="1" si="75"/>
        <v>77.768398667274738</v>
      </c>
      <c r="O181" s="343"/>
      <c r="P181" s="363">
        <f t="shared" ca="1" si="76"/>
        <v>7</v>
      </c>
      <c r="Q181" s="357">
        <f t="shared" ca="1" si="77"/>
        <v>937.30259740259714</v>
      </c>
      <c r="R181" s="359">
        <f t="shared" ca="1" si="78"/>
        <v>0.46952510924564089</v>
      </c>
      <c r="S181" s="360">
        <f t="shared" ca="1" si="79"/>
        <v>10.618668415617977</v>
      </c>
      <c r="T181" s="357">
        <f t="shared" ca="1" si="59"/>
        <v>104.16913715721236</v>
      </c>
      <c r="U181" s="364">
        <f t="shared" ca="1" si="60"/>
        <v>0</v>
      </c>
      <c r="V181" s="359">
        <f t="shared" ca="1" si="61"/>
        <v>1.2099858247014821</v>
      </c>
      <c r="W181" s="357">
        <f t="shared" ca="1" si="62"/>
        <v>54.496246690262787</v>
      </c>
      <c r="X181" s="343"/>
      <c r="Y181" s="367" t="str">
        <f t="shared" ca="1" si="80"/>
        <v/>
      </c>
      <c r="Z181" s="368" t="str">
        <f t="shared" ca="1" si="81"/>
        <v/>
      </c>
      <c r="AA181" s="369" t="str">
        <f t="shared" ca="1" si="82"/>
        <v/>
      </c>
      <c r="AB181" s="344"/>
      <c r="AC181" s="363" t="e">
        <f t="shared" ca="1" si="83"/>
        <v>#N/A</v>
      </c>
      <c r="AD181" s="376" t="e">
        <f t="shared" ca="1" si="84"/>
        <v>#N/A</v>
      </c>
      <c r="AE181" s="377">
        <f t="shared" ca="1" si="63"/>
        <v>123.32043288472903</v>
      </c>
      <c r="AF181" s="344"/>
      <c r="AG181" s="359">
        <f t="shared" ca="1" si="85"/>
        <v>73.602306959818421</v>
      </c>
      <c r="AH181" s="357">
        <f t="shared" ca="1" si="86"/>
        <v>83.189917932305491</v>
      </c>
    </row>
    <row r="182" spans="1:34" x14ac:dyDescent="0.25">
      <c r="A182" s="402">
        <f t="shared" ca="1" si="64"/>
        <v>0.01</v>
      </c>
      <c r="B182" s="357">
        <f t="shared" ca="1" si="65"/>
        <v>1.7800000000000014</v>
      </c>
      <c r="C182" s="342"/>
      <c r="D182" s="359">
        <f t="shared" ca="1" si="66"/>
        <v>17.596403312616697</v>
      </c>
      <c r="E182" s="360">
        <f t="shared" ca="1" si="67"/>
        <v>71.359818575297197</v>
      </c>
      <c r="F182" s="357">
        <f t="shared" ca="1" si="68"/>
        <v>73.497327275483954</v>
      </c>
      <c r="G182" s="359">
        <f t="shared" ca="1" si="69"/>
        <v>30.061442757236339</v>
      </c>
      <c r="H182" s="360">
        <f t="shared" ca="1" si="70"/>
        <v>138.57125255837238</v>
      </c>
      <c r="I182" s="357">
        <f t="shared" ca="1" si="71"/>
        <v>141.79450756726376</v>
      </c>
      <c r="J182" s="359">
        <f t="shared" ca="1" si="72"/>
        <v>25.526640921341095</v>
      </c>
      <c r="K182" s="360">
        <f t="shared" ca="1" si="73"/>
        <v>124.70257741938399</v>
      </c>
      <c r="L182" s="357">
        <f t="shared" ca="1" si="58"/>
        <v>127.28842135781456</v>
      </c>
      <c r="M182" s="359">
        <f t="shared" ca="1" si="74"/>
        <v>1.357168033530636</v>
      </c>
      <c r="N182" s="357">
        <f t="shared" ca="1" si="75"/>
        <v>77.760000411374833</v>
      </c>
      <c r="O182" s="343"/>
      <c r="P182" s="363">
        <f t="shared" ca="1" si="76"/>
        <v>7</v>
      </c>
      <c r="Q182" s="357">
        <f t="shared" ca="1" si="77"/>
        <v>936.04285714285697</v>
      </c>
      <c r="R182" s="359">
        <f t="shared" ca="1" si="78"/>
        <v>0.46889406470920758</v>
      </c>
      <c r="S182" s="360">
        <f t="shared" ca="1" si="79"/>
        <v>10.613979474970884</v>
      </c>
      <c r="T182" s="357">
        <f t="shared" ca="1" si="59"/>
        <v>104.12313864946438</v>
      </c>
      <c r="U182" s="364">
        <f t="shared" ca="1" si="60"/>
        <v>0</v>
      </c>
      <c r="V182" s="359">
        <f t="shared" ca="1" si="61"/>
        <v>1.2098185922995806</v>
      </c>
      <c r="W182" s="357">
        <f t="shared" ca="1" si="62"/>
        <v>55.057779184579914</v>
      </c>
      <c r="X182" s="343"/>
      <c r="Y182" s="367" t="str">
        <f t="shared" ca="1" si="80"/>
        <v/>
      </c>
      <c r="Z182" s="368" t="str">
        <f t="shared" ca="1" si="81"/>
        <v/>
      </c>
      <c r="AA182" s="369" t="str">
        <f t="shared" ca="1" si="82"/>
        <v/>
      </c>
      <c r="AB182" s="344"/>
      <c r="AC182" s="363" t="e">
        <f t="shared" ca="1" si="83"/>
        <v>#N/A</v>
      </c>
      <c r="AD182" s="376" t="e">
        <f t="shared" ca="1" si="84"/>
        <v>#N/A</v>
      </c>
      <c r="AE182" s="377">
        <f t="shared" ca="1" si="63"/>
        <v>124.70257741938399</v>
      </c>
      <c r="AF182" s="344"/>
      <c r="AG182" s="359">
        <f t="shared" ca="1" si="85"/>
        <v>73.467934739154884</v>
      </c>
      <c r="AH182" s="357">
        <f t="shared" ca="1" si="86"/>
        <v>83.055239793085477</v>
      </c>
    </row>
    <row r="183" spans="1:34" x14ac:dyDescent="0.25">
      <c r="A183" s="402">
        <f t="shared" ca="1" si="64"/>
        <v>0.01</v>
      </c>
      <c r="B183" s="357">
        <f t="shared" ca="1" si="65"/>
        <v>1.7900000000000014</v>
      </c>
      <c r="C183" s="342"/>
      <c r="D183" s="359">
        <f t="shared" ca="1" si="66"/>
        <v>17.579677798337428</v>
      </c>
      <c r="E183" s="360">
        <f t="shared" ca="1" si="67"/>
        <v>71.225297998191664</v>
      </c>
      <c r="F183" s="357">
        <f t="shared" ca="1" si="68"/>
        <v>73.362716323924118</v>
      </c>
      <c r="G183" s="359">
        <f t="shared" ca="1" si="69"/>
        <v>30.237239535219715</v>
      </c>
      <c r="H183" s="360">
        <f t="shared" ca="1" si="70"/>
        <v>139.28350553835429</v>
      </c>
      <c r="I183" s="357">
        <f t="shared" ca="1" si="71"/>
        <v>142.52784138463272</v>
      </c>
      <c r="J183" s="359">
        <f t="shared" ca="1" si="72"/>
        <v>25.828134332803376</v>
      </c>
      <c r="K183" s="360">
        <f t="shared" ca="1" si="73"/>
        <v>126.09185120986761</v>
      </c>
      <c r="L183" s="357">
        <f t="shared" ca="1" si="58"/>
        <v>128.70993537658518</v>
      </c>
      <c r="M183" s="359">
        <f t="shared" ca="1" si="74"/>
        <v>1.3570221118870696</v>
      </c>
      <c r="N183" s="357">
        <f t="shared" ca="1" si="75"/>
        <v>77.751639717058865</v>
      </c>
      <c r="O183" s="343"/>
      <c r="P183" s="363">
        <f t="shared" ca="1" si="76"/>
        <v>7</v>
      </c>
      <c r="Q183" s="357">
        <f t="shared" ca="1" si="77"/>
        <v>934.78311688311669</v>
      </c>
      <c r="R183" s="359">
        <f t="shared" ca="1" si="78"/>
        <v>0.46826302017277427</v>
      </c>
      <c r="S183" s="360">
        <f t="shared" ca="1" si="79"/>
        <v>10.609296844769156</v>
      </c>
      <c r="T183" s="357">
        <f t="shared" ca="1" si="59"/>
        <v>104.07720204718542</v>
      </c>
      <c r="U183" s="364">
        <f t="shared" ca="1" si="60"/>
        <v>0</v>
      </c>
      <c r="V183" s="359">
        <f t="shared" ca="1" si="61"/>
        <v>1.2096505204414236</v>
      </c>
      <c r="W183" s="357">
        <f t="shared" ca="1" si="62"/>
        <v>55.621020132413399</v>
      </c>
      <c r="X183" s="343"/>
      <c r="Y183" s="367" t="str">
        <f t="shared" ca="1" si="80"/>
        <v/>
      </c>
      <c r="Z183" s="368" t="str">
        <f t="shared" ca="1" si="81"/>
        <v/>
      </c>
      <c r="AA183" s="369" t="str">
        <f t="shared" ca="1" si="82"/>
        <v/>
      </c>
      <c r="AB183" s="344"/>
      <c r="AC183" s="363" t="e">
        <f t="shared" ca="1" si="83"/>
        <v>#N/A</v>
      </c>
      <c r="AD183" s="376" t="e">
        <f t="shared" ca="1" si="84"/>
        <v>#N/A</v>
      </c>
      <c r="AE183" s="377">
        <f t="shared" ca="1" si="63"/>
        <v>126.09185120986761</v>
      </c>
      <c r="AF183" s="344"/>
      <c r="AG183" s="359">
        <f t="shared" ca="1" si="85"/>
        <v>73.333229993732033</v>
      </c>
      <c r="AH183" s="357">
        <f t="shared" ca="1" si="86"/>
        <v>82.920230300868582</v>
      </c>
    </row>
    <row r="184" spans="1:34" x14ac:dyDescent="0.25">
      <c r="A184" s="402">
        <f t="shared" ca="1" si="64"/>
        <v>0.01</v>
      </c>
      <c r="B184" s="357">
        <f t="shared" ca="1" si="65"/>
        <v>1.8000000000000014</v>
      </c>
      <c r="C184" s="342"/>
      <c r="D184" s="359">
        <f t="shared" ca="1" si="66"/>
        <v>17.562790266859704</v>
      </c>
      <c r="E184" s="360">
        <f t="shared" ca="1" si="67"/>
        <v>71.090473489116533</v>
      </c>
      <c r="F184" s="357">
        <f t="shared" ca="1" si="68"/>
        <v>73.227774941373738</v>
      </c>
      <c r="G184" s="359">
        <f t="shared" ca="1" si="69"/>
        <v>30.412867437888313</v>
      </c>
      <c r="H184" s="360">
        <f t="shared" ca="1" si="70"/>
        <v>139.99441027324545</v>
      </c>
      <c r="I184" s="357">
        <f t="shared" ca="1" si="71"/>
        <v>143.25982484125944</v>
      </c>
      <c r="J184" s="359">
        <f t="shared" ca="1" si="72"/>
        <v>26.131384867668917</v>
      </c>
      <c r="K184" s="360">
        <f t="shared" ca="1" si="73"/>
        <v>127.48824078892561</v>
      </c>
      <c r="L184" s="357">
        <f t="shared" ca="1" si="58"/>
        <v>130.13877521537273</v>
      </c>
      <c r="M184" s="359">
        <f t="shared" ca="1" si="74"/>
        <v>1.3568768381777219</v>
      </c>
      <c r="N184" s="357">
        <f t="shared" ca="1" si="75"/>
        <v>77.743316146639032</v>
      </c>
      <c r="O184" s="343"/>
      <c r="P184" s="363">
        <f t="shared" ca="1" si="76"/>
        <v>7</v>
      </c>
      <c r="Q184" s="357">
        <f t="shared" ca="1" si="77"/>
        <v>933.52337662337641</v>
      </c>
      <c r="R184" s="359">
        <f t="shared" ca="1" si="78"/>
        <v>0.4676319756363409</v>
      </c>
      <c r="S184" s="360">
        <f t="shared" ca="1" si="79"/>
        <v>10.604620525012793</v>
      </c>
      <c r="T184" s="357">
        <f t="shared" ca="1" si="59"/>
        <v>104.03132735037551</v>
      </c>
      <c r="U184" s="364">
        <f t="shared" ca="1" si="60"/>
        <v>0</v>
      </c>
      <c r="V184" s="359">
        <f t="shared" ca="1" si="61"/>
        <v>1.2094816111083404</v>
      </c>
      <c r="W184" s="357">
        <f t="shared" ca="1" si="62"/>
        <v>56.185948822905523</v>
      </c>
      <c r="X184" s="343"/>
      <c r="Y184" s="367" t="str">
        <f t="shared" ca="1" si="80"/>
        <v/>
      </c>
      <c r="Z184" s="368" t="str">
        <f t="shared" ca="1" si="81"/>
        <v/>
      </c>
      <c r="AA184" s="369" t="str">
        <f t="shared" ca="1" si="82"/>
        <v/>
      </c>
      <c r="AB184" s="344"/>
      <c r="AC184" s="363" t="e">
        <f t="shared" ca="1" si="83"/>
        <v>#N/A</v>
      </c>
      <c r="AD184" s="376" t="e">
        <f t="shared" ca="1" si="84"/>
        <v>#N/A</v>
      </c>
      <c r="AE184" s="377">
        <f t="shared" ca="1" si="63"/>
        <v>127.48824078892561</v>
      </c>
      <c r="AF184" s="344"/>
      <c r="AG184" s="359">
        <f t="shared" ca="1" si="85"/>
        <v>73.198194491678535</v>
      </c>
      <c r="AH184" s="357">
        <f t="shared" ca="1" si="86"/>
        <v>82.784891210419246</v>
      </c>
    </row>
    <row r="185" spans="1:34" x14ac:dyDescent="0.25">
      <c r="A185" s="402">
        <f t="shared" ca="1" si="64"/>
        <v>0.01</v>
      </c>
      <c r="B185" s="357">
        <f t="shared" ca="1" si="65"/>
        <v>1.8100000000000014</v>
      </c>
      <c r="C185" s="342"/>
      <c r="D185" s="359">
        <f t="shared" ca="1" si="66"/>
        <v>17.545741834393692</v>
      </c>
      <c r="E185" s="360">
        <f t="shared" ca="1" si="67"/>
        <v>70.955346639182508</v>
      </c>
      <c r="F185" s="357">
        <f t="shared" ca="1" si="68"/>
        <v>73.092504904441071</v>
      </c>
      <c r="G185" s="359">
        <f t="shared" ca="1" si="69"/>
        <v>30.588324856232248</v>
      </c>
      <c r="H185" s="360">
        <f t="shared" ca="1" si="70"/>
        <v>140.70396373963729</v>
      </c>
      <c r="I185" s="357">
        <f t="shared" ca="1" si="71"/>
        <v>143.99045464736739</v>
      </c>
      <c r="J185" s="359">
        <f t="shared" ca="1" si="72"/>
        <v>26.436390829139519</v>
      </c>
      <c r="K185" s="360">
        <f t="shared" ca="1" si="73"/>
        <v>128.89173265899001</v>
      </c>
      <c r="L185" s="357">
        <f t="shared" ca="1" si="58"/>
        <v>131.57492735284927</v>
      </c>
      <c r="M185" s="359">
        <f t="shared" ca="1" si="74"/>
        <v>1.3567322048898014</v>
      </c>
      <c r="N185" s="357">
        <f t="shared" ca="1" si="75"/>
        <v>77.735029269664096</v>
      </c>
      <c r="O185" s="343"/>
      <c r="P185" s="363">
        <f t="shared" ca="1" si="76"/>
        <v>7</v>
      </c>
      <c r="Q185" s="357">
        <f t="shared" ca="1" si="77"/>
        <v>932.26363636363612</v>
      </c>
      <c r="R185" s="359">
        <f t="shared" ca="1" si="78"/>
        <v>0.46700093109990753</v>
      </c>
      <c r="S185" s="360">
        <f t="shared" ca="1" si="79"/>
        <v>10.599950515701794</v>
      </c>
      <c r="T185" s="357">
        <f t="shared" ca="1" si="59"/>
        <v>103.9855145590346</v>
      </c>
      <c r="U185" s="364">
        <f t="shared" ca="1" si="60"/>
        <v>0</v>
      </c>
      <c r="V185" s="359">
        <f t="shared" ca="1" si="61"/>
        <v>1.2093118662861022</v>
      </c>
      <c r="W185" s="357">
        <f t="shared" ca="1" si="62"/>
        <v>56.752544542662946</v>
      </c>
      <c r="X185" s="343"/>
      <c r="Y185" s="367" t="str">
        <f t="shared" ca="1" si="80"/>
        <v/>
      </c>
      <c r="Z185" s="368" t="str">
        <f t="shared" ca="1" si="81"/>
        <v/>
      </c>
      <c r="AA185" s="369" t="str">
        <f t="shared" ca="1" si="82"/>
        <v/>
      </c>
      <c r="AB185" s="344"/>
      <c r="AC185" s="363" t="e">
        <f t="shared" ca="1" si="83"/>
        <v>#N/A</v>
      </c>
      <c r="AD185" s="376" t="e">
        <f t="shared" ca="1" si="84"/>
        <v>#N/A</v>
      </c>
      <c r="AE185" s="377">
        <f t="shared" ca="1" si="63"/>
        <v>128.89173265899001</v>
      </c>
      <c r="AF185" s="344"/>
      <c r="AG185" s="359">
        <f t="shared" ca="1" si="85"/>
        <v>73.062830005501709</v>
      </c>
      <c r="AH185" s="357">
        <f t="shared" ca="1" si="86"/>
        <v>82.649224281093538</v>
      </c>
    </row>
    <row r="186" spans="1:34" x14ac:dyDescent="0.25">
      <c r="A186" s="402">
        <f t="shared" ca="1" si="64"/>
        <v>0.01</v>
      </c>
      <c r="B186" s="357">
        <f t="shared" ca="1" si="65"/>
        <v>1.8200000000000014</v>
      </c>
      <c r="C186" s="342"/>
      <c r="D186" s="359">
        <f t="shared" ca="1" si="66"/>
        <v>17.528533606009933</v>
      </c>
      <c r="E186" s="360">
        <f t="shared" ca="1" si="67"/>
        <v>70.819919045943792</v>
      </c>
      <c r="F186" s="357">
        <f t="shared" ca="1" si="68"/>
        <v>72.9569079940416</v>
      </c>
      <c r="G186" s="359">
        <f t="shared" ca="1" si="69"/>
        <v>30.763610192292347</v>
      </c>
      <c r="H186" s="360">
        <f t="shared" ca="1" si="70"/>
        <v>141.41216293009671</v>
      </c>
      <c r="I186" s="357">
        <f t="shared" ca="1" si="71"/>
        <v>144.71972753094698</v>
      </c>
      <c r="J186" s="359">
        <f t="shared" ca="1" si="72"/>
        <v>26.743150504382143</v>
      </c>
      <c r="K186" s="360">
        <f t="shared" ca="1" si="73"/>
        <v>130.30231329233868</v>
      </c>
      <c r="L186" s="357">
        <f t="shared" ca="1" si="58"/>
        <v>133.01837823486954</v>
      </c>
      <c r="M186" s="359">
        <f t="shared" ca="1" si="74"/>
        <v>1.3565882046340023</v>
      </c>
      <c r="N186" s="357">
        <f t="shared" ca="1" si="75"/>
        <v>77.726778662757994</v>
      </c>
      <c r="O186" s="343"/>
      <c r="P186" s="363">
        <f t="shared" ca="1" si="76"/>
        <v>7</v>
      </c>
      <c r="Q186" s="357">
        <f t="shared" ca="1" si="77"/>
        <v>931.00389610389584</v>
      </c>
      <c r="R186" s="359">
        <f t="shared" ca="1" si="78"/>
        <v>0.46636988656347422</v>
      </c>
      <c r="S186" s="360">
        <f t="shared" ca="1" si="79"/>
        <v>10.595286816836159</v>
      </c>
      <c r="T186" s="357">
        <f t="shared" ca="1" si="59"/>
        <v>103.93976367316273</v>
      </c>
      <c r="U186" s="364">
        <f t="shared" ca="1" si="60"/>
        <v>0</v>
      </c>
      <c r="V186" s="359">
        <f t="shared" ca="1" si="61"/>
        <v>1.2091412879648895</v>
      </c>
      <c r="W186" s="357">
        <f t="shared" ca="1" si="62"/>
        <v>57.320786576565538</v>
      </c>
      <c r="X186" s="343"/>
      <c r="Y186" s="367" t="str">
        <f t="shared" ca="1" si="80"/>
        <v/>
      </c>
      <c r="Z186" s="368" t="str">
        <f t="shared" ca="1" si="81"/>
        <v/>
      </c>
      <c r="AA186" s="369" t="str">
        <f t="shared" ca="1" si="82"/>
        <v/>
      </c>
      <c r="AB186" s="344"/>
      <c r="AC186" s="363" t="e">
        <f t="shared" ca="1" si="83"/>
        <v>#N/A</v>
      </c>
      <c r="AD186" s="376" t="e">
        <f t="shared" ca="1" si="84"/>
        <v>#N/A</v>
      </c>
      <c r="AE186" s="377">
        <f t="shared" ca="1" si="63"/>
        <v>130.30231329233868</v>
      </c>
      <c r="AF186" s="344"/>
      <c r="AG186" s="359">
        <f t="shared" ca="1" si="85"/>
        <v>72.927138312015387</v>
      </c>
      <c r="AH186" s="357">
        <f t="shared" ca="1" si="86"/>
        <v>82.513231276762326</v>
      </c>
    </row>
    <row r="187" spans="1:34" x14ac:dyDescent="0.25">
      <c r="A187" s="402">
        <f t="shared" ca="1" si="64"/>
        <v>0.01</v>
      </c>
      <c r="B187" s="357">
        <f t="shared" ca="1" si="65"/>
        <v>1.8300000000000014</v>
      </c>
      <c r="C187" s="342"/>
      <c r="D187" s="359">
        <f t="shared" ca="1" si="66"/>
        <v>17.511166675904207</v>
      </c>
      <c r="E187" s="360">
        <f t="shared" ca="1" si="67"/>
        <v>70.684192313276242</v>
      </c>
      <c r="F187" s="357">
        <f t="shared" ca="1" si="68"/>
        <v>72.820985995326367</v>
      </c>
      <c r="G187" s="359">
        <f t="shared" ca="1" si="69"/>
        <v>30.938721859051391</v>
      </c>
      <c r="H187" s="360">
        <f t="shared" ca="1" si="70"/>
        <v>142.11900485322948</v>
      </c>
      <c r="I187" s="357">
        <f t="shared" ca="1" si="71"/>
        <v>145.44764023779834</v>
      </c>
      <c r="J187" s="359">
        <f t="shared" ca="1" si="72"/>
        <v>27.051662164638863</v>
      </c>
      <c r="K187" s="360">
        <f t="shared" ca="1" si="73"/>
        <v>131.71996913125531</v>
      </c>
      <c r="L187" s="357">
        <f t="shared" ca="1" si="58"/>
        <v>134.46911427464897</v>
      </c>
      <c r="M187" s="359">
        <f t="shared" ca="1" si="74"/>
        <v>1.3564448301417713</v>
      </c>
      <c r="N187" s="357">
        <f t="shared" ca="1" si="75"/>
        <v>77.718563909463327</v>
      </c>
      <c r="O187" s="343"/>
      <c r="P187" s="363">
        <f t="shared" ca="1" si="76"/>
        <v>7</v>
      </c>
      <c r="Q187" s="357">
        <f t="shared" ca="1" si="77"/>
        <v>929.74415584415556</v>
      </c>
      <c r="R187" s="359">
        <f t="shared" ca="1" si="78"/>
        <v>0.46573884202704086</v>
      </c>
      <c r="S187" s="360">
        <f t="shared" ca="1" si="79"/>
        <v>10.590629428415889</v>
      </c>
      <c r="T187" s="357">
        <f t="shared" ca="1" si="59"/>
        <v>103.89407469275987</v>
      </c>
      <c r="U187" s="364">
        <f t="shared" ca="1" si="60"/>
        <v>0</v>
      </c>
      <c r="V187" s="359">
        <f t="shared" ca="1" si="61"/>
        <v>1.2089698781392546</v>
      </c>
      <c r="W187" s="357">
        <f t="shared" ca="1" si="62"/>
        <v>57.890654208573544</v>
      </c>
      <c r="X187" s="343"/>
      <c r="Y187" s="367" t="str">
        <f t="shared" ca="1" si="80"/>
        <v/>
      </c>
      <c r="Z187" s="368" t="str">
        <f t="shared" ca="1" si="81"/>
        <v/>
      </c>
      <c r="AA187" s="369" t="str">
        <f t="shared" ca="1" si="82"/>
        <v/>
      </c>
      <c r="AB187" s="344"/>
      <c r="AC187" s="363" t="e">
        <f t="shared" ca="1" si="83"/>
        <v>#N/A</v>
      </c>
      <c r="AD187" s="376" t="e">
        <f t="shared" ca="1" si="84"/>
        <v>#N/A</v>
      </c>
      <c r="AE187" s="377">
        <f t="shared" ca="1" si="63"/>
        <v>131.71996913125531</v>
      </c>
      <c r="AF187" s="344"/>
      <c r="AG187" s="359">
        <f t="shared" ca="1" si="85"/>
        <v>72.791121192267454</v>
      </c>
      <c r="AH187" s="357">
        <f t="shared" ca="1" si="86"/>
        <v>82.376913965734346</v>
      </c>
    </row>
    <row r="188" spans="1:34" x14ac:dyDescent="0.25">
      <c r="A188" s="402">
        <f t="shared" ca="1" si="64"/>
        <v>0.01</v>
      </c>
      <c r="B188" s="357">
        <f t="shared" ca="1" si="65"/>
        <v>1.8400000000000014</v>
      </c>
      <c r="C188" s="342"/>
      <c r="D188" s="359">
        <f t="shared" ca="1" si="66"/>
        <v>17.493642127654155</v>
      </c>
      <c r="E188" s="360">
        <f t="shared" ca="1" si="67"/>
        <v>70.548168051256738</v>
      </c>
      <c r="F188" s="357">
        <f t="shared" ca="1" si="68"/>
        <v>72.684740697609968</v>
      </c>
      <c r="G188" s="359">
        <f t="shared" ca="1" si="69"/>
        <v>31.113658280327932</v>
      </c>
      <c r="H188" s="360">
        <f t="shared" ca="1" si="70"/>
        <v>142.82448653374206</v>
      </c>
      <c r="I188" s="357">
        <f t="shared" ca="1" si="71"/>
        <v>146.17418953157252</v>
      </c>
      <c r="J188" s="359">
        <f t="shared" ca="1" si="72"/>
        <v>27.36192406533576</v>
      </c>
      <c r="K188" s="360">
        <f t="shared" ca="1" si="73"/>
        <v>133.14468658819018</v>
      </c>
      <c r="L188" s="357">
        <f t="shared" ca="1" si="58"/>
        <v>135.92712185294218</v>
      </c>
      <c r="M188" s="359">
        <f t="shared" ca="1" si="74"/>
        <v>1.3563020742626455</v>
      </c>
      <c r="N188" s="357">
        <f t="shared" ca="1" si="75"/>
        <v>77.710384600088744</v>
      </c>
      <c r="O188" s="343"/>
      <c r="P188" s="363">
        <f t="shared" ca="1" si="76"/>
        <v>7</v>
      </c>
      <c r="Q188" s="357">
        <f t="shared" ca="1" si="77"/>
        <v>928.48441558441539</v>
      </c>
      <c r="R188" s="359">
        <f t="shared" ca="1" si="78"/>
        <v>0.4651077974906076</v>
      </c>
      <c r="S188" s="360">
        <f t="shared" ca="1" si="79"/>
        <v>10.585978350440984</v>
      </c>
      <c r="T188" s="357">
        <f t="shared" ca="1" si="59"/>
        <v>103.84844761782605</v>
      </c>
      <c r="U188" s="364">
        <f t="shared" ca="1" si="60"/>
        <v>0</v>
      </c>
      <c r="V188" s="359">
        <f t="shared" ca="1" si="61"/>
        <v>1.2087976388080908</v>
      </c>
      <c r="W188" s="357">
        <f t="shared" ca="1" si="62"/>
        <v>58.462126722532361</v>
      </c>
      <c r="X188" s="343"/>
      <c r="Y188" s="367" t="str">
        <f t="shared" ca="1" si="80"/>
        <v/>
      </c>
      <c r="Z188" s="368" t="str">
        <f t="shared" ca="1" si="81"/>
        <v/>
      </c>
      <c r="AA188" s="369" t="str">
        <f t="shared" ca="1" si="82"/>
        <v/>
      </c>
      <c r="AB188" s="344"/>
      <c r="AC188" s="363" t="e">
        <f t="shared" ca="1" si="83"/>
        <v>#N/A</v>
      </c>
      <c r="AD188" s="376" t="e">
        <f t="shared" ca="1" si="84"/>
        <v>#N/A</v>
      </c>
      <c r="AE188" s="377">
        <f t="shared" ca="1" si="63"/>
        <v>133.14468658819018</v>
      </c>
      <c r="AF188" s="344"/>
      <c r="AG188" s="359">
        <f t="shared" ca="1" si="85"/>
        <v>72.654780431467273</v>
      </c>
      <c r="AH188" s="357">
        <f t="shared" ca="1" si="86"/>
        <v>82.240274120679189</v>
      </c>
    </row>
    <row r="189" spans="1:34" x14ac:dyDescent="0.25">
      <c r="A189" s="402">
        <f t="shared" ca="1" si="64"/>
        <v>0.01</v>
      </c>
      <c r="B189" s="357">
        <f t="shared" ca="1" si="65"/>
        <v>1.8500000000000014</v>
      </c>
      <c r="C189" s="342"/>
      <c r="D189" s="359">
        <f t="shared" ca="1" si="66"/>
        <v>17.475961034468675</v>
      </c>
      <c r="E189" s="360">
        <f t="shared" ca="1" si="67"/>
        <v>70.411847876043637</v>
      </c>
      <c r="F189" s="357">
        <f t="shared" ca="1" si="68"/>
        <v>72.548173894298529</v>
      </c>
      <c r="G189" s="359">
        <f t="shared" ca="1" si="69"/>
        <v>31.288417890672619</v>
      </c>
      <c r="H189" s="360">
        <f t="shared" ca="1" si="70"/>
        <v>143.52860501250251</v>
      </c>
      <c r="I189" s="357">
        <f t="shared" ca="1" si="71"/>
        <v>146.89937219381272</v>
      </c>
      <c r="J189" s="359">
        <f t="shared" ca="1" si="72"/>
        <v>27.673934446190763</v>
      </c>
      <c r="K189" s="360">
        <f t="shared" ca="1" si="73"/>
        <v>134.5764520459214</v>
      </c>
      <c r="L189" s="357">
        <f t="shared" ca="1" si="58"/>
        <v>137.39238731822169</v>
      </c>
      <c r="M189" s="359">
        <f t="shared" ca="1" si="74"/>
        <v>1.3561599299616673</v>
      </c>
      <c r="N189" s="357">
        <f t="shared" ca="1" si="75"/>
        <v>77.702240331560859</v>
      </c>
      <c r="O189" s="343"/>
      <c r="P189" s="363">
        <f t="shared" ca="1" si="76"/>
        <v>7</v>
      </c>
      <c r="Q189" s="357">
        <f t="shared" ca="1" si="77"/>
        <v>927.2246753246751</v>
      </c>
      <c r="R189" s="359">
        <f t="shared" ca="1" si="78"/>
        <v>0.46447675295417423</v>
      </c>
      <c r="S189" s="360">
        <f t="shared" ca="1" si="79"/>
        <v>10.581333582911443</v>
      </c>
      <c r="T189" s="357">
        <f t="shared" ca="1" si="59"/>
        <v>103.80288244836126</v>
      </c>
      <c r="U189" s="364">
        <f t="shared" ca="1" si="60"/>
        <v>0</v>
      </c>
      <c r="V189" s="359">
        <f t="shared" ca="1" si="61"/>
        <v>1.2086245719745945</v>
      </c>
      <c r="W189" s="357">
        <f t="shared" ca="1" si="62"/>
        <v>59.035183402975477</v>
      </c>
      <c r="X189" s="343"/>
      <c r="Y189" s="367" t="str">
        <f t="shared" ca="1" si="80"/>
        <v/>
      </c>
      <c r="Z189" s="368" t="str">
        <f t="shared" ca="1" si="81"/>
        <v/>
      </c>
      <c r="AA189" s="369" t="str">
        <f t="shared" ca="1" si="82"/>
        <v/>
      </c>
      <c r="AB189" s="344"/>
      <c r="AC189" s="363" t="e">
        <f t="shared" ca="1" si="83"/>
        <v>#N/A</v>
      </c>
      <c r="AD189" s="376" t="e">
        <f t="shared" ca="1" si="84"/>
        <v>#N/A</v>
      </c>
      <c r="AE189" s="377">
        <f t="shared" ca="1" si="63"/>
        <v>134.5764520459214</v>
      </c>
      <c r="AF189" s="344"/>
      <c r="AG189" s="359">
        <f t="shared" ca="1" si="85"/>
        <v>72.518117818912856</v>
      </c>
      <c r="AH189" s="357">
        <f t="shared" ca="1" si="86"/>
        <v>82.103313518550237</v>
      </c>
    </row>
    <row r="190" spans="1:34" x14ac:dyDescent="0.25">
      <c r="A190" s="402">
        <f t="shared" ca="1" si="64"/>
        <v>0.01</v>
      </c>
      <c r="B190" s="357">
        <f t="shared" ca="1" si="65"/>
        <v>1.8600000000000014</v>
      </c>
      <c r="C190" s="342"/>
      <c r="D190" s="359">
        <f t="shared" ca="1" si="66"/>
        <v>17.458124459429623</v>
      </c>
      <c r="E190" s="360">
        <f t="shared" ca="1" si="67"/>
        <v>70.275233409758599</v>
      </c>
      <c r="F190" s="357">
        <f t="shared" ca="1" si="68"/>
        <v>72.411287382817505</v>
      </c>
      <c r="G190" s="359">
        <f t="shared" ca="1" si="69"/>
        <v>31.462999135266916</v>
      </c>
      <c r="H190" s="360">
        <f t="shared" ca="1" si="70"/>
        <v>144.23135734660011</v>
      </c>
      <c r="I190" s="357">
        <f t="shared" ca="1" si="71"/>
        <v>147.62318502399432</v>
      </c>
      <c r="J190" s="359">
        <f t="shared" ca="1" si="72"/>
        <v>27.987691531320461</v>
      </c>
      <c r="K190" s="360">
        <f t="shared" ca="1" si="73"/>
        <v>136.01525185771692</v>
      </c>
      <c r="L190" s="357">
        <f t="shared" ca="1" si="58"/>
        <v>138.86489698685739</v>
      </c>
      <c r="M190" s="359">
        <f t="shared" ca="1" si="74"/>
        <v>1.3560183903168677</v>
      </c>
      <c r="N190" s="357">
        <f t="shared" ca="1" si="75"/>
        <v>77.694130707280053</v>
      </c>
      <c r="O190" s="343"/>
      <c r="P190" s="363">
        <f t="shared" ca="1" si="76"/>
        <v>7</v>
      </c>
      <c r="Q190" s="357">
        <f t="shared" ca="1" si="77"/>
        <v>925.96493506493482</v>
      </c>
      <c r="R190" s="359">
        <f t="shared" ca="1" si="78"/>
        <v>0.46384570841774092</v>
      </c>
      <c r="S190" s="360">
        <f t="shared" ca="1" si="79"/>
        <v>10.576695125827266</v>
      </c>
      <c r="T190" s="357">
        <f t="shared" ca="1" si="59"/>
        <v>103.75737918436549</v>
      </c>
      <c r="U190" s="364">
        <f t="shared" ca="1" si="60"/>
        <v>0</v>
      </c>
      <c r="V190" s="359">
        <f t="shared" ca="1" si="61"/>
        <v>1.2084506796462295</v>
      </c>
      <c r="W190" s="357">
        <f t="shared" ca="1" si="62"/>
        <v>59.609803535925003</v>
      </c>
      <c r="X190" s="343"/>
      <c r="Y190" s="367" t="str">
        <f t="shared" ca="1" si="80"/>
        <v/>
      </c>
      <c r="Z190" s="368" t="str">
        <f t="shared" ca="1" si="81"/>
        <v/>
      </c>
      <c r="AA190" s="369" t="str">
        <f t="shared" ca="1" si="82"/>
        <v/>
      </c>
      <c r="AB190" s="344"/>
      <c r="AC190" s="363" t="e">
        <f t="shared" ca="1" si="83"/>
        <v>#N/A</v>
      </c>
      <c r="AD190" s="376" t="e">
        <f t="shared" ca="1" si="84"/>
        <v>#N/A</v>
      </c>
      <c r="AE190" s="377">
        <f t="shared" ca="1" si="63"/>
        <v>136.01525185771692</v>
      </c>
      <c r="AF190" s="344"/>
      <c r="AG190" s="359">
        <f t="shared" ca="1" si="85"/>
        <v>72.381135147918016</v>
      </c>
      <c r="AH190" s="357">
        <f t="shared" ca="1" si="86"/>
        <v>81.966033940507643</v>
      </c>
    </row>
    <row r="191" spans="1:34" x14ac:dyDescent="0.25">
      <c r="A191" s="402">
        <f t="shared" ca="1" si="64"/>
        <v>0.01</v>
      </c>
      <c r="B191" s="357">
        <f t="shared" ca="1" si="65"/>
        <v>1.8700000000000014</v>
      </c>
      <c r="C191" s="342"/>
      <c r="D191" s="359">
        <f t="shared" ca="1" si="66"/>
        <v>17.440133455726581</v>
      </c>
      <c r="E191" s="360">
        <f t="shared" ca="1" si="67"/>
        <v>70.138326280369327</v>
      </c>
      <c r="F191" s="357">
        <f t="shared" ca="1" si="68"/>
        <v>72.274082964539232</v>
      </c>
      <c r="G191" s="359">
        <f t="shared" ca="1" si="69"/>
        <v>31.637400469824183</v>
      </c>
      <c r="H191" s="360">
        <f t="shared" ca="1" si="70"/>
        <v>144.93274060940379</v>
      </c>
      <c r="I191" s="357">
        <f t="shared" ca="1" si="71"/>
        <v>148.34562483956429</v>
      </c>
      <c r="J191" s="359">
        <f t="shared" ca="1" si="72"/>
        <v>28.303193529345918</v>
      </c>
      <c r="K191" s="360">
        <f t="shared" ca="1" si="73"/>
        <v>137.46107234749695</v>
      </c>
      <c r="L191" s="357">
        <f t="shared" ca="1" si="58"/>
        <v>140.34463714329593</v>
      </c>
      <c r="M191" s="359">
        <f t="shared" ca="1" si="74"/>
        <v>1.3558774485168184</v>
      </c>
      <c r="N191" s="357">
        <f t="shared" ca="1" si="75"/>
        <v>77.686055336980246</v>
      </c>
      <c r="O191" s="343"/>
      <c r="P191" s="363">
        <f t="shared" ca="1" si="76"/>
        <v>7</v>
      </c>
      <c r="Q191" s="357">
        <f t="shared" ca="1" si="77"/>
        <v>924.70519480519454</v>
      </c>
      <c r="R191" s="359">
        <f t="shared" ca="1" si="78"/>
        <v>0.46321466388130755</v>
      </c>
      <c r="S191" s="360">
        <f t="shared" ca="1" si="79"/>
        <v>10.572062979188452</v>
      </c>
      <c r="T191" s="357">
        <f t="shared" ca="1" si="59"/>
        <v>103.71193782583872</v>
      </c>
      <c r="U191" s="364">
        <f t="shared" ca="1" si="60"/>
        <v>0</v>
      </c>
      <c r="V191" s="359">
        <f t="shared" ca="1" si="61"/>
        <v>1.2082759638346947</v>
      </c>
      <c r="W191" s="357">
        <f t="shared" ca="1" si="62"/>
        <v>60.185966409690273</v>
      </c>
      <c r="X191" s="343"/>
      <c r="Y191" s="367" t="str">
        <f t="shared" ca="1" si="80"/>
        <v/>
      </c>
      <c r="Z191" s="368" t="str">
        <f t="shared" ca="1" si="81"/>
        <v/>
      </c>
      <c r="AA191" s="369" t="str">
        <f t="shared" ca="1" si="82"/>
        <v/>
      </c>
      <c r="AB191" s="344"/>
      <c r="AC191" s="363" t="e">
        <f t="shared" ca="1" si="83"/>
        <v>#N/A</v>
      </c>
      <c r="AD191" s="376" t="e">
        <f t="shared" ca="1" si="84"/>
        <v>#N/A</v>
      </c>
      <c r="AE191" s="377">
        <f t="shared" ca="1" si="63"/>
        <v>137.46107234749695</v>
      </c>
      <c r="AF191" s="344"/>
      <c r="AG191" s="359">
        <f t="shared" ca="1" si="85"/>
        <v>72.243834215739241</v>
      </c>
      <c r="AH191" s="357">
        <f t="shared" ca="1" si="86"/>
        <v>81.828437171841102</v>
      </c>
    </row>
    <row r="192" spans="1:34" x14ac:dyDescent="0.25">
      <c r="A192" s="402">
        <f t="shared" ca="1" si="64"/>
        <v>0.01</v>
      </c>
      <c r="B192" s="357">
        <f t="shared" ca="1" si="65"/>
        <v>1.8800000000000014</v>
      </c>
      <c r="C192" s="342"/>
      <c r="D192" s="359">
        <f t="shared" ca="1" si="66"/>
        <v>17.421989066884692</v>
      </c>
      <c r="E192" s="360">
        <f t="shared" ca="1" si="67"/>
        <v>70.001128121573544</v>
      </c>
      <c r="F192" s="357">
        <f t="shared" ca="1" si="68"/>
        <v>72.136562444710407</v>
      </c>
      <c r="G192" s="359">
        <f t="shared" ca="1" si="69"/>
        <v>31.811620360493031</v>
      </c>
      <c r="H192" s="360">
        <f t="shared" ca="1" si="70"/>
        <v>145.63275189061952</v>
      </c>
      <c r="I192" s="357">
        <f t="shared" ca="1" si="71"/>
        <v>149.06668847598002</v>
      </c>
      <c r="J192" s="359">
        <f t="shared" ca="1" si="72"/>
        <v>28.620438633497503</v>
      </c>
      <c r="K192" s="360">
        <f t="shared" ca="1" si="73"/>
        <v>138.91389980999708</v>
      </c>
      <c r="L192" s="357">
        <f t="shared" ca="1" si="58"/>
        <v>141.8315940402409</v>
      </c>
      <c r="M192" s="359">
        <f t="shared" ca="1" si="74"/>
        <v>1.3557370978582512</v>
      </c>
      <c r="N192" s="357">
        <f t="shared" ca="1" si="75"/>
        <v>77.67801383659247</v>
      </c>
      <c r="O192" s="343"/>
      <c r="P192" s="363">
        <f t="shared" ca="1" si="76"/>
        <v>7</v>
      </c>
      <c r="Q192" s="357">
        <f t="shared" ca="1" si="77"/>
        <v>923.44545454545437</v>
      </c>
      <c r="R192" s="359">
        <f t="shared" ca="1" si="78"/>
        <v>0.4625836193448743</v>
      </c>
      <c r="S192" s="360">
        <f t="shared" ca="1" si="79"/>
        <v>10.567437142995002</v>
      </c>
      <c r="T192" s="357">
        <f t="shared" ca="1" si="59"/>
        <v>103.66655837278098</v>
      </c>
      <c r="U192" s="364">
        <f t="shared" ca="1" si="60"/>
        <v>0</v>
      </c>
      <c r="V192" s="359">
        <f t="shared" ca="1" si="61"/>
        <v>1.2081004265558875</v>
      </c>
      <c r="W192" s="357">
        <f t="shared" ca="1" si="62"/>
        <v>60.763651315664063</v>
      </c>
      <c r="X192" s="343"/>
      <c r="Y192" s="367" t="str">
        <f t="shared" ca="1" si="80"/>
        <v/>
      </c>
      <c r="Z192" s="368" t="str">
        <f t="shared" ca="1" si="81"/>
        <v/>
      </c>
      <c r="AA192" s="369" t="str">
        <f t="shared" ca="1" si="82"/>
        <v/>
      </c>
      <c r="AB192" s="344"/>
      <c r="AC192" s="363" t="e">
        <f t="shared" ca="1" si="83"/>
        <v>#N/A</v>
      </c>
      <c r="AD192" s="376" t="e">
        <f t="shared" ca="1" si="84"/>
        <v>#N/A</v>
      </c>
      <c r="AE192" s="377">
        <f t="shared" ca="1" si="63"/>
        <v>138.91389980999708</v>
      </c>
      <c r="AF192" s="344"/>
      <c r="AG192" s="359">
        <f t="shared" ca="1" si="85"/>
        <v>72.10621682350255</v>
      </c>
      <c r="AH192" s="357">
        <f t="shared" ca="1" si="86"/>
        <v>81.690525001892823</v>
      </c>
    </row>
    <row r="193" spans="1:34" x14ac:dyDescent="0.25">
      <c r="A193" s="402">
        <f t="shared" ca="1" si="64"/>
        <v>0.01</v>
      </c>
      <c r="B193" s="357">
        <f t="shared" ca="1" si="65"/>
        <v>1.8900000000000015</v>
      </c>
      <c r="C193" s="342"/>
      <c r="D193" s="359">
        <f t="shared" ca="1" si="66"/>
        <v>17.403692326985741</v>
      </c>
      <c r="E193" s="360">
        <f t="shared" ca="1" si="67"/>
        <v>69.863640572683863</v>
      </c>
      <c r="F193" s="357">
        <f t="shared" ca="1" si="68"/>
        <v>71.998727632379314</v>
      </c>
      <c r="G193" s="359">
        <f t="shared" ca="1" si="69"/>
        <v>31.985657283762887</v>
      </c>
      <c r="H193" s="360">
        <f t="shared" ca="1" si="70"/>
        <v>146.33138829634635</v>
      </c>
      <c r="I193" s="357">
        <f t="shared" ca="1" si="71"/>
        <v>149.78637278674728</v>
      </c>
      <c r="J193" s="359">
        <f t="shared" ca="1" si="72"/>
        <v>28.939425021718783</v>
      </c>
      <c r="K193" s="360">
        <f t="shared" ca="1" si="73"/>
        <v>140.37372051093192</v>
      </c>
      <c r="L193" s="357">
        <f t="shared" ca="1" si="58"/>
        <v>143.32575389883323</v>
      </c>
      <c r="M193" s="359">
        <f t="shared" ca="1" si="74"/>
        <v>1.3555973317437406</v>
      </c>
      <c r="N193" s="357">
        <f t="shared" ca="1" si="75"/>
        <v>77.670005828112082</v>
      </c>
      <c r="O193" s="343"/>
      <c r="P193" s="363">
        <f t="shared" ca="1" si="76"/>
        <v>7</v>
      </c>
      <c r="Q193" s="357">
        <f t="shared" ca="1" si="77"/>
        <v>922.18571428571408</v>
      </c>
      <c r="R193" s="359">
        <f t="shared" ca="1" si="78"/>
        <v>0.46195257480844093</v>
      </c>
      <c r="S193" s="360">
        <f t="shared" ca="1" si="79"/>
        <v>10.562817617246917</v>
      </c>
      <c r="T193" s="357">
        <f t="shared" ca="1" si="59"/>
        <v>103.62124082519226</v>
      </c>
      <c r="U193" s="364">
        <f t="shared" ca="1" si="60"/>
        <v>0</v>
      </c>
      <c r="V193" s="359">
        <f t="shared" ca="1" si="61"/>
        <v>1.2079240698298692</v>
      </c>
      <c r="W193" s="357">
        <f t="shared" ca="1" si="62"/>
        <v>61.342837549116652</v>
      </c>
      <c r="X193" s="343"/>
      <c r="Y193" s="367" t="str">
        <f t="shared" ca="1" si="80"/>
        <v/>
      </c>
      <c r="Z193" s="368" t="str">
        <f t="shared" ca="1" si="81"/>
        <v/>
      </c>
      <c r="AA193" s="369" t="str">
        <f t="shared" ca="1" si="82"/>
        <v/>
      </c>
      <c r="AB193" s="344"/>
      <c r="AC193" s="363" t="e">
        <f t="shared" ca="1" si="83"/>
        <v>#N/A</v>
      </c>
      <c r="AD193" s="376" t="e">
        <f t="shared" ca="1" si="84"/>
        <v>#N/A</v>
      </c>
      <c r="AE193" s="377">
        <f t="shared" ca="1" si="63"/>
        <v>140.37372051093192</v>
      </c>
      <c r="AF193" s="344"/>
      <c r="AG193" s="359">
        <f t="shared" ca="1" si="85"/>
        <v>71.968284776129991</v>
      </c>
      <c r="AH193" s="357">
        <f t="shared" ca="1" si="86"/>
        <v>81.552299223980185</v>
      </c>
    </row>
    <row r="194" spans="1:34" x14ac:dyDescent="0.25">
      <c r="A194" s="402">
        <f t="shared" ca="1" si="64"/>
        <v>0.01</v>
      </c>
      <c r="B194" s="357">
        <f t="shared" ca="1" si="65"/>
        <v>1.9000000000000015</v>
      </c>
      <c r="C194" s="342"/>
      <c r="D194" s="359">
        <f t="shared" ca="1" si="66"/>
        <v>17.38524426088291</v>
      </c>
      <c r="E194" s="360">
        <f t="shared" ca="1" si="67"/>
        <v>69.725865278513965</v>
      </c>
      <c r="F194" s="357">
        <f t="shared" ca="1" si="68"/>
        <v>71.860580340323168</v>
      </c>
      <c r="G194" s="359">
        <f t="shared" ca="1" si="69"/>
        <v>32.159509726371716</v>
      </c>
      <c r="H194" s="360">
        <f t="shared" ca="1" si="70"/>
        <v>147.02864694913148</v>
      </c>
      <c r="I194" s="357">
        <f t="shared" ca="1" si="71"/>
        <v>150.50467464345732</v>
      </c>
      <c r="J194" s="359">
        <f t="shared" ca="1" si="72"/>
        <v>29.260150856769457</v>
      </c>
      <c r="K194" s="360">
        <f t="shared" ca="1" si="73"/>
        <v>141.84052068715931</v>
      </c>
      <c r="L194" s="357">
        <f t="shared" ca="1" si="58"/>
        <v>144.82710290883188</v>
      </c>
      <c r="M194" s="359">
        <f t="shared" ca="1" si="74"/>
        <v>1.3554581436794482</v>
      </c>
      <c r="N194" s="357">
        <f t="shared" ca="1" si="75"/>
        <v>77.662030939469517</v>
      </c>
      <c r="O194" s="343"/>
      <c r="P194" s="363">
        <f t="shared" ca="1" si="76"/>
        <v>7</v>
      </c>
      <c r="Q194" s="357">
        <f t="shared" ca="1" si="77"/>
        <v>920.9259740259738</v>
      </c>
      <c r="R194" s="359">
        <f t="shared" ca="1" si="78"/>
        <v>0.46132153027200762</v>
      </c>
      <c r="S194" s="360">
        <f t="shared" ca="1" si="79"/>
        <v>10.558204401944197</v>
      </c>
      <c r="T194" s="357">
        <f t="shared" ca="1" si="59"/>
        <v>103.57598518307258</v>
      </c>
      <c r="U194" s="364">
        <f t="shared" ca="1" si="60"/>
        <v>0</v>
      </c>
      <c r="V194" s="359">
        <f t="shared" ca="1" si="61"/>
        <v>1.2077468956808284</v>
      </c>
      <c r="W194" s="357">
        <f t="shared" ca="1" si="62"/>
        <v>61.923504409987103</v>
      </c>
      <c r="X194" s="343"/>
      <c r="Y194" s="367" t="str">
        <f t="shared" ca="1" si="80"/>
        <v/>
      </c>
      <c r="Z194" s="368" t="str">
        <f t="shared" ca="1" si="81"/>
        <v/>
      </c>
      <c r="AA194" s="369" t="str">
        <f t="shared" ca="1" si="82"/>
        <v/>
      </c>
      <c r="AB194" s="344"/>
      <c r="AC194" s="363" t="e">
        <f t="shared" ca="1" si="83"/>
        <v>#N/A</v>
      </c>
      <c r="AD194" s="376" t="e">
        <f t="shared" ca="1" si="84"/>
        <v>#N/A</v>
      </c>
      <c r="AE194" s="377">
        <f t="shared" ca="1" si="63"/>
        <v>141.84052068715931</v>
      </c>
      <c r="AF194" s="344"/>
      <c r="AG194" s="359">
        <f t="shared" ca="1" si="85"/>
        <v>71.83003988226632</v>
      </c>
      <c r="AH194" s="357">
        <f t="shared" ca="1" si="86"/>
        <v>81.413761635318664</v>
      </c>
    </row>
    <row r="195" spans="1:34" x14ac:dyDescent="0.25">
      <c r="A195" s="402">
        <f t="shared" ca="1" si="64"/>
        <v>0.01</v>
      </c>
      <c r="B195" s="357">
        <f t="shared" ca="1" si="65"/>
        <v>1.9100000000000015</v>
      </c>
      <c r="C195" s="342"/>
      <c r="D195" s="359">
        <f t="shared" ca="1" si="66"/>
        <v>17.366645884409202</v>
      </c>
      <c r="E195" s="360">
        <f t="shared" ca="1" si="67"/>
        <v>69.587803889265501</v>
      </c>
      <c r="F195" s="357">
        <f t="shared" ca="1" si="68"/>
        <v>71.722122384975066</v>
      </c>
      <c r="G195" s="359">
        <f t="shared" ca="1" si="69"/>
        <v>32.333176185215805</v>
      </c>
      <c r="H195" s="360">
        <f t="shared" ca="1" si="70"/>
        <v>147.72452498802414</v>
      </c>
      <c r="I195" s="357">
        <f t="shared" ca="1" si="71"/>
        <v>151.22159093582363</v>
      </c>
      <c r="J195" s="359">
        <f t="shared" ca="1" si="72"/>
        <v>29.582614286327395</v>
      </c>
      <c r="K195" s="360">
        <f t="shared" ca="1" si="73"/>
        <v>143.3142865468451</v>
      </c>
      <c r="L195" s="357">
        <f t="shared" ca="1" si="58"/>
        <v>146.335627228795</v>
      </c>
      <c r="M195" s="359">
        <f t="shared" ca="1" si="74"/>
        <v>1.3553195272729273</v>
      </c>
      <c r="N195" s="357">
        <f t="shared" ca="1" si="75"/>
        <v>77.654088804404608</v>
      </c>
      <c r="O195" s="343"/>
      <c r="P195" s="363">
        <f t="shared" ca="1" si="76"/>
        <v>7</v>
      </c>
      <c r="Q195" s="357">
        <f t="shared" ca="1" si="77"/>
        <v>919.66623376623352</v>
      </c>
      <c r="R195" s="359">
        <f t="shared" ca="1" si="78"/>
        <v>0.46069048573557425</v>
      </c>
      <c r="S195" s="360">
        <f t="shared" ca="1" si="79"/>
        <v>10.553597497086841</v>
      </c>
      <c r="T195" s="357">
        <f t="shared" ca="1" si="59"/>
        <v>103.53079144642192</v>
      </c>
      <c r="U195" s="364">
        <f t="shared" ca="1" si="60"/>
        <v>0</v>
      </c>
      <c r="V195" s="359">
        <f t="shared" ca="1" si="61"/>
        <v>1.2075689061370467</v>
      </c>
      <c r="W195" s="357">
        <f t="shared" ca="1" si="62"/>
        <v>62.50563120367282</v>
      </c>
      <c r="X195" s="343"/>
      <c r="Y195" s="367" t="str">
        <f t="shared" ca="1" si="80"/>
        <v/>
      </c>
      <c r="Z195" s="368" t="str">
        <f t="shared" ca="1" si="81"/>
        <v/>
      </c>
      <c r="AA195" s="369" t="str">
        <f t="shared" ca="1" si="82"/>
        <v/>
      </c>
      <c r="AB195" s="344"/>
      <c r="AC195" s="363" t="e">
        <f t="shared" ca="1" si="83"/>
        <v>#N/A</v>
      </c>
      <c r="AD195" s="376" t="e">
        <f t="shared" ca="1" si="84"/>
        <v>#N/A</v>
      </c>
      <c r="AE195" s="377">
        <f t="shared" ca="1" si="63"/>
        <v>143.3142865468451</v>
      </c>
      <c r="AF195" s="344"/>
      <c r="AG195" s="359">
        <f t="shared" ca="1" si="85"/>
        <v>71.69148395420541</v>
      </c>
      <c r="AH195" s="357">
        <f t="shared" ca="1" si="86"/>
        <v>81.27491403694458</v>
      </c>
    </row>
    <row r="196" spans="1:34" x14ac:dyDescent="0.25">
      <c r="A196" s="402">
        <f t="shared" ca="1" si="64"/>
        <v>0.01</v>
      </c>
      <c r="B196" s="357">
        <f t="shared" ca="1" si="65"/>
        <v>1.9200000000000015</v>
      </c>
      <c r="C196" s="342"/>
      <c r="D196" s="359">
        <f t="shared" ca="1" si="66"/>
        <v>17.347898204579852</v>
      </c>
      <c r="E196" s="360">
        <f t="shared" ca="1" si="67"/>
        <v>69.449458060416092</v>
      </c>
      <c r="F196" s="357">
        <f t="shared" ca="1" si="68"/>
        <v>71.583355586350919</v>
      </c>
      <c r="G196" s="359">
        <f t="shared" ca="1" si="69"/>
        <v>32.506655167261606</v>
      </c>
      <c r="H196" s="360">
        <f t="shared" ca="1" si="70"/>
        <v>148.4190195686283</v>
      </c>
      <c r="I196" s="357">
        <f t="shared" ca="1" si="71"/>
        <v>151.93711857171746</v>
      </c>
      <c r="J196" s="359">
        <f t="shared" ca="1" si="72"/>
        <v>29.906813443089781</v>
      </c>
      <c r="K196" s="360">
        <f t="shared" ca="1" si="73"/>
        <v>144.79500426962835</v>
      </c>
      <c r="L196" s="357">
        <f t="shared" ref="L196:L259" ca="1" si="87">SQRT(pos_x^2+pos_z^2)</f>
        <v>147.85131298626152</v>
      </c>
      <c r="M196" s="359">
        <f t="shared" ca="1" si="74"/>
        <v>1.3551814762309857</v>
      </c>
      <c r="N196" s="357">
        <f t="shared" ca="1" si="75"/>
        <v>77.646179062343975</v>
      </c>
      <c r="O196" s="343"/>
      <c r="P196" s="363">
        <f t="shared" ca="1" si="76"/>
        <v>7</v>
      </c>
      <c r="Q196" s="357">
        <f t="shared" ca="1" si="77"/>
        <v>918.40649350649323</v>
      </c>
      <c r="R196" s="359">
        <f t="shared" ca="1" si="78"/>
        <v>0.46005944119914094</v>
      </c>
      <c r="S196" s="360">
        <f t="shared" ca="1" si="79"/>
        <v>10.548996902674849</v>
      </c>
      <c r="T196" s="357">
        <f t="shared" ref="T196:T259" ca="1" si="88">m*g</f>
        <v>103.48565961524028</v>
      </c>
      <c r="U196" s="364">
        <f t="shared" ref="U196:U259" ca="1" si="89">IF(pos_xz&lt;L_rampe,Poids*COS(Beta),0)</f>
        <v>0</v>
      </c>
      <c r="V196" s="359">
        <f t="shared" ref="V196:V259" ca="1" si="90">Rho_moyen*(20000-Alt_rampe-pos_z)/(20000+Alt_rampe+pos_z)</f>
        <v>1.2073901032308643</v>
      </c>
      <c r="W196" s="357">
        <f t="shared" ref="W196:W259" ca="1" si="91">1/2*Rho*Sref*Cx*vit_xz^2</f>
        <v>63.089197241816144</v>
      </c>
      <c r="X196" s="343"/>
      <c r="Y196" s="367" t="str">
        <f t="shared" ca="1" si="80"/>
        <v/>
      </c>
      <c r="Z196" s="368" t="str">
        <f t="shared" ca="1" si="81"/>
        <v/>
      </c>
      <c r="AA196" s="369" t="str">
        <f t="shared" ca="1" si="82"/>
        <v/>
      </c>
      <c r="AB196" s="344"/>
      <c r="AC196" s="363" t="e">
        <f t="shared" ca="1" si="83"/>
        <v>#N/A</v>
      </c>
      <c r="AD196" s="376" t="e">
        <f t="shared" ca="1" si="84"/>
        <v>#N/A</v>
      </c>
      <c r="AE196" s="377">
        <f t="shared" ref="AE196:AE259" ca="1" si="92">IF(t&lt;T_para, pos_z, NA())</f>
        <v>144.79500426962835</v>
      </c>
      <c r="AF196" s="344"/>
      <c r="AG196" s="359">
        <f t="shared" ca="1" si="85"/>
        <v>71.552618807816458</v>
      </c>
      <c r="AH196" s="357">
        <f t="shared" ca="1" si="86"/>
        <v>81.135758233637787</v>
      </c>
    </row>
    <row r="197" spans="1:34" x14ac:dyDescent="0.25">
      <c r="A197" s="402">
        <f t="shared" ref="A197:A260" ca="1" si="93">IF(B196+0.01&lt;=T_ini+ROUNDUP(Temps_fin_propu,0), 0.01, IF(K196&gt;0, 0.1, 0.0001))</f>
        <v>0.01</v>
      </c>
      <c r="B197" s="357">
        <f t="shared" ref="B197:B260" ca="1" si="94">B196+pas</f>
        <v>1.9300000000000015</v>
      </c>
      <c r="C197" s="342"/>
      <c r="D197" s="359">
        <f t="shared" ref="D197:D260" ca="1" si="95">IF(AND(L196&lt;L_rampe,Poussee&lt;Poids*SIN(M196)),0,(-W196+Poussee)/m*COS(M196)-U196/m*SIN(M196))</f>
        <v>17.329002219788926</v>
      </c>
      <c r="E197" s="360">
        <f t="shared" ref="E197:E260" ca="1" si="96">IF(AND(L196&lt;L_rampe,Poussee&lt;Poids*SIN(M196)),0,(-W196+Poussee)/m*SIN(M196)+U196/m*COS(M196)-Poids/m)</f>
        <v>69.310829452608317</v>
      </c>
      <c r="F197" s="357">
        <f t="shared" ref="F197:F260" ca="1" si="97">SQRT(acc_x^2+acc_z^2)</f>
        <v>71.444281767976406</v>
      </c>
      <c r="G197" s="359">
        <f t="shared" ref="G197:G260" ca="1" si="98">G196+acc_x*pas</f>
        <v>32.679945189459495</v>
      </c>
      <c r="H197" s="360">
        <f t="shared" ref="H197:H260" ca="1" si="99">H196+acc_z*pas</f>
        <v>149.11212786315437</v>
      </c>
      <c r="I197" s="357">
        <f t="shared" ref="I197:I260" ca="1" si="100">SQRT(vit_x^2+vit_z^2)</f>
        <v>152.65125447720297</v>
      </c>
      <c r="J197" s="359">
        <f t="shared" ref="J197:J260" ca="1" si="101">J196+0.5*(vit_x+G196)*pas*(K196&gt;=0)</f>
        <v>30.232746444873388</v>
      </c>
      <c r="K197" s="360">
        <f t="shared" ref="K197:K260" ca="1" si="102">K196+0.5*(vit_z+H196)*pas</f>
        <v>146.28266000678727</v>
      </c>
      <c r="L197" s="357">
        <f t="shared" ca="1" si="87"/>
        <v>149.37414627793299</v>
      </c>
      <c r="M197" s="359">
        <f t="shared" ref="M197:M260" ca="1" si="103">IF(AND(L196&gt;L_rampe,G197&gt;0),ATAN2(G197,H197),$M$4)</f>
        <v>1.3550439843576063</v>
      </c>
      <c r="N197" s="357">
        <f t="shared" ref="N197:N260" ca="1" si="104">DEGREES(Beta)</f>
        <v>77.638301358281979</v>
      </c>
      <c r="O197" s="343"/>
      <c r="P197" s="363">
        <f t="shared" ref="P197:P260" ca="1" si="105">MATCH(t-pas/2-T_ini,CdP_t)</f>
        <v>7</v>
      </c>
      <c r="Q197" s="357">
        <f t="shared" ref="Q197:Q260" ca="1" si="106">(INDEX(CdP,2,i_P+1)-INDEX(CdP,2,i_P+0))/(INDEX(CdP,1,i_P+1)-INDEX(CdP,1,i_P+0))*(t-pas/2-T_ini-INDEX(CdP,1,i_P+0))+INDEX(CdP,2,i_P+0)</f>
        <v>917.14675324675295</v>
      </c>
      <c r="R197" s="359">
        <f t="shared" ref="R197:R260" ca="1" si="107">Poussee/(g*ISP)</f>
        <v>0.45942839666270757</v>
      </c>
      <c r="S197" s="360">
        <f t="shared" ref="S197:S260" ca="1" si="108">S196-Débit*pas</f>
        <v>10.544402618708222</v>
      </c>
      <c r="T197" s="357">
        <f t="shared" ca="1" si="88"/>
        <v>103.44058968952767</v>
      </c>
      <c r="U197" s="364">
        <f t="shared" ca="1" si="89"/>
        <v>0</v>
      </c>
      <c r="V197" s="359">
        <f t="shared" ca="1" si="90"/>
        <v>1.2072104889986439</v>
      </c>
      <c r="W197" s="357">
        <f t="shared" ca="1" si="91"/>
        <v>63.674181843088633</v>
      </c>
      <c r="X197" s="343"/>
      <c r="Y197" s="367" t="str">
        <f t="shared" ref="Y197:Y260" ca="1" si="109">IF(AND(pos_z&lt;=0,K196&gt;0),"Impact balistique","") &amp; IF(AND(H198&lt;0,vit_z&gt;=0),"Apogée","") &amp; IF(AND(Poussee=0,Q196&gt;0),"Fin de propulsion","") &amp; IF(AND(L198&gt;L_rampe,pos_xz&lt;=L_rampe),"Sortie de rampe","")</f>
        <v/>
      </c>
      <c r="Z197" s="368" t="str">
        <f t="shared" ref="Z197:Z260" ca="1" si="110">IF(ABS(t-T_para)&lt;pas/2,"Para","")</f>
        <v/>
      </c>
      <c r="AA197" s="369" t="str">
        <f t="shared" ref="AA197:AA260" ca="1" si="111">IF(ABS(t-T_satellite)&lt;pas/2,"Satellite","")</f>
        <v/>
      </c>
      <c r="AB197" s="344"/>
      <c r="AC197" s="363" t="e">
        <f t="shared" ref="AC197:AC260" ca="1" si="112">IF(ABS(t-ROUND(t,0))&lt;0.001,t,NA())</f>
        <v>#N/A</v>
      </c>
      <c r="AD197" s="376" t="e">
        <f t="shared" ref="AD197:AD260" ca="1" si="113">IF(ABS(t-ROUND(t,0))&lt;0.001,pos_x,NA())</f>
        <v>#N/A</v>
      </c>
      <c r="AE197" s="377">
        <f t="shared" ca="1" si="92"/>
        <v>146.28266000678727</v>
      </c>
      <c r="AF197" s="344"/>
      <c r="AG197" s="359">
        <f t="shared" ref="AG197:AG260" ca="1" si="114">IF(AND(L196&lt;L_rampe,Poussee&lt;Poids*SIN(M196)),0,(-W196+Poussee)/m-Poids*SIN(M196)/m)</f>
        <v>71.413446262470302</v>
      </c>
      <c r="AH197" s="357">
        <f t="shared" ref="AH197:AH260" ca="1" si="115">IF(AND(L196&lt;L_rampe,Poussee&lt;Poids*SIN(M196)), g*SIN(M196), (-W196+Poussee)/m)</f>
        <v>80.996296033844544</v>
      </c>
    </row>
    <row r="198" spans="1:34" x14ac:dyDescent="0.25">
      <c r="A198" s="402">
        <f t="shared" ca="1" si="93"/>
        <v>0.01</v>
      </c>
      <c r="B198" s="357">
        <f t="shared" ca="1" si="94"/>
        <v>1.9400000000000015</v>
      </c>
      <c r="C198" s="342"/>
      <c r="D198" s="359">
        <f t="shared" ca="1" si="95"/>
        <v>17.309958920000096</v>
      </c>
      <c r="E198" s="360">
        <f t="shared" ca="1" si="96"/>
        <v>69.171919731539589</v>
      </c>
      <c r="F198" s="357">
        <f t="shared" ca="1" si="97"/>
        <v>71.304902756813618</v>
      </c>
      <c r="G198" s="359">
        <f t="shared" ca="1" si="98"/>
        <v>32.853044778659495</v>
      </c>
      <c r="H198" s="360">
        <f t="shared" ca="1" si="99"/>
        <v>149.80384706046976</v>
      </c>
      <c r="I198" s="357">
        <f t="shared" ca="1" si="100"/>
        <v>153.36399559657156</v>
      </c>
      <c r="J198" s="359">
        <f t="shared" ca="1" si="101"/>
        <v>30.560411394713984</v>
      </c>
      <c r="K198" s="360">
        <f t="shared" ca="1" si="102"/>
        <v>147.77723988140539</v>
      </c>
      <c r="L198" s="357">
        <f t="shared" ca="1" si="87"/>
        <v>150.90411316985563</v>
      </c>
      <c r="M198" s="359">
        <f t="shared" ca="1" si="103"/>
        <v>1.3549070455519181</v>
      </c>
      <c r="N198" s="357">
        <f t="shared" ca="1" si="104"/>
        <v>77.63045534266449</v>
      </c>
      <c r="O198" s="343"/>
      <c r="P198" s="363">
        <f t="shared" ca="1" si="105"/>
        <v>7</v>
      </c>
      <c r="Q198" s="357">
        <f t="shared" ca="1" si="106"/>
        <v>915.88701298701278</v>
      </c>
      <c r="R198" s="359">
        <f t="shared" ca="1" si="107"/>
        <v>0.45879735212627432</v>
      </c>
      <c r="S198" s="360">
        <f t="shared" ca="1" si="108"/>
        <v>10.53981464518696</v>
      </c>
      <c r="T198" s="357">
        <f t="shared" ca="1" si="88"/>
        <v>103.39558166928408</v>
      </c>
      <c r="U198" s="364">
        <f t="shared" ca="1" si="89"/>
        <v>0</v>
      </c>
      <c r="V198" s="359">
        <f t="shared" ca="1" si="90"/>
        <v>1.2070300654807333</v>
      </c>
      <c r="W198" s="357">
        <f t="shared" ca="1" si="91"/>
        <v>64.260564333972781</v>
      </c>
      <c r="X198" s="343"/>
      <c r="Y198" s="367" t="str">
        <f t="shared" ca="1" si="109"/>
        <v/>
      </c>
      <c r="Z198" s="368" t="str">
        <f t="shared" ca="1" si="110"/>
        <v/>
      </c>
      <c r="AA198" s="369" t="str">
        <f t="shared" ca="1" si="111"/>
        <v/>
      </c>
      <c r="AB198" s="344"/>
      <c r="AC198" s="363" t="e">
        <f t="shared" ca="1" si="112"/>
        <v>#N/A</v>
      </c>
      <c r="AD198" s="376" t="e">
        <f t="shared" ca="1" si="113"/>
        <v>#N/A</v>
      </c>
      <c r="AE198" s="377">
        <f t="shared" ca="1" si="92"/>
        <v>147.77723988140539</v>
      </c>
      <c r="AF198" s="344"/>
      <c r="AG198" s="359">
        <f t="shared" ca="1" si="114"/>
        <v>71.273968140965508</v>
      </c>
      <c r="AH198" s="357">
        <f t="shared" ca="1" si="115"/>
        <v>80.856529249600214</v>
      </c>
    </row>
    <row r="199" spans="1:34" x14ac:dyDescent="0.25">
      <c r="A199" s="402">
        <f t="shared" ca="1" si="93"/>
        <v>0.01</v>
      </c>
      <c r="B199" s="357">
        <f t="shared" ca="1" si="94"/>
        <v>1.9500000000000015</v>
      </c>
      <c r="C199" s="342"/>
      <c r="D199" s="359">
        <f t="shared" ca="1" si="95"/>
        <v>17.290769286932193</v>
      </c>
      <c r="E199" s="360">
        <f t="shared" ca="1" si="96"/>
        <v>69.032730567852909</v>
      </c>
      <c r="F199" s="357">
        <f t="shared" ca="1" si="97"/>
        <v>71.165220383187815</v>
      </c>
      <c r="G199" s="359">
        <f t="shared" ca="1" si="98"/>
        <v>33.025952471528818</v>
      </c>
      <c r="H199" s="360">
        <f t="shared" ca="1" si="99"/>
        <v>150.49417436614829</v>
      </c>
      <c r="I199" s="357">
        <f t="shared" ca="1" si="100"/>
        <v>154.07533889237538</v>
      </c>
      <c r="J199" s="359">
        <f t="shared" ca="1" si="101"/>
        <v>30.889806380964927</v>
      </c>
      <c r="K199" s="360">
        <f t="shared" ca="1" si="102"/>
        <v>149.27872998853849</v>
      </c>
      <c r="L199" s="357">
        <f t="shared" ca="1" si="87"/>
        <v>152.44119969760303</v>
      </c>
      <c r="M199" s="359">
        <f t="shared" ca="1" si="103"/>
        <v>1.3547706538062245</v>
      </c>
      <c r="N199" s="357">
        <f t="shared" ca="1" si="104"/>
        <v>77.622640671275818</v>
      </c>
      <c r="O199" s="343"/>
      <c r="P199" s="363">
        <f t="shared" ca="1" si="105"/>
        <v>7</v>
      </c>
      <c r="Q199" s="357">
        <f t="shared" ca="1" si="106"/>
        <v>914.6272727272725</v>
      </c>
      <c r="R199" s="359">
        <f t="shared" ca="1" si="107"/>
        <v>0.45816630758984095</v>
      </c>
      <c r="S199" s="360">
        <f t="shared" ca="1" si="108"/>
        <v>10.535232982111062</v>
      </c>
      <c r="T199" s="357">
        <f t="shared" ca="1" si="88"/>
        <v>103.35063555450952</v>
      </c>
      <c r="U199" s="364">
        <f t="shared" ca="1" si="89"/>
        <v>0</v>
      </c>
      <c r="V199" s="359">
        <f t="shared" ca="1" si="90"/>
        <v>1.2068488347214339</v>
      </c>
      <c r="W199" s="357">
        <f t="shared" ca="1" si="91"/>
        <v>64.84832404954129</v>
      </c>
      <c r="X199" s="343"/>
      <c r="Y199" s="367" t="str">
        <f t="shared" ca="1" si="109"/>
        <v/>
      </c>
      <c r="Z199" s="368" t="str">
        <f t="shared" ca="1" si="110"/>
        <v/>
      </c>
      <c r="AA199" s="369" t="str">
        <f t="shared" ca="1" si="111"/>
        <v/>
      </c>
      <c r="AB199" s="344"/>
      <c r="AC199" s="363" t="e">
        <f t="shared" ca="1" si="112"/>
        <v>#N/A</v>
      </c>
      <c r="AD199" s="376" t="e">
        <f t="shared" ca="1" si="113"/>
        <v>#N/A</v>
      </c>
      <c r="AE199" s="377">
        <f t="shared" ca="1" si="92"/>
        <v>149.27872998853849</v>
      </c>
      <c r="AF199" s="344"/>
      <c r="AG199" s="359">
        <f t="shared" ca="1" si="114"/>
        <v>71.134186269454403</v>
      </c>
      <c r="AH199" s="357">
        <f t="shared" ca="1" si="115"/>
        <v>80.716459696452034</v>
      </c>
    </row>
    <row r="200" spans="1:34" x14ac:dyDescent="0.25">
      <c r="A200" s="402">
        <f t="shared" ca="1" si="93"/>
        <v>0.01</v>
      </c>
      <c r="B200" s="357">
        <f t="shared" ca="1" si="94"/>
        <v>1.9600000000000015</v>
      </c>
      <c r="C200" s="342"/>
      <c r="D200" s="359">
        <f t="shared" ca="1" si="95"/>
        <v>17.271434294239196</v>
      </c>
      <c r="E200" s="360">
        <f t="shared" ca="1" si="96"/>
        <v>68.893263637028539</v>
      </c>
      <c r="F200" s="357">
        <f t="shared" ca="1" si="97"/>
        <v>71.025236480713957</v>
      </c>
      <c r="G200" s="359">
        <f t="shared" ca="1" si="98"/>
        <v>33.19866681447121</v>
      </c>
      <c r="H200" s="360">
        <f t="shared" ca="1" si="99"/>
        <v>151.18310700251857</v>
      </c>
      <c r="I200" s="357">
        <f t="shared" ca="1" si="100"/>
        <v>154.78528134546013</v>
      </c>
      <c r="J200" s="359">
        <f t="shared" ca="1" si="101"/>
        <v>31.220929477394929</v>
      </c>
      <c r="K200" s="360">
        <f t="shared" ca="1" si="102"/>
        <v>150.78711639538182</v>
      </c>
      <c r="L200" s="357">
        <f t="shared" ca="1" si="87"/>
        <v>153.98539186645885</v>
      </c>
      <c r="M200" s="359">
        <f t="shared" ca="1" si="103"/>
        <v>1.35463480320408</v>
      </c>
      <c r="N200" s="357">
        <f t="shared" ca="1" si="104"/>
        <v>77.614857005128627</v>
      </c>
      <c r="O200" s="343"/>
      <c r="P200" s="363">
        <f t="shared" ca="1" si="105"/>
        <v>7</v>
      </c>
      <c r="Q200" s="357">
        <f t="shared" ca="1" si="106"/>
        <v>913.36753246753221</v>
      </c>
      <c r="R200" s="359">
        <f t="shared" ca="1" si="107"/>
        <v>0.45753526305340764</v>
      </c>
      <c r="S200" s="360">
        <f t="shared" ca="1" si="108"/>
        <v>10.530657629480528</v>
      </c>
      <c r="T200" s="357">
        <f t="shared" ca="1" si="88"/>
        <v>103.30575134520399</v>
      </c>
      <c r="U200" s="364">
        <f t="shared" ca="1" si="89"/>
        <v>0</v>
      </c>
      <c r="V200" s="359">
        <f t="shared" ca="1" si="90"/>
        <v>1.2066667987689621</v>
      </c>
      <c r="W200" s="357">
        <f t="shared" ca="1" si="91"/>
        <v>65.437440334233429</v>
      </c>
      <c r="X200" s="343"/>
      <c r="Y200" s="367" t="str">
        <f t="shared" ca="1" si="109"/>
        <v/>
      </c>
      <c r="Z200" s="368" t="str">
        <f t="shared" ca="1" si="110"/>
        <v/>
      </c>
      <c r="AA200" s="369" t="str">
        <f t="shared" ca="1" si="111"/>
        <v/>
      </c>
      <c r="AB200" s="344"/>
      <c r="AC200" s="363" t="e">
        <f t="shared" ca="1" si="112"/>
        <v>#N/A</v>
      </c>
      <c r="AD200" s="376" t="e">
        <f t="shared" ca="1" si="113"/>
        <v>#N/A</v>
      </c>
      <c r="AE200" s="377">
        <f t="shared" ca="1" si="92"/>
        <v>150.78711639538182</v>
      </c>
      <c r="AF200" s="344"/>
      <c r="AG200" s="359">
        <f t="shared" ca="1" si="114"/>
        <v>70.994102477369111</v>
      </c>
      <c r="AH200" s="357">
        <f t="shared" ca="1" si="115"/>
        <v>80.576089193381932</v>
      </c>
    </row>
    <row r="201" spans="1:34" x14ac:dyDescent="0.25">
      <c r="A201" s="402">
        <f t="shared" ca="1" si="93"/>
        <v>0.01</v>
      </c>
      <c r="B201" s="357">
        <f t="shared" ca="1" si="94"/>
        <v>1.9700000000000015</v>
      </c>
      <c r="C201" s="342"/>
      <c r="D201" s="359">
        <f t="shared" ca="1" si="95"/>
        <v>17.251954907685221</v>
      </c>
      <c r="E201" s="360">
        <f t="shared" ca="1" si="96"/>
        <v>68.753520619276529</v>
      </c>
      <c r="F201" s="357">
        <f t="shared" ca="1" si="97"/>
        <v>70.884952886223232</v>
      </c>
      <c r="G201" s="359">
        <f t="shared" ca="1" si="98"/>
        <v>33.371186363548063</v>
      </c>
      <c r="H201" s="360">
        <f t="shared" ca="1" si="99"/>
        <v>151.87064220871133</v>
      </c>
      <c r="I201" s="357">
        <f t="shared" ca="1" si="100"/>
        <v>155.49381995499715</v>
      </c>
      <c r="J201" s="359">
        <f t="shared" ca="1" si="101"/>
        <v>31.553778743285026</v>
      </c>
      <c r="K201" s="360">
        <f t="shared" ca="1" si="102"/>
        <v>152.30238514143795</v>
      </c>
      <c r="L201" s="357">
        <f t="shared" ca="1" si="87"/>
        <v>155.53667565160021</v>
      </c>
      <c r="M201" s="359">
        <f t="shared" ca="1" si="103"/>
        <v>1.3544994879184173</v>
      </c>
      <c r="N201" s="357">
        <f t="shared" ca="1" si="104"/>
        <v>77.607104010356551</v>
      </c>
      <c r="O201" s="343"/>
      <c r="P201" s="363">
        <f t="shared" ca="1" si="105"/>
        <v>7</v>
      </c>
      <c r="Q201" s="357">
        <f t="shared" ca="1" si="106"/>
        <v>912.10779220779193</v>
      </c>
      <c r="R201" s="359">
        <f t="shared" ca="1" si="107"/>
        <v>0.45690421851697427</v>
      </c>
      <c r="S201" s="360">
        <f t="shared" ca="1" si="108"/>
        <v>10.526088587295359</v>
      </c>
      <c r="T201" s="357">
        <f t="shared" ca="1" si="88"/>
        <v>103.26092904136748</v>
      </c>
      <c r="U201" s="364">
        <f t="shared" ca="1" si="89"/>
        <v>0</v>
      </c>
      <c r="V201" s="359">
        <f t="shared" ca="1" si="90"/>
        <v>1.2064839596754147</v>
      </c>
      <c r="W201" s="357">
        <f t="shared" ca="1" si="91"/>
        <v>66.027892542628905</v>
      </c>
      <c r="X201" s="343"/>
      <c r="Y201" s="367" t="str">
        <f t="shared" ca="1" si="109"/>
        <v/>
      </c>
      <c r="Z201" s="368" t="str">
        <f t="shared" ca="1" si="110"/>
        <v/>
      </c>
      <c r="AA201" s="369" t="str">
        <f t="shared" ca="1" si="111"/>
        <v/>
      </c>
      <c r="AB201" s="344"/>
      <c r="AC201" s="363" t="e">
        <f t="shared" ca="1" si="112"/>
        <v>#N/A</v>
      </c>
      <c r="AD201" s="376" t="e">
        <f t="shared" ca="1" si="113"/>
        <v>#N/A</v>
      </c>
      <c r="AE201" s="377">
        <f t="shared" ca="1" si="92"/>
        <v>152.30238514143795</v>
      </c>
      <c r="AF201" s="344"/>
      <c r="AG201" s="359">
        <f t="shared" ca="1" si="114"/>
        <v>70.853718597347367</v>
      </c>
      <c r="AH201" s="357">
        <f t="shared" ca="1" si="115"/>
        <v>80.43541956272928</v>
      </c>
    </row>
    <row r="202" spans="1:34" x14ac:dyDescent="0.25">
      <c r="A202" s="402">
        <f t="shared" ca="1" si="93"/>
        <v>0.01</v>
      </c>
      <c r="B202" s="357">
        <f t="shared" ca="1" si="94"/>
        <v>1.9800000000000015</v>
      </c>
      <c r="C202" s="342"/>
      <c r="D202" s="359">
        <f t="shared" ca="1" si="95"/>
        <v>17.232332085314471</v>
      </c>
      <c r="E202" s="360">
        <f t="shared" ca="1" si="96"/>
        <v>68.613503199430127</v>
      </c>
      <c r="F202" s="357">
        <f t="shared" ca="1" si="97"/>
        <v>70.744371439689587</v>
      </c>
      <c r="G202" s="359">
        <f t="shared" ca="1" si="98"/>
        <v>33.543509684401208</v>
      </c>
      <c r="H202" s="360">
        <f t="shared" ca="1" si="99"/>
        <v>152.55677724070563</v>
      </c>
      <c r="I202" s="357">
        <f t="shared" ca="1" si="100"/>
        <v>156.2009517385147</v>
      </c>
      <c r="J202" s="359">
        <f t="shared" ca="1" si="101"/>
        <v>31.888352223524773</v>
      </c>
      <c r="K202" s="360">
        <f t="shared" ca="1" si="102"/>
        <v>153.82452223868503</v>
      </c>
      <c r="L202" s="357">
        <f t="shared" ca="1" si="87"/>
        <v>157.09503699828102</v>
      </c>
      <c r="M202" s="359">
        <f t="shared" ca="1" si="103"/>
        <v>1.3543647022097225</v>
      </c>
      <c r="N202" s="357">
        <f t="shared" ca="1" si="104"/>
        <v>77.599381358109653</v>
      </c>
      <c r="O202" s="343"/>
      <c r="P202" s="363">
        <f t="shared" ca="1" si="105"/>
        <v>7</v>
      </c>
      <c r="Q202" s="357">
        <f t="shared" ca="1" si="106"/>
        <v>910.84805194805176</v>
      </c>
      <c r="R202" s="359">
        <f t="shared" ca="1" si="107"/>
        <v>0.45627317398054101</v>
      </c>
      <c r="S202" s="360">
        <f t="shared" ca="1" si="108"/>
        <v>10.521525855555554</v>
      </c>
      <c r="T202" s="357">
        <f t="shared" ca="1" si="88"/>
        <v>103.21616864299999</v>
      </c>
      <c r="U202" s="364">
        <f t="shared" ca="1" si="89"/>
        <v>0</v>
      </c>
      <c r="V202" s="359">
        <f t="shared" ca="1" si="90"/>
        <v>1.2063003194967326</v>
      </c>
      <c r="W202" s="357">
        <f t="shared" ca="1" si="91"/>
        <v>66.619660040218889</v>
      </c>
      <c r="X202" s="343"/>
      <c r="Y202" s="367" t="str">
        <f t="shared" ca="1" si="109"/>
        <v/>
      </c>
      <c r="Z202" s="368" t="str">
        <f t="shared" ca="1" si="110"/>
        <v/>
      </c>
      <c r="AA202" s="369" t="str">
        <f t="shared" ca="1" si="111"/>
        <v/>
      </c>
      <c r="AB202" s="344"/>
      <c r="AC202" s="363" t="e">
        <f t="shared" ca="1" si="112"/>
        <v>#N/A</v>
      </c>
      <c r="AD202" s="376" t="e">
        <f t="shared" ca="1" si="113"/>
        <v>#N/A</v>
      </c>
      <c r="AE202" s="377">
        <f t="shared" ca="1" si="92"/>
        <v>153.82452223868503</v>
      </c>
      <c r="AF202" s="344"/>
      <c r="AG202" s="359">
        <f t="shared" ca="1" si="114"/>
        <v>70.713036465158481</v>
      </c>
      <c r="AH202" s="357">
        <f t="shared" ca="1" si="115"/>
        <v>80.294452630113781</v>
      </c>
    </row>
    <row r="203" spans="1:34" x14ac:dyDescent="0.25">
      <c r="A203" s="402">
        <f t="shared" ca="1" si="93"/>
        <v>0.01</v>
      </c>
      <c r="B203" s="357">
        <f t="shared" ca="1" si="94"/>
        <v>1.9900000000000015</v>
      </c>
      <c r="C203" s="342"/>
      <c r="D203" s="359">
        <f t="shared" ca="1" si="95"/>
        <v>17.212566777616352</v>
      </c>
      <c r="E203" s="360">
        <f t="shared" ca="1" si="96"/>
        <v>68.473213066839946</v>
      </c>
      <c r="F203" s="357">
        <f t="shared" ca="1" si="97"/>
        <v>70.603493984156074</v>
      </c>
      <c r="G203" s="359">
        <f t="shared" ca="1" si="98"/>
        <v>33.715635352177372</v>
      </c>
      <c r="H203" s="360">
        <f t="shared" ca="1" si="99"/>
        <v>153.24150937137404</v>
      </c>
      <c r="I203" s="357">
        <f t="shared" ca="1" si="100"/>
        <v>156.90667373192866</v>
      </c>
      <c r="J203" s="359">
        <f t="shared" ca="1" si="101"/>
        <v>32.224647948707663</v>
      </c>
      <c r="K203" s="360">
        <f t="shared" ca="1" si="102"/>
        <v>155.35351367174545</v>
      </c>
      <c r="L203" s="357">
        <f t="shared" ca="1" si="87"/>
        <v>158.66046182201583</v>
      </c>
      <c r="M203" s="359">
        <f t="shared" ca="1" si="103"/>
        <v>1.354230440424256</v>
      </c>
      <c r="N203" s="357">
        <f t="shared" ca="1" si="104"/>
        <v>77.591688724452538</v>
      </c>
      <c r="O203" s="343"/>
      <c r="P203" s="363">
        <f t="shared" ca="1" si="105"/>
        <v>7</v>
      </c>
      <c r="Q203" s="357">
        <f t="shared" ca="1" si="106"/>
        <v>909.58831168831148</v>
      </c>
      <c r="R203" s="359">
        <f t="shared" ca="1" si="107"/>
        <v>0.45564212944410765</v>
      </c>
      <c r="S203" s="360">
        <f t="shared" ca="1" si="108"/>
        <v>10.516969434261114</v>
      </c>
      <c r="T203" s="357">
        <f t="shared" ca="1" si="88"/>
        <v>103.17147015010153</v>
      </c>
      <c r="U203" s="364">
        <f t="shared" ca="1" si="89"/>
        <v>0</v>
      </c>
      <c r="V203" s="359">
        <f t="shared" ca="1" si="90"/>
        <v>1.2061158802926679</v>
      </c>
      <c r="W203" s="357">
        <f t="shared" ca="1" si="91"/>
        <v>67.212722204174639</v>
      </c>
      <c r="X203" s="343"/>
      <c r="Y203" s="367" t="str">
        <f t="shared" ca="1" si="109"/>
        <v/>
      </c>
      <c r="Z203" s="368" t="str">
        <f t="shared" ca="1" si="110"/>
        <v/>
      </c>
      <c r="AA203" s="369" t="str">
        <f t="shared" ca="1" si="111"/>
        <v/>
      </c>
      <c r="AB203" s="344"/>
      <c r="AC203" s="363" t="e">
        <f t="shared" ca="1" si="112"/>
        <v>#N/A</v>
      </c>
      <c r="AD203" s="376" t="e">
        <f t="shared" ca="1" si="113"/>
        <v>#N/A</v>
      </c>
      <c r="AE203" s="377">
        <f t="shared" ca="1" si="92"/>
        <v>155.35351367174545</v>
      </c>
      <c r="AF203" s="344"/>
      <c r="AG203" s="359">
        <f t="shared" ca="1" si="114"/>
        <v>70.572057919629117</v>
      </c>
      <c r="AH203" s="357">
        <f t="shared" ca="1" si="115"/>
        <v>80.153190224358269</v>
      </c>
    </row>
    <row r="204" spans="1:34" x14ac:dyDescent="0.25">
      <c r="A204" s="402">
        <f t="shared" ca="1" si="93"/>
        <v>0.01</v>
      </c>
      <c r="B204" s="357">
        <f t="shared" ca="1" si="94"/>
        <v>2.0000000000000013</v>
      </c>
      <c r="C204" s="342"/>
      <c r="D204" s="359">
        <f t="shared" ca="1" si="95"/>
        <v>17.192659927685945</v>
      </c>
      <c r="E204" s="360">
        <f t="shared" ca="1" si="96"/>
        <v>68.332651915268912</v>
      </c>
      <c r="F204" s="357">
        <f t="shared" ca="1" si="97"/>
        <v>70.462322365661223</v>
      </c>
      <c r="G204" s="359">
        <f t="shared" ca="1" si="98"/>
        <v>33.887561951454231</v>
      </c>
      <c r="H204" s="360">
        <f t="shared" ca="1" si="99"/>
        <v>153.92483589052674</v>
      </c>
      <c r="I204" s="357">
        <f t="shared" ca="1" si="100"/>
        <v>157.61098298957225</v>
      </c>
      <c r="J204" s="359">
        <f t="shared" ca="1" si="101"/>
        <v>32.562663935225821</v>
      </c>
      <c r="K204" s="360">
        <f t="shared" ca="1" si="102"/>
        <v>156.88934539805496</v>
      </c>
      <c r="L204" s="357">
        <f t="shared" ca="1" si="87"/>
        <v>160.23293600876394</v>
      </c>
      <c r="M204" s="359">
        <f t="shared" ca="1" si="103"/>
        <v>1.3540966969923205</v>
      </c>
      <c r="N204" s="357">
        <f t="shared" ca="1" si="104"/>
        <v>77.584025790265045</v>
      </c>
      <c r="O204" s="343"/>
      <c r="P204" s="363">
        <f t="shared" ca="1" si="105"/>
        <v>7</v>
      </c>
      <c r="Q204" s="357">
        <f t="shared" ca="1" si="106"/>
        <v>908.32857142857119</v>
      </c>
      <c r="R204" s="359">
        <f t="shared" ca="1" si="107"/>
        <v>0.45501108490767428</v>
      </c>
      <c r="S204" s="360">
        <f t="shared" ca="1" si="108"/>
        <v>10.512419323412036</v>
      </c>
      <c r="T204" s="357">
        <f t="shared" ca="1" si="88"/>
        <v>103.12683356267208</v>
      </c>
      <c r="U204" s="364">
        <f t="shared" ca="1" si="89"/>
        <v>0</v>
      </c>
      <c r="V204" s="359">
        <f t="shared" ca="1" si="90"/>
        <v>1.2059306441267441</v>
      </c>
      <c r="W204" s="357">
        <f t="shared" ca="1" si="91"/>
        <v>67.807058424112554</v>
      </c>
      <c r="X204" s="343"/>
      <c r="Y204" s="367" t="str">
        <f t="shared" ca="1" si="109"/>
        <v/>
      </c>
      <c r="Z204" s="368" t="str">
        <f t="shared" ca="1" si="110"/>
        <v/>
      </c>
      <c r="AA204" s="369" t="str">
        <f t="shared" ca="1" si="111"/>
        <v/>
      </c>
      <c r="AB204" s="344"/>
      <c r="AC204" s="363">
        <f t="shared" ca="1" si="112"/>
        <v>2.0000000000000013</v>
      </c>
      <c r="AD204" s="376">
        <f t="shared" ca="1" si="113"/>
        <v>32.562663935225821</v>
      </c>
      <c r="AE204" s="377">
        <f t="shared" ca="1" si="92"/>
        <v>156.88934539805496</v>
      </c>
      <c r="AF204" s="344"/>
      <c r="AG204" s="359">
        <f t="shared" ca="1" si="114"/>
        <v>70.430784802569008</v>
      </c>
      <c r="AH204" s="357">
        <f t="shared" ca="1" si="115"/>
        <v>80.011634177411594</v>
      </c>
    </row>
    <row r="205" spans="1:34" x14ac:dyDescent="0.25">
      <c r="A205" s="402">
        <f t="shared" ca="1" si="93"/>
        <v>0.01</v>
      </c>
      <c r="B205" s="357">
        <f t="shared" ca="1" si="94"/>
        <v>2.0100000000000011</v>
      </c>
      <c r="C205" s="342"/>
      <c r="D205" s="359">
        <f t="shared" ca="1" si="95"/>
        <v>17.172612471379843</v>
      </c>
      <c r="E205" s="360">
        <f t="shared" ca="1" si="96"/>
        <v>68.191821442788182</v>
      </c>
      <c r="F205" s="357">
        <f t="shared" ca="1" si="97"/>
        <v>70.320858433165455</v>
      </c>
      <c r="G205" s="359">
        <f t="shared" ca="1" si="98"/>
        <v>34.059288076168031</v>
      </c>
      <c r="H205" s="360">
        <f t="shared" ca="1" si="99"/>
        <v>154.60675410495463</v>
      </c>
      <c r="I205" s="357">
        <f t="shared" ca="1" si="100"/>
        <v>158.31387658422528</v>
      </c>
      <c r="J205" s="359">
        <f t="shared" ca="1" si="101"/>
        <v>32.902398185363936</v>
      </c>
      <c r="K205" s="360">
        <f t="shared" ca="1" si="102"/>
        <v>158.43200334803237</v>
      </c>
      <c r="L205" s="357">
        <f t="shared" ca="1" si="87"/>
        <v>161.81244541511379</v>
      </c>
      <c r="M205" s="359">
        <f t="shared" ca="1" si="103"/>
        <v>1.3539634664265696</v>
      </c>
      <c r="N205" s="357">
        <f t="shared" ca="1" si="104"/>
        <v>77.576392241145371</v>
      </c>
      <c r="O205" s="343"/>
      <c r="P205" s="363">
        <f t="shared" ca="1" si="105"/>
        <v>7</v>
      </c>
      <c r="Q205" s="357">
        <f t="shared" ca="1" si="106"/>
        <v>907.06883116883091</v>
      </c>
      <c r="R205" s="359">
        <f t="shared" ca="1" si="107"/>
        <v>0.45438004037124097</v>
      </c>
      <c r="S205" s="360">
        <f t="shared" ca="1" si="108"/>
        <v>10.507875523008323</v>
      </c>
      <c r="T205" s="357">
        <f t="shared" ca="1" si="88"/>
        <v>103.08225888071165</v>
      </c>
      <c r="U205" s="364">
        <f t="shared" ca="1" si="89"/>
        <v>0</v>
      </c>
      <c r="V205" s="359">
        <f t="shared" ca="1" si="90"/>
        <v>1.2057446130662242</v>
      </c>
      <c r="W205" s="357">
        <f t="shared" ca="1" si="91"/>
        <v>68.402648102857228</v>
      </c>
      <c r="X205" s="343"/>
      <c r="Y205" s="367" t="str">
        <f t="shared" ca="1" si="109"/>
        <v/>
      </c>
      <c r="Z205" s="368" t="str">
        <f t="shared" ca="1" si="110"/>
        <v/>
      </c>
      <c r="AA205" s="369" t="str">
        <f t="shared" ca="1" si="111"/>
        <v/>
      </c>
      <c r="AB205" s="344"/>
      <c r="AC205" s="363" t="e">
        <f t="shared" ca="1" si="112"/>
        <v>#N/A</v>
      </c>
      <c r="AD205" s="376" t="e">
        <f t="shared" ca="1" si="113"/>
        <v>#N/A</v>
      </c>
      <c r="AE205" s="377">
        <f t="shared" ca="1" si="92"/>
        <v>158.43200334803237</v>
      </c>
      <c r="AF205" s="344"/>
      <c r="AG205" s="359">
        <f t="shared" ca="1" si="114"/>
        <v>70.28921895869675</v>
      </c>
      <c r="AH205" s="357">
        <f t="shared" ca="1" si="115"/>
        <v>79.869786324271587</v>
      </c>
    </row>
    <row r="206" spans="1:34" x14ac:dyDescent="0.25">
      <c r="A206" s="402">
        <f t="shared" ca="1" si="93"/>
        <v>0.01</v>
      </c>
      <c r="B206" s="357">
        <f t="shared" ca="1" si="94"/>
        <v>2.0200000000000009</v>
      </c>
      <c r="C206" s="342"/>
      <c r="D206" s="359">
        <f t="shared" ca="1" si="95"/>
        <v>17.152425337467765</v>
      </c>
      <c r="E206" s="360">
        <f t="shared" ca="1" si="96"/>
        <v>68.05072335167354</v>
      </c>
      <c r="F206" s="357">
        <f t="shared" ca="1" si="97"/>
        <v>70.179104038477249</v>
      </c>
      <c r="G206" s="359">
        <f t="shared" ca="1" si="98"/>
        <v>34.230812329542708</v>
      </c>
      <c r="H206" s="360">
        <f t="shared" ca="1" si="99"/>
        <v>155.28726133847138</v>
      </c>
      <c r="I206" s="357">
        <f t="shared" ca="1" si="100"/>
        <v>159.01535160714226</v>
      </c>
      <c r="J206" s="359">
        <f t="shared" ca="1" si="101"/>
        <v>33.243848687392486</v>
      </c>
      <c r="K206" s="360">
        <f t="shared" ca="1" si="102"/>
        <v>159.9814734252495</v>
      </c>
      <c r="L206" s="357">
        <f t="shared" ca="1" si="87"/>
        <v>163.3989758684676</v>
      </c>
      <c r="M206" s="359">
        <f t="shared" ca="1" si="103"/>
        <v>1.3538307433203622</v>
      </c>
      <c r="N206" s="357">
        <f t="shared" ca="1" si="104"/>
        <v>77.568787767315825</v>
      </c>
      <c r="O206" s="343"/>
      <c r="P206" s="363">
        <f t="shared" ca="1" si="105"/>
        <v>7</v>
      </c>
      <c r="Q206" s="357">
        <f t="shared" ca="1" si="106"/>
        <v>905.80909090909074</v>
      </c>
      <c r="R206" s="359">
        <f t="shared" ca="1" si="107"/>
        <v>0.45374899583480766</v>
      </c>
      <c r="S206" s="360">
        <f t="shared" ca="1" si="108"/>
        <v>10.503338033049975</v>
      </c>
      <c r="T206" s="357">
        <f t="shared" ca="1" si="88"/>
        <v>103.03774610422026</v>
      </c>
      <c r="U206" s="364">
        <f t="shared" ca="1" si="89"/>
        <v>0</v>
      </c>
      <c r="V206" s="359">
        <f t="shared" ca="1" si="90"/>
        <v>1.2055577891820717</v>
      </c>
      <c r="W206" s="357">
        <f t="shared" ca="1" si="91"/>
        <v>68.999470657200789</v>
      </c>
      <c r="X206" s="343"/>
      <c r="Y206" s="367" t="str">
        <f t="shared" ca="1" si="109"/>
        <v/>
      </c>
      <c r="Z206" s="368" t="str">
        <f t="shared" ca="1" si="110"/>
        <v/>
      </c>
      <c r="AA206" s="369" t="str">
        <f t="shared" ca="1" si="111"/>
        <v/>
      </c>
      <c r="AB206" s="344"/>
      <c r="AC206" s="363" t="e">
        <f t="shared" ca="1" si="112"/>
        <v>#N/A</v>
      </c>
      <c r="AD206" s="376" t="e">
        <f t="shared" ca="1" si="113"/>
        <v>#N/A</v>
      </c>
      <c r="AE206" s="377">
        <f t="shared" ca="1" si="92"/>
        <v>159.9814734252495</v>
      </c>
      <c r="AF206" s="344"/>
      <c r="AG206" s="359">
        <f t="shared" ca="1" si="114"/>
        <v>70.147362235565524</v>
      </c>
      <c r="AH206" s="357">
        <f t="shared" ca="1" si="115"/>
        <v>79.727648502907996</v>
      </c>
    </row>
    <row r="207" spans="1:34" x14ac:dyDescent="0.25">
      <c r="A207" s="402">
        <f t="shared" ca="1" si="93"/>
        <v>0.01</v>
      </c>
      <c r="B207" s="357">
        <f t="shared" ca="1" si="94"/>
        <v>2.0300000000000007</v>
      </c>
      <c r="C207" s="342"/>
      <c r="D207" s="359">
        <f t="shared" ca="1" si="95"/>
        <v>17.132099447779687</v>
      </c>
      <c r="E207" s="360">
        <f t="shared" ca="1" si="96"/>
        <v>67.909359348302843</v>
      </c>
      <c r="F207" s="357">
        <f t="shared" ca="1" si="97"/>
        <v>70.037061036179551</v>
      </c>
      <c r="G207" s="359">
        <f t="shared" ca="1" si="98"/>
        <v>34.402133324020504</v>
      </c>
      <c r="H207" s="360">
        <f t="shared" ca="1" si="99"/>
        <v>155.96635493195441</v>
      </c>
      <c r="I207" s="357">
        <f t="shared" ca="1" si="100"/>
        <v>159.71540516808034</v>
      </c>
      <c r="J207" s="359">
        <f t="shared" ca="1" si="101"/>
        <v>33.587013415660302</v>
      </c>
      <c r="K207" s="360">
        <f t="shared" ca="1" si="102"/>
        <v>161.53774150660163</v>
      </c>
      <c r="L207" s="357">
        <f t="shared" ca="1" si="87"/>
        <v>164.99251316722643</v>
      </c>
      <c r="M207" s="359">
        <f t="shared" ca="1" si="103"/>
        <v>1.3536985223461557</v>
      </c>
      <c r="N207" s="357">
        <f t="shared" ca="1" si="104"/>
        <v>77.561212063530689</v>
      </c>
      <c r="O207" s="343"/>
      <c r="P207" s="363">
        <f t="shared" ca="1" si="105"/>
        <v>7</v>
      </c>
      <c r="Q207" s="357">
        <f t="shared" ca="1" si="106"/>
        <v>904.54935064935046</v>
      </c>
      <c r="R207" s="359">
        <f t="shared" ca="1" si="107"/>
        <v>0.45311795129837434</v>
      </c>
      <c r="S207" s="360">
        <f t="shared" ca="1" si="108"/>
        <v>10.498806853536991</v>
      </c>
      <c r="T207" s="357">
        <f t="shared" ca="1" si="88"/>
        <v>102.99329523319788</v>
      </c>
      <c r="U207" s="364">
        <f t="shared" ca="1" si="89"/>
        <v>0</v>
      </c>
      <c r="V207" s="359">
        <f t="shared" ca="1" si="90"/>
        <v>1.205370174548918</v>
      </c>
      <c r="W207" s="357">
        <f t="shared" ca="1" si="91"/>
        <v>69.597505518660057</v>
      </c>
      <c r="X207" s="343"/>
      <c r="Y207" s="367" t="str">
        <f t="shared" ca="1" si="109"/>
        <v/>
      </c>
      <c r="Z207" s="368" t="str">
        <f t="shared" ca="1" si="110"/>
        <v/>
      </c>
      <c r="AA207" s="369" t="str">
        <f t="shared" ca="1" si="111"/>
        <v/>
      </c>
      <c r="AB207" s="344"/>
      <c r="AC207" s="363" t="e">
        <f t="shared" ca="1" si="112"/>
        <v>#N/A</v>
      </c>
      <c r="AD207" s="376" t="e">
        <f t="shared" ca="1" si="113"/>
        <v>#N/A</v>
      </c>
      <c r="AE207" s="377">
        <f t="shared" ca="1" si="92"/>
        <v>161.53774150660163</v>
      </c>
      <c r="AF207" s="344"/>
      <c r="AG207" s="359">
        <f t="shared" ca="1" si="114"/>
        <v>70.005216483488766</v>
      </c>
      <c r="AH207" s="357">
        <f t="shared" ca="1" si="115"/>
        <v>79.585222554185535</v>
      </c>
    </row>
    <row r="208" spans="1:34" x14ac:dyDescent="0.25">
      <c r="A208" s="402">
        <f t="shared" ca="1" si="93"/>
        <v>0.01</v>
      </c>
      <c r="B208" s="357">
        <f t="shared" ca="1" si="94"/>
        <v>2.0400000000000005</v>
      </c>
      <c r="C208" s="342"/>
      <c r="D208" s="359">
        <f t="shared" ca="1" si="95"/>
        <v>17.111635717348982</v>
      </c>
      <c r="E208" s="360">
        <f t="shared" ca="1" si="96"/>
        <v>67.76773114305395</v>
      </c>
      <c r="F208" s="357">
        <f t="shared" ca="1" si="97"/>
        <v>69.89473128355597</v>
      </c>
      <c r="G208" s="359">
        <f t="shared" ca="1" si="98"/>
        <v>34.573249681193992</v>
      </c>
      <c r="H208" s="360">
        <f t="shared" ca="1" si="99"/>
        <v>156.64403224338494</v>
      </c>
      <c r="I208" s="357">
        <f t="shared" ca="1" si="100"/>
        <v>160.4140343953259</v>
      </c>
      <c r="J208" s="359">
        <f t="shared" ca="1" si="101"/>
        <v>33.931890330686372</v>
      </c>
      <c r="K208" s="360">
        <f t="shared" ca="1" si="102"/>
        <v>163.10079344247833</v>
      </c>
      <c r="L208" s="357">
        <f t="shared" ca="1" si="87"/>
        <v>166.59304308097535</v>
      </c>
      <c r="M208" s="359">
        <f t="shared" ca="1" si="103"/>
        <v>1.3535667982539397</v>
      </c>
      <c r="N208" s="357">
        <f t="shared" ca="1" si="104"/>
        <v>77.553664828986513</v>
      </c>
      <c r="O208" s="343"/>
      <c r="P208" s="363">
        <f t="shared" ca="1" si="105"/>
        <v>7</v>
      </c>
      <c r="Q208" s="357">
        <f t="shared" ca="1" si="106"/>
        <v>903.28961038961029</v>
      </c>
      <c r="R208" s="359">
        <f t="shared" ca="1" si="107"/>
        <v>0.45248690676194103</v>
      </c>
      <c r="S208" s="360">
        <f t="shared" ca="1" si="108"/>
        <v>10.494281984469371</v>
      </c>
      <c r="T208" s="357">
        <f t="shared" ca="1" si="88"/>
        <v>102.94890626764453</v>
      </c>
      <c r="U208" s="364">
        <f t="shared" ca="1" si="89"/>
        <v>0</v>
      </c>
      <c r="V208" s="359">
        <f t="shared" ca="1" si="90"/>
        <v>1.2051817712450246</v>
      </c>
      <c r="W208" s="357">
        <f t="shared" ca="1" si="91"/>
        <v>70.196732134230047</v>
      </c>
      <c r="X208" s="343"/>
      <c r="Y208" s="367" t="str">
        <f t="shared" ca="1" si="109"/>
        <v/>
      </c>
      <c r="Z208" s="368" t="str">
        <f t="shared" ca="1" si="110"/>
        <v/>
      </c>
      <c r="AA208" s="369" t="str">
        <f t="shared" ca="1" si="111"/>
        <v/>
      </c>
      <c r="AB208" s="344"/>
      <c r="AC208" s="363" t="e">
        <f t="shared" ca="1" si="112"/>
        <v>#N/A</v>
      </c>
      <c r="AD208" s="376" t="e">
        <f t="shared" ca="1" si="113"/>
        <v>#N/A</v>
      </c>
      <c r="AE208" s="377">
        <f t="shared" ca="1" si="92"/>
        <v>163.10079344247833</v>
      </c>
      <c r="AF208" s="344"/>
      <c r="AG208" s="359">
        <f t="shared" ca="1" si="114"/>
        <v>69.862783555465839</v>
      </c>
      <c r="AH208" s="357">
        <f t="shared" ca="1" si="115"/>
        <v>79.442510321786898</v>
      </c>
    </row>
    <row r="209" spans="1:34" x14ac:dyDescent="0.25">
      <c r="A209" s="402">
        <f t="shared" ca="1" si="93"/>
        <v>0.01</v>
      </c>
      <c r="B209" s="357">
        <f t="shared" ca="1" si="94"/>
        <v>2.0500000000000003</v>
      </c>
      <c r="C209" s="342"/>
      <c r="D209" s="359">
        <f t="shared" ca="1" si="95"/>
        <v>17.091035054551529</v>
      </c>
      <c r="E209" s="360">
        <f t="shared" ca="1" si="96"/>
        <v>67.625840450203611</v>
      </c>
      <c r="F209" s="357">
        <f t="shared" ca="1" si="97"/>
        <v>69.752116640517116</v>
      </c>
      <c r="G209" s="359">
        <f t="shared" ca="1" si="98"/>
        <v>34.744160031739504</v>
      </c>
      <c r="H209" s="360">
        <f t="shared" ca="1" si="99"/>
        <v>157.32029064788696</v>
      </c>
      <c r="I209" s="357">
        <f t="shared" ca="1" si="100"/>
        <v>161.11123643572088</v>
      </c>
      <c r="J209" s="359">
        <f t="shared" ca="1" si="101"/>
        <v>34.278477379251036</v>
      </c>
      <c r="K209" s="360">
        <f t="shared" ca="1" si="102"/>
        <v>164.67061505693471</v>
      </c>
      <c r="L209" s="357">
        <f t="shared" ca="1" si="87"/>
        <v>168.20055135066886</v>
      </c>
      <c r="M209" s="359">
        <f t="shared" ca="1" si="103"/>
        <v>1.3534355658697095</v>
      </c>
      <c r="N209" s="357">
        <f t="shared" ca="1" si="104"/>
        <v>77.546145767234677</v>
      </c>
      <c r="O209" s="343"/>
      <c r="P209" s="363">
        <f t="shared" ca="1" si="105"/>
        <v>7</v>
      </c>
      <c r="Q209" s="357">
        <f t="shared" ca="1" si="106"/>
        <v>902.02987012987001</v>
      </c>
      <c r="R209" s="359">
        <f t="shared" ca="1" si="107"/>
        <v>0.45185586222550772</v>
      </c>
      <c r="S209" s="360">
        <f t="shared" ca="1" si="108"/>
        <v>10.489763425847116</v>
      </c>
      <c r="T209" s="357">
        <f t="shared" ca="1" si="88"/>
        <v>102.9045792075602</v>
      </c>
      <c r="U209" s="364">
        <f t="shared" ca="1" si="89"/>
        <v>0</v>
      </c>
      <c r="V209" s="359">
        <f t="shared" ca="1" si="90"/>
        <v>1.2049925813522471</v>
      </c>
      <c r="W209" s="357">
        <f t="shared" ca="1" si="91"/>
        <v>70.797129967134808</v>
      </c>
      <c r="X209" s="343"/>
      <c r="Y209" s="367" t="str">
        <f t="shared" ca="1" si="109"/>
        <v/>
      </c>
      <c r="Z209" s="368" t="str">
        <f t="shared" ca="1" si="110"/>
        <v/>
      </c>
      <c r="AA209" s="369" t="str">
        <f t="shared" ca="1" si="111"/>
        <v/>
      </c>
      <c r="AB209" s="344"/>
      <c r="AC209" s="363" t="e">
        <f t="shared" ca="1" si="112"/>
        <v>#N/A</v>
      </c>
      <c r="AD209" s="376" t="e">
        <f t="shared" ca="1" si="113"/>
        <v>#N/A</v>
      </c>
      <c r="AE209" s="377">
        <f t="shared" ca="1" si="92"/>
        <v>164.67061505693471</v>
      </c>
      <c r="AF209" s="344"/>
      <c r="AG209" s="359">
        <f t="shared" ca="1" si="114"/>
        <v>69.720065307107745</v>
      </c>
      <c r="AH209" s="357">
        <f t="shared" ca="1" si="115"/>
        <v>79.299513652135971</v>
      </c>
    </row>
    <row r="210" spans="1:34" x14ac:dyDescent="0.25">
      <c r="A210" s="402">
        <f t="shared" ca="1" si="93"/>
        <v>0.01</v>
      </c>
      <c r="B210" s="357">
        <f t="shared" ca="1" si="94"/>
        <v>2.06</v>
      </c>
      <c r="C210" s="342"/>
      <c r="D210" s="359">
        <f t="shared" ca="1" si="95"/>
        <v>17.068455329586033</v>
      </c>
      <c r="E210" s="360">
        <f t="shared" ca="1" si="96"/>
        <v>67.475343807648613</v>
      </c>
      <c r="F210" s="357">
        <f t="shared" ca="1" si="97"/>
        <v>69.600676643969905</v>
      </c>
      <c r="G210" s="359">
        <f t="shared" ca="1" si="98"/>
        <v>34.914844585035368</v>
      </c>
      <c r="H210" s="360">
        <f t="shared" ca="1" si="99"/>
        <v>157.99504408596346</v>
      </c>
      <c r="I210" s="357">
        <f t="shared" ca="1" si="100"/>
        <v>161.80692299194962</v>
      </c>
      <c r="J210" s="359">
        <f t="shared" ca="1" si="101"/>
        <v>34.626772402334907</v>
      </c>
      <c r="K210" s="360">
        <f t="shared" ca="1" si="102"/>
        <v>166.24719173060396</v>
      </c>
      <c r="L210" s="357">
        <f t="shared" ca="1" si="87"/>
        <v>169.8150232615339</v>
      </c>
      <c r="M210" s="359">
        <f t="shared" ca="1" si="103"/>
        <v>1.3533048200249178</v>
      </c>
      <c r="N210" s="357">
        <f t="shared" ca="1" si="104"/>
        <v>77.538654582139245</v>
      </c>
      <c r="O210" s="343"/>
      <c r="P210" s="363">
        <f t="shared" ca="1" si="105"/>
        <v>8</v>
      </c>
      <c r="Q210" s="357">
        <f t="shared" ca="1" si="106"/>
        <v>900.68055555555543</v>
      </c>
      <c r="R210" s="359">
        <f t="shared" ca="1" si="107"/>
        <v>0.4511799470251579</v>
      </c>
      <c r="S210" s="360">
        <f t="shared" ca="1" si="108"/>
        <v>10.485251626376865</v>
      </c>
      <c r="T210" s="357">
        <f t="shared" ca="1" si="88"/>
        <v>102.86031845475705</v>
      </c>
      <c r="U210" s="364">
        <f t="shared" ca="1" si="89"/>
        <v>0</v>
      </c>
      <c r="V210" s="359">
        <f t="shared" ca="1" si="90"/>
        <v>1.2048026070062756</v>
      </c>
      <c r="W210" s="357">
        <f t="shared" ca="1" si="91"/>
        <v>71.398603078296347</v>
      </c>
      <c r="X210" s="343"/>
      <c r="Y210" s="367" t="str">
        <f t="shared" ca="1" si="109"/>
        <v/>
      </c>
      <c r="Z210" s="368" t="str">
        <f t="shared" ca="1" si="110"/>
        <v/>
      </c>
      <c r="AA210" s="369" t="str">
        <f t="shared" ca="1" si="111"/>
        <v/>
      </c>
      <c r="AB210" s="344"/>
      <c r="AC210" s="363" t="e">
        <f t="shared" ca="1" si="112"/>
        <v>#N/A</v>
      </c>
      <c r="AD210" s="376" t="e">
        <f t="shared" ca="1" si="113"/>
        <v>#N/A</v>
      </c>
      <c r="AE210" s="377">
        <f t="shared" ca="1" si="92"/>
        <v>166.24719173060396</v>
      </c>
      <c r="AF210" s="344"/>
      <c r="AG210" s="359">
        <f t="shared" ca="1" si="114"/>
        <v>69.568517322644453</v>
      </c>
      <c r="AH210" s="357">
        <f t="shared" ca="1" si="115"/>
        <v>79.147688120402634</v>
      </c>
    </row>
    <row r="211" spans="1:34" x14ac:dyDescent="0.25">
      <c r="A211" s="402">
        <f t="shared" ca="1" si="93"/>
        <v>0.01</v>
      </c>
      <c r="B211" s="357">
        <f t="shared" ca="1" si="94"/>
        <v>2.0699999999999998</v>
      </c>
      <c r="C211" s="342"/>
      <c r="D211" s="359">
        <f t="shared" ca="1" si="95"/>
        <v>17.043892619009601</v>
      </c>
      <c r="E211" s="360">
        <f t="shared" ca="1" si="96"/>
        <v>67.316236640646991</v>
      </c>
      <c r="F211" s="357">
        <f t="shared" ca="1" si="97"/>
        <v>69.440406040488526</v>
      </c>
      <c r="G211" s="359">
        <f t="shared" ca="1" si="98"/>
        <v>35.085283511225462</v>
      </c>
      <c r="H211" s="360">
        <f t="shared" ca="1" si="99"/>
        <v>158.66820645236993</v>
      </c>
      <c r="I211" s="357">
        <f t="shared" ca="1" si="100"/>
        <v>162.50100571342614</v>
      </c>
      <c r="J211" s="359">
        <f t="shared" ca="1" si="101"/>
        <v>34.976773042816212</v>
      </c>
      <c r="K211" s="360">
        <f t="shared" ca="1" si="102"/>
        <v>167.83050798329563</v>
      </c>
      <c r="L211" s="357">
        <f t="shared" ca="1" si="87"/>
        <v>171.43644321561192</v>
      </c>
      <c r="M211" s="359">
        <f t="shared" ca="1" si="103"/>
        <v>1.3531745555571177</v>
      </c>
      <c r="N211" s="357">
        <f t="shared" ca="1" si="104"/>
        <v>77.531190977913781</v>
      </c>
      <c r="O211" s="343"/>
      <c r="P211" s="363">
        <f t="shared" ca="1" si="105"/>
        <v>8</v>
      </c>
      <c r="Q211" s="357">
        <f t="shared" ca="1" si="106"/>
        <v>899.24166666666667</v>
      </c>
      <c r="R211" s="359">
        <f t="shared" ca="1" si="107"/>
        <v>0.45045916116089163</v>
      </c>
      <c r="S211" s="360">
        <f t="shared" ca="1" si="108"/>
        <v>10.480747034765256</v>
      </c>
      <c r="T211" s="357">
        <f t="shared" ca="1" si="88"/>
        <v>102.81612841104717</v>
      </c>
      <c r="U211" s="364">
        <f t="shared" ca="1" si="89"/>
        <v>0</v>
      </c>
      <c r="V211" s="359">
        <f t="shared" ca="1" si="90"/>
        <v>1.2046118504468633</v>
      </c>
      <c r="W211" s="357">
        <f t="shared" ca="1" si="91"/>
        <v>72.001054242391461</v>
      </c>
      <c r="X211" s="343"/>
      <c r="Y211" s="367" t="str">
        <f t="shared" ca="1" si="109"/>
        <v/>
      </c>
      <c r="Z211" s="368" t="str">
        <f t="shared" ca="1" si="110"/>
        <v/>
      </c>
      <c r="AA211" s="369" t="str">
        <f t="shared" ca="1" si="111"/>
        <v/>
      </c>
      <c r="AB211" s="344"/>
      <c r="AC211" s="363" t="e">
        <f t="shared" ca="1" si="112"/>
        <v>#N/A</v>
      </c>
      <c r="AD211" s="376" t="e">
        <f t="shared" ca="1" si="113"/>
        <v>#N/A</v>
      </c>
      <c r="AE211" s="377">
        <f t="shared" ca="1" si="92"/>
        <v>167.83050798329563</v>
      </c>
      <c r="AF211" s="344"/>
      <c r="AG211" s="359">
        <f t="shared" ca="1" si="114"/>
        <v>69.408134275043864</v>
      </c>
      <c r="AH211" s="357">
        <f t="shared" ca="1" si="115"/>
        <v>78.987028390473128</v>
      </c>
    </row>
    <row r="212" spans="1:34" x14ac:dyDescent="0.25">
      <c r="A212" s="402">
        <f t="shared" ca="1" si="93"/>
        <v>0.01</v>
      </c>
      <c r="B212" s="357">
        <f t="shared" ca="1" si="94"/>
        <v>2.0799999999999996</v>
      </c>
      <c r="C212" s="342"/>
      <c r="D212" s="359">
        <f t="shared" ca="1" si="95"/>
        <v>17.019189848683762</v>
      </c>
      <c r="E212" s="360">
        <f t="shared" ca="1" si="96"/>
        <v>67.156866398529885</v>
      </c>
      <c r="F212" s="357">
        <f t="shared" ca="1" si="97"/>
        <v>69.279849361668894</v>
      </c>
      <c r="G212" s="359">
        <f t="shared" ca="1" si="98"/>
        <v>35.255475409712297</v>
      </c>
      <c r="H212" s="360">
        <f t="shared" ca="1" si="99"/>
        <v>159.33977511635524</v>
      </c>
      <c r="I212" s="357">
        <f t="shared" ca="1" si="100"/>
        <v>163.19348173409222</v>
      </c>
      <c r="J212" s="359">
        <f t="shared" ca="1" si="101"/>
        <v>35.328476837420901</v>
      </c>
      <c r="K212" s="360">
        <f t="shared" ca="1" si="102"/>
        <v>169.42054789113925</v>
      </c>
      <c r="L212" s="357">
        <f t="shared" ca="1" si="87"/>
        <v>173.06479515888259</v>
      </c>
      <c r="M212" s="359">
        <f t="shared" ca="1" si="103"/>
        <v>1.3530447673785915</v>
      </c>
      <c r="N212" s="357">
        <f t="shared" ca="1" si="104"/>
        <v>77.523754663053538</v>
      </c>
      <c r="O212" s="343"/>
      <c r="P212" s="363">
        <f t="shared" ca="1" si="105"/>
        <v>8</v>
      </c>
      <c r="Q212" s="357">
        <f t="shared" ca="1" si="106"/>
        <v>897.80277777777781</v>
      </c>
      <c r="R212" s="359">
        <f t="shared" ca="1" si="107"/>
        <v>0.44973837529662536</v>
      </c>
      <c r="S212" s="360">
        <f t="shared" ca="1" si="108"/>
        <v>10.47624965101229</v>
      </c>
      <c r="T212" s="357">
        <f t="shared" ca="1" si="88"/>
        <v>102.77200907643058</v>
      </c>
      <c r="U212" s="364">
        <f t="shared" ca="1" si="89"/>
        <v>0</v>
      </c>
      <c r="V212" s="359">
        <f t="shared" ca="1" si="90"/>
        <v>1.2044203139674885</v>
      </c>
      <c r="W212" s="357">
        <f t="shared" ca="1" si="91"/>
        <v>72.604461064473327</v>
      </c>
      <c r="X212" s="343"/>
      <c r="Y212" s="367" t="str">
        <f t="shared" ca="1" si="109"/>
        <v/>
      </c>
      <c r="Z212" s="368" t="str">
        <f t="shared" ca="1" si="110"/>
        <v/>
      </c>
      <c r="AA212" s="369" t="str">
        <f t="shared" ca="1" si="111"/>
        <v/>
      </c>
      <c r="AB212" s="344"/>
      <c r="AC212" s="363" t="e">
        <f t="shared" ca="1" si="112"/>
        <v>#N/A</v>
      </c>
      <c r="AD212" s="376" t="e">
        <f t="shared" ca="1" si="113"/>
        <v>#N/A</v>
      </c>
      <c r="AE212" s="377">
        <f t="shared" ca="1" si="92"/>
        <v>169.42054789113925</v>
      </c>
      <c r="AF212" s="344"/>
      <c r="AG212" s="359">
        <f t="shared" ca="1" si="114"/>
        <v>69.247464617130547</v>
      </c>
      <c r="AH212" s="357">
        <f t="shared" ca="1" si="115"/>
        <v>78.82608290607044</v>
      </c>
    </row>
    <row r="213" spans="1:34" x14ac:dyDescent="0.25">
      <c r="A213" s="402">
        <f t="shared" ca="1" si="93"/>
        <v>0.01</v>
      </c>
      <c r="B213" s="357">
        <f t="shared" ca="1" si="94"/>
        <v>2.0899999999999994</v>
      </c>
      <c r="C213" s="342"/>
      <c r="D213" s="359">
        <f t="shared" ca="1" si="95"/>
        <v>16.994347986365018</v>
      </c>
      <c r="E213" s="360">
        <f t="shared" ca="1" si="96"/>
        <v>66.997235044418431</v>
      </c>
      <c r="F213" s="357">
        <f t="shared" ca="1" si="97"/>
        <v>69.119008724653426</v>
      </c>
      <c r="G213" s="359">
        <f t="shared" ca="1" si="98"/>
        <v>35.425418889575944</v>
      </c>
      <c r="H213" s="360">
        <f t="shared" ca="1" si="99"/>
        <v>160.00974746679944</v>
      </c>
      <c r="I213" s="357">
        <f t="shared" ca="1" si="100"/>
        <v>163.88434820900639</v>
      </c>
      <c r="J213" s="359">
        <f t="shared" ca="1" si="101"/>
        <v>35.68188130891734</v>
      </c>
      <c r="K213" s="360">
        <f t="shared" ca="1" si="102"/>
        <v>171.01729550405503</v>
      </c>
      <c r="L213" s="357">
        <f t="shared" ca="1" si="87"/>
        <v>174.70006300876065</v>
      </c>
      <c r="M213" s="359">
        <f t="shared" ca="1" si="103"/>
        <v>1.3529154504748808</v>
      </c>
      <c r="N213" s="357">
        <f t="shared" ca="1" si="104"/>
        <v>77.516345350251214</v>
      </c>
      <c r="O213" s="343"/>
      <c r="P213" s="363">
        <f t="shared" ca="1" si="105"/>
        <v>8</v>
      </c>
      <c r="Q213" s="357">
        <f t="shared" ca="1" si="106"/>
        <v>896.36388888888894</v>
      </c>
      <c r="R213" s="359">
        <f t="shared" ca="1" si="107"/>
        <v>0.44901758943235903</v>
      </c>
      <c r="S213" s="360">
        <f t="shared" ca="1" si="108"/>
        <v>10.471759475117967</v>
      </c>
      <c r="T213" s="357">
        <f t="shared" ca="1" si="88"/>
        <v>102.72796045090726</v>
      </c>
      <c r="U213" s="364">
        <f t="shared" ca="1" si="89"/>
        <v>0</v>
      </c>
      <c r="V213" s="359">
        <f t="shared" ca="1" si="90"/>
        <v>1.2042279998650181</v>
      </c>
      <c r="W213" s="357">
        <f t="shared" ca="1" si="91"/>
        <v>73.20880118076407</v>
      </c>
      <c r="X213" s="343"/>
      <c r="Y213" s="367" t="str">
        <f t="shared" ca="1" si="109"/>
        <v/>
      </c>
      <c r="Z213" s="368" t="str">
        <f t="shared" ca="1" si="110"/>
        <v/>
      </c>
      <c r="AA213" s="369" t="str">
        <f t="shared" ca="1" si="111"/>
        <v/>
      </c>
      <c r="AB213" s="344"/>
      <c r="AC213" s="363" t="e">
        <f t="shared" ca="1" si="112"/>
        <v>#N/A</v>
      </c>
      <c r="AD213" s="376" t="e">
        <f t="shared" ca="1" si="113"/>
        <v>#N/A</v>
      </c>
      <c r="AE213" s="377">
        <f t="shared" ca="1" si="92"/>
        <v>171.01729550405503</v>
      </c>
      <c r="AF213" s="344"/>
      <c r="AG213" s="359">
        <f t="shared" ca="1" si="114"/>
        <v>69.086510460652192</v>
      </c>
      <c r="AH213" s="357">
        <f t="shared" ca="1" si="115"/>
        <v>78.66485376996647</v>
      </c>
    </row>
    <row r="214" spans="1:34" x14ac:dyDescent="0.25">
      <c r="A214" s="402">
        <f t="shared" ca="1" si="93"/>
        <v>0.01</v>
      </c>
      <c r="B214" s="357">
        <f t="shared" ca="1" si="94"/>
        <v>2.0999999999999992</v>
      </c>
      <c r="C214" s="342"/>
      <c r="D214" s="359">
        <f t="shared" ca="1" si="95"/>
        <v>16.969367993172192</v>
      </c>
      <c r="E214" s="360">
        <f t="shared" ca="1" si="96"/>
        <v>66.837344544390035</v>
      </c>
      <c r="F214" s="357">
        <f t="shared" ca="1" si="97"/>
        <v>68.957886248297967</v>
      </c>
      <c r="G214" s="359">
        <f t="shared" ca="1" si="98"/>
        <v>35.595112569507663</v>
      </c>
      <c r="H214" s="360">
        <f t="shared" ca="1" si="99"/>
        <v>160.67812091224334</v>
      </c>
      <c r="I214" s="357">
        <f t="shared" ca="1" si="100"/>
        <v>164.5736023143609</v>
      </c>
      <c r="J214" s="359">
        <f t="shared" ca="1" si="101"/>
        <v>36.036983966212759</v>
      </c>
      <c r="K214" s="360">
        <f t="shared" ca="1" si="102"/>
        <v>172.62073484595024</v>
      </c>
      <c r="L214" s="357">
        <f t="shared" ca="1" si="87"/>
        <v>176.34223065430734</v>
      </c>
      <c r="M214" s="359">
        <f t="shared" ca="1" si="103"/>
        <v>1.3527865999033544</v>
      </c>
      <c r="N214" s="357">
        <f t="shared" ca="1" si="104"/>
        <v>77.508962756314901</v>
      </c>
      <c r="O214" s="343"/>
      <c r="P214" s="363">
        <f t="shared" ca="1" si="105"/>
        <v>8</v>
      </c>
      <c r="Q214" s="357">
        <f t="shared" ca="1" si="106"/>
        <v>894.92500000000007</v>
      </c>
      <c r="R214" s="359">
        <f t="shared" ca="1" si="107"/>
        <v>0.44829680356809271</v>
      </c>
      <c r="S214" s="360">
        <f t="shared" ca="1" si="108"/>
        <v>10.467276507082286</v>
      </c>
      <c r="T214" s="357">
        <f t="shared" ca="1" si="88"/>
        <v>102.68398253447722</v>
      </c>
      <c r="U214" s="364">
        <f t="shared" ca="1" si="89"/>
        <v>0</v>
      </c>
      <c r="V214" s="359">
        <f t="shared" ca="1" si="90"/>
        <v>1.2040349104396719</v>
      </c>
      <c r="W214" s="357">
        <f t="shared" ca="1" si="91"/>
        <v>73.81405225946682</v>
      </c>
      <c r="X214" s="343"/>
      <c r="Y214" s="367" t="str">
        <f t="shared" ca="1" si="109"/>
        <v/>
      </c>
      <c r="Z214" s="368" t="str">
        <f t="shared" ca="1" si="110"/>
        <v/>
      </c>
      <c r="AA214" s="369" t="str">
        <f t="shared" ca="1" si="111"/>
        <v/>
      </c>
      <c r="AB214" s="344"/>
      <c r="AC214" s="363" t="e">
        <f t="shared" ca="1" si="112"/>
        <v>#N/A</v>
      </c>
      <c r="AD214" s="376" t="e">
        <f t="shared" ca="1" si="113"/>
        <v>#N/A</v>
      </c>
      <c r="AE214" s="377">
        <f t="shared" ca="1" si="92"/>
        <v>172.62073484595024</v>
      </c>
      <c r="AF214" s="344"/>
      <c r="AG214" s="359">
        <f t="shared" ca="1" si="114"/>
        <v>68.925273919038204</v>
      </c>
      <c r="AH214" s="357">
        <f t="shared" ca="1" si="115"/>
        <v>78.503343086738255</v>
      </c>
    </row>
    <row r="215" spans="1:34" x14ac:dyDescent="0.25">
      <c r="A215" s="402">
        <f t="shared" ca="1" si="93"/>
        <v>0.01</v>
      </c>
      <c r="B215" s="357">
        <f t="shared" ca="1" si="94"/>
        <v>2.109999999999999</v>
      </c>
      <c r="C215" s="342"/>
      <c r="D215" s="359">
        <f t="shared" ca="1" si="95"/>
        <v>16.944250823713688</v>
      </c>
      <c r="E215" s="360">
        <f t="shared" ca="1" si="96"/>
        <v>66.67719686736767</v>
      </c>
      <c r="F215" s="357">
        <f t="shared" ca="1" si="97"/>
        <v>68.7964840530868</v>
      </c>
      <c r="G215" s="359">
        <f t="shared" ca="1" si="98"/>
        <v>35.764555077744802</v>
      </c>
      <c r="H215" s="360">
        <f t="shared" ca="1" si="99"/>
        <v>161.34489288091703</v>
      </c>
      <c r="I215" s="357">
        <f t="shared" ca="1" si="100"/>
        <v>165.26124124749771</v>
      </c>
      <c r="J215" s="359">
        <f t="shared" ca="1" si="101"/>
        <v>36.393782304449019</v>
      </c>
      <c r="K215" s="360">
        <f t="shared" ca="1" si="102"/>
        <v>174.23084991491604</v>
      </c>
      <c r="L215" s="357">
        <f t="shared" ca="1" si="87"/>
        <v>177.99128195644198</v>
      </c>
      <c r="M215" s="359">
        <f t="shared" ca="1" si="103"/>
        <v>1.3526582107918081</v>
      </c>
      <c r="N215" s="357">
        <f t="shared" ca="1" si="104"/>
        <v>77.501606602087875</v>
      </c>
      <c r="O215" s="343"/>
      <c r="P215" s="363">
        <f t="shared" ca="1" si="105"/>
        <v>8</v>
      </c>
      <c r="Q215" s="357">
        <f t="shared" ca="1" si="106"/>
        <v>893.4861111111112</v>
      </c>
      <c r="R215" s="359">
        <f t="shared" ca="1" si="107"/>
        <v>0.44757601770382643</v>
      </c>
      <c r="S215" s="360">
        <f t="shared" ca="1" si="108"/>
        <v>10.462800746905247</v>
      </c>
      <c r="T215" s="357">
        <f t="shared" ca="1" si="88"/>
        <v>102.64007532714048</v>
      </c>
      <c r="U215" s="364">
        <f t="shared" ca="1" si="89"/>
        <v>0</v>
      </c>
      <c r="V215" s="359">
        <f t="shared" ca="1" si="90"/>
        <v>1.2038410479949802</v>
      </c>
      <c r="W215" s="357">
        <f t="shared" ca="1" si="91"/>
        <v>74.42019200157317</v>
      </c>
      <c r="X215" s="343"/>
      <c r="Y215" s="367" t="str">
        <f t="shared" ca="1" si="109"/>
        <v/>
      </c>
      <c r="Z215" s="368" t="str">
        <f t="shared" ca="1" si="110"/>
        <v/>
      </c>
      <c r="AA215" s="369" t="str">
        <f t="shared" ca="1" si="111"/>
        <v/>
      </c>
      <c r="AB215" s="344"/>
      <c r="AC215" s="363" t="e">
        <f t="shared" ca="1" si="112"/>
        <v>#N/A</v>
      </c>
      <c r="AD215" s="376" t="e">
        <f t="shared" ca="1" si="113"/>
        <v>#N/A</v>
      </c>
      <c r="AE215" s="377">
        <f t="shared" ca="1" si="92"/>
        <v>174.23084991491604</v>
      </c>
      <c r="AF215" s="344"/>
      <c r="AG215" s="359">
        <f t="shared" ca="1" si="114"/>
        <v>68.763757107314106</v>
      </c>
      <c r="AH215" s="357">
        <f t="shared" ca="1" si="115"/>
        <v>78.341552962679913</v>
      </c>
    </row>
    <row r="216" spans="1:34" x14ac:dyDescent="0.25">
      <c r="A216" s="402">
        <f t="shared" ca="1" si="93"/>
        <v>0.01</v>
      </c>
      <c r="B216" s="357">
        <f t="shared" ca="1" si="94"/>
        <v>2.1199999999999988</v>
      </c>
      <c r="C216" s="342"/>
      <c r="D216" s="359">
        <f t="shared" ca="1" si="95"/>
        <v>16.91899742621116</v>
      </c>
      <c r="E216" s="360">
        <f t="shared" ca="1" si="96"/>
        <v>66.516793985009414</v>
      </c>
      <c r="F216" s="357">
        <f t="shared" ca="1" si="97"/>
        <v>68.634804261047648</v>
      </c>
      <c r="G216" s="359">
        <f t="shared" ca="1" si="98"/>
        <v>35.933745052006913</v>
      </c>
      <c r="H216" s="360">
        <f t="shared" ca="1" si="99"/>
        <v>162.01006082076714</v>
      </c>
      <c r="I216" s="357">
        <f t="shared" ca="1" si="100"/>
        <v>165.94726222692347</v>
      </c>
      <c r="J216" s="359">
        <f t="shared" ca="1" si="101"/>
        <v>36.752273805097779</v>
      </c>
      <c r="K216" s="360">
        <f t="shared" ca="1" si="102"/>
        <v>175.84762468342444</v>
      </c>
      <c r="L216" s="357">
        <f t="shared" ca="1" si="87"/>
        <v>179.64720074815355</v>
      </c>
      <c r="M216" s="359">
        <f t="shared" ca="1" si="103"/>
        <v>1.3525302783371018</v>
      </c>
      <c r="N216" s="357">
        <f t="shared" ca="1" si="104"/>
        <v>77.494276612370456</v>
      </c>
      <c r="O216" s="343"/>
      <c r="P216" s="363">
        <f t="shared" ca="1" si="105"/>
        <v>8</v>
      </c>
      <c r="Q216" s="357">
        <f t="shared" ca="1" si="106"/>
        <v>892.04722222222233</v>
      </c>
      <c r="R216" s="359">
        <f t="shared" ca="1" si="107"/>
        <v>0.44685523183956011</v>
      </c>
      <c r="S216" s="360">
        <f t="shared" ca="1" si="108"/>
        <v>10.458332194586852</v>
      </c>
      <c r="T216" s="357">
        <f t="shared" ca="1" si="88"/>
        <v>102.59623882889703</v>
      </c>
      <c r="U216" s="364">
        <f t="shared" ca="1" si="89"/>
        <v>0</v>
      </c>
      <c r="V216" s="359">
        <f t="shared" ca="1" si="90"/>
        <v>1.2036464148377433</v>
      </c>
      <c r="W216" s="357">
        <f t="shared" ca="1" si="91"/>
        <v>75.027198141665792</v>
      </c>
      <c r="X216" s="343"/>
      <c r="Y216" s="367" t="str">
        <f t="shared" ca="1" si="109"/>
        <v/>
      </c>
      <c r="Z216" s="368" t="str">
        <f t="shared" ca="1" si="110"/>
        <v/>
      </c>
      <c r="AA216" s="369" t="str">
        <f t="shared" ca="1" si="111"/>
        <v/>
      </c>
      <c r="AB216" s="344"/>
      <c r="AC216" s="363" t="e">
        <f t="shared" ca="1" si="112"/>
        <v>#N/A</v>
      </c>
      <c r="AD216" s="376" t="e">
        <f t="shared" ca="1" si="113"/>
        <v>#N/A</v>
      </c>
      <c r="AE216" s="377">
        <f t="shared" ca="1" si="92"/>
        <v>175.84762468342444</v>
      </c>
      <c r="AF216" s="344"/>
      <c r="AG216" s="359">
        <f t="shared" ca="1" si="114"/>
        <v>68.601962142015466</v>
      </c>
      <c r="AH216" s="357">
        <f t="shared" ca="1" si="115"/>
        <v>78.17948550571441</v>
      </c>
    </row>
    <row r="217" spans="1:34" x14ac:dyDescent="0.25">
      <c r="A217" s="402">
        <f t="shared" ca="1" si="93"/>
        <v>0.01</v>
      </c>
      <c r="B217" s="357">
        <f t="shared" ca="1" si="94"/>
        <v>2.1299999999999986</v>
      </c>
      <c r="C217" s="342"/>
      <c r="D217" s="359">
        <f t="shared" ca="1" si="95"/>
        <v>16.893608742619655</v>
      </c>
      <c r="E217" s="360">
        <f t="shared" ca="1" si="96"/>
        <v>66.356137871599216</v>
      </c>
      <c r="F217" s="357">
        <f t="shared" ca="1" si="97"/>
        <v>68.47284899566688</v>
      </c>
      <c r="G217" s="359">
        <f t="shared" ca="1" si="98"/>
        <v>36.102681139433109</v>
      </c>
      <c r="H217" s="360">
        <f t="shared" ca="1" si="99"/>
        <v>162.67362219948313</v>
      </c>
      <c r="I217" s="357">
        <f t="shared" ca="1" si="100"/>
        <v>166.63166249232393</v>
      </c>
      <c r="J217" s="359">
        <f t="shared" ca="1" si="101"/>
        <v>37.112455936054978</v>
      </c>
      <c r="K217" s="360">
        <f t="shared" ca="1" si="102"/>
        <v>177.47104309852568</v>
      </c>
      <c r="L217" s="357">
        <f t="shared" ca="1" si="87"/>
        <v>181.30997083471274</v>
      </c>
      <c r="M217" s="359">
        <f t="shared" ca="1" si="103"/>
        <v>1.3524027978038262</v>
      </c>
      <c r="N217" s="357">
        <f t="shared" ca="1" si="104"/>
        <v>77.486972515843675</v>
      </c>
      <c r="O217" s="343"/>
      <c r="P217" s="363">
        <f t="shared" ca="1" si="105"/>
        <v>8</v>
      </c>
      <c r="Q217" s="357">
        <f t="shared" ca="1" si="106"/>
        <v>890.60833333333346</v>
      </c>
      <c r="R217" s="359">
        <f t="shared" ca="1" si="107"/>
        <v>0.44613444597529378</v>
      </c>
      <c r="S217" s="360">
        <f t="shared" ca="1" si="108"/>
        <v>10.4538708501271</v>
      </c>
      <c r="T217" s="357">
        <f t="shared" ca="1" si="88"/>
        <v>102.55247303974686</v>
      </c>
      <c r="U217" s="364">
        <f t="shared" ca="1" si="89"/>
        <v>0</v>
      </c>
      <c r="V217" s="359">
        <f t="shared" ca="1" si="90"/>
        <v>1.2034510132779943</v>
      </c>
      <c r="W217" s="357">
        <f t="shared" ca="1" si="91"/>
        <v>75.635048448717299</v>
      </c>
      <c r="X217" s="343"/>
      <c r="Y217" s="367" t="str">
        <f t="shared" ca="1" si="109"/>
        <v/>
      </c>
      <c r="Z217" s="368" t="str">
        <f t="shared" ca="1" si="110"/>
        <v/>
      </c>
      <c r="AA217" s="369" t="str">
        <f t="shared" ca="1" si="111"/>
        <v/>
      </c>
      <c r="AB217" s="344"/>
      <c r="AC217" s="363" t="e">
        <f t="shared" ca="1" si="112"/>
        <v>#N/A</v>
      </c>
      <c r="AD217" s="376" t="e">
        <f t="shared" ca="1" si="113"/>
        <v>#N/A</v>
      </c>
      <c r="AE217" s="377">
        <f t="shared" ca="1" si="92"/>
        <v>177.47104309852568</v>
      </c>
      <c r="AF217" s="344"/>
      <c r="AG217" s="359">
        <f t="shared" ca="1" si="114"/>
        <v>68.439891141102606</v>
      </c>
      <c r="AH217" s="357">
        <f t="shared" ca="1" si="115"/>
        <v>78.017142825305882</v>
      </c>
    </row>
    <row r="218" spans="1:34" x14ac:dyDescent="0.25">
      <c r="A218" s="402">
        <f t="shared" ca="1" si="93"/>
        <v>0.01</v>
      </c>
      <c r="B218" s="357">
        <f t="shared" ca="1" si="94"/>
        <v>2.1399999999999983</v>
      </c>
      <c r="C218" s="342"/>
      <c r="D218" s="359">
        <f t="shared" ca="1" si="95"/>
        <v>16.868085708744442</v>
      </c>
      <c r="E218" s="360">
        <f t="shared" ca="1" si="96"/>
        <v>66.195230503938149</v>
      </c>
      <c r="F218" s="357">
        <f t="shared" ca="1" si="97"/>
        <v>68.310620381804853</v>
      </c>
      <c r="G218" s="359">
        <f t="shared" ca="1" si="98"/>
        <v>36.271361996520554</v>
      </c>
      <c r="H218" s="360">
        <f t="shared" ca="1" si="99"/>
        <v>163.33557450452253</v>
      </c>
      <c r="I218" s="357">
        <f t="shared" ca="1" si="100"/>
        <v>167.31443930457726</v>
      </c>
      <c r="J218" s="359">
        <f t="shared" ca="1" si="101"/>
        <v>37.474326151734743</v>
      </c>
      <c r="K218" s="360">
        <f t="shared" ca="1" si="102"/>
        <v>179.10108908204572</v>
      </c>
      <c r="L218" s="357">
        <f t="shared" ca="1" si="87"/>
        <v>182.97957599388371</v>
      </c>
      <c r="M218" s="359">
        <f t="shared" ca="1" si="103"/>
        <v>1.352275764523005</v>
      </c>
      <c r="N218" s="357">
        <f t="shared" ca="1" si="104"/>
        <v>77.479694044994929</v>
      </c>
      <c r="O218" s="343"/>
      <c r="P218" s="363">
        <f t="shared" ca="1" si="105"/>
        <v>8</v>
      </c>
      <c r="Q218" s="357">
        <f t="shared" ca="1" si="106"/>
        <v>889.16944444444459</v>
      </c>
      <c r="R218" s="359">
        <f t="shared" ca="1" si="107"/>
        <v>0.44541366011102751</v>
      </c>
      <c r="S218" s="360">
        <f t="shared" ca="1" si="108"/>
        <v>10.44941671352599</v>
      </c>
      <c r="T218" s="357">
        <f t="shared" ca="1" si="88"/>
        <v>102.50877795968997</v>
      </c>
      <c r="U218" s="364">
        <f t="shared" ca="1" si="89"/>
        <v>0</v>
      </c>
      <c r="V218" s="359">
        <f t="shared" ca="1" si="90"/>
        <v>1.2032548456289549</v>
      </c>
      <c r="W218" s="357">
        <f t="shared" ca="1" si="91"/>
        <v>76.243720726883737</v>
      </c>
      <c r="X218" s="343"/>
      <c r="Y218" s="367" t="str">
        <f t="shared" ca="1" si="109"/>
        <v/>
      </c>
      <c r="Z218" s="368" t="str">
        <f t="shared" ca="1" si="110"/>
        <v/>
      </c>
      <c r="AA218" s="369" t="str">
        <f t="shared" ca="1" si="111"/>
        <v/>
      </c>
      <c r="AB218" s="344"/>
      <c r="AC218" s="363" t="e">
        <f t="shared" ca="1" si="112"/>
        <v>#N/A</v>
      </c>
      <c r="AD218" s="376" t="e">
        <f t="shared" ca="1" si="113"/>
        <v>#N/A</v>
      </c>
      <c r="AE218" s="377">
        <f t="shared" ca="1" si="92"/>
        <v>179.10108908204572</v>
      </c>
      <c r="AF218" s="344"/>
      <c r="AG218" s="359">
        <f t="shared" ca="1" si="114"/>
        <v>68.277546223874879</v>
      </c>
      <c r="AH218" s="357">
        <f t="shared" ca="1" si="115"/>
        <v>77.854527032371848</v>
      </c>
    </row>
    <row r="219" spans="1:34" x14ac:dyDescent="0.25">
      <c r="A219" s="402">
        <f t="shared" ca="1" si="93"/>
        <v>0.01</v>
      </c>
      <c r="B219" s="357">
        <f t="shared" ca="1" si="94"/>
        <v>2.1499999999999981</v>
      </c>
      <c r="C219" s="342"/>
      <c r="D219" s="359">
        <f t="shared" ca="1" si="95"/>
        <v>16.842429254354396</v>
      </c>
      <c r="E219" s="360">
        <f t="shared" ca="1" si="96"/>
        <v>66.034073861236507</v>
      </c>
      <c r="F219" s="357">
        <f t="shared" ca="1" si="97"/>
        <v>68.14812054561132</v>
      </c>
      <c r="G219" s="359">
        <f t="shared" ca="1" si="98"/>
        <v>36.439786289064095</v>
      </c>
      <c r="H219" s="360">
        <f t="shared" ca="1" si="99"/>
        <v>163.9959152431349</v>
      </c>
      <c r="I219" s="357">
        <f t="shared" ca="1" si="100"/>
        <v>167.99558994576657</v>
      </c>
      <c r="J219" s="359">
        <f t="shared" ca="1" si="101"/>
        <v>37.837881893162667</v>
      </c>
      <c r="K219" s="360">
        <f t="shared" ca="1" si="102"/>
        <v>180.73774653078399</v>
      </c>
      <c r="L219" s="357">
        <f t="shared" ca="1" si="87"/>
        <v>184.65599997613631</v>
      </c>
      <c r="M219" s="359">
        <f t="shared" ca="1" si="103"/>
        <v>1.3521491738908253</v>
      </c>
      <c r="N219" s="357">
        <f t="shared" ca="1" si="104"/>
        <v>77.472440936045132</v>
      </c>
      <c r="O219" s="343"/>
      <c r="P219" s="363">
        <f t="shared" ca="1" si="105"/>
        <v>8</v>
      </c>
      <c r="Q219" s="357">
        <f t="shared" ca="1" si="106"/>
        <v>887.73055555555584</v>
      </c>
      <c r="R219" s="359">
        <f t="shared" ca="1" si="107"/>
        <v>0.44469287424676124</v>
      </c>
      <c r="S219" s="360">
        <f t="shared" ca="1" si="108"/>
        <v>10.444969784783522</v>
      </c>
      <c r="T219" s="357">
        <f t="shared" ca="1" si="88"/>
        <v>102.46515358872635</v>
      </c>
      <c r="U219" s="364">
        <f t="shared" ca="1" si="89"/>
        <v>0</v>
      </c>
      <c r="V219" s="359">
        <f t="shared" ca="1" si="90"/>
        <v>1.2030579142069997</v>
      </c>
      <c r="W219" s="357">
        <f t="shared" ca="1" si="91"/>
        <v>76.853192816294211</v>
      </c>
      <c r="X219" s="343"/>
      <c r="Y219" s="367" t="str">
        <f t="shared" ca="1" si="109"/>
        <v/>
      </c>
      <c r="Z219" s="368" t="str">
        <f t="shared" ca="1" si="110"/>
        <v/>
      </c>
      <c r="AA219" s="369" t="str">
        <f t="shared" ca="1" si="111"/>
        <v/>
      </c>
      <c r="AB219" s="344"/>
      <c r="AC219" s="363" t="e">
        <f t="shared" ca="1" si="112"/>
        <v>#N/A</v>
      </c>
      <c r="AD219" s="376" t="e">
        <f t="shared" ca="1" si="113"/>
        <v>#N/A</v>
      </c>
      <c r="AE219" s="377">
        <f t="shared" ca="1" si="92"/>
        <v>180.73774653078399</v>
      </c>
      <c r="AF219" s="344"/>
      <c r="AG219" s="359">
        <f t="shared" ca="1" si="114"/>
        <v>68.114929510885531</v>
      </c>
      <c r="AH219" s="357">
        <f t="shared" ca="1" si="115"/>
        <v>77.69164023919582</v>
      </c>
    </row>
    <row r="220" spans="1:34" x14ac:dyDescent="0.25">
      <c r="A220" s="402">
        <f t="shared" ca="1" si="93"/>
        <v>0.01</v>
      </c>
      <c r="B220" s="357">
        <f t="shared" ca="1" si="94"/>
        <v>2.1599999999999979</v>
      </c>
      <c r="C220" s="342"/>
      <c r="D220" s="359">
        <f t="shared" ca="1" si="95"/>
        <v>16.816640303292356</v>
      </c>
      <c r="E220" s="360">
        <f t="shared" ca="1" si="96"/>
        <v>65.872669925006633</v>
      </c>
      <c r="F220" s="357">
        <f t="shared" ca="1" si="97"/>
        <v>67.985351614441115</v>
      </c>
      <c r="G220" s="359">
        <f t="shared" ca="1" si="98"/>
        <v>36.607952692097015</v>
      </c>
      <c r="H220" s="360">
        <f t="shared" ca="1" si="99"/>
        <v>164.65464194238496</v>
      </c>
      <c r="I220" s="357">
        <f t="shared" ca="1" si="100"/>
        <v>168.67511171919173</v>
      </c>
      <c r="J220" s="359">
        <f t="shared" ca="1" si="101"/>
        <v>38.203120588068472</v>
      </c>
      <c r="K220" s="360">
        <f t="shared" ca="1" si="102"/>
        <v>182.38099931671158</v>
      </c>
      <c r="L220" s="357">
        <f t="shared" ca="1" si="87"/>
        <v>186.3392265048582</v>
      </c>
      <c r="M220" s="359">
        <f t="shared" ca="1" si="103"/>
        <v>1.3520230213673996</v>
      </c>
      <c r="N220" s="357">
        <f t="shared" ca="1" si="104"/>
        <v>77.465212928877918</v>
      </c>
      <c r="O220" s="343"/>
      <c r="P220" s="363">
        <f t="shared" ca="1" si="105"/>
        <v>8</v>
      </c>
      <c r="Q220" s="357">
        <f t="shared" ca="1" si="106"/>
        <v>886.29166666666697</v>
      </c>
      <c r="R220" s="359">
        <f t="shared" ca="1" si="107"/>
        <v>0.44397208838249497</v>
      </c>
      <c r="S220" s="360">
        <f t="shared" ca="1" si="108"/>
        <v>10.440530063899697</v>
      </c>
      <c r="T220" s="357">
        <f t="shared" ca="1" si="88"/>
        <v>102.42159992685603</v>
      </c>
      <c r="U220" s="364">
        <f t="shared" ca="1" si="89"/>
        <v>0</v>
      </c>
      <c r="V220" s="359">
        <f t="shared" ca="1" si="90"/>
        <v>1.2028602213316124</v>
      </c>
      <c r="W220" s="357">
        <f t="shared" ca="1" si="91"/>
        <v>77.463442593835396</v>
      </c>
      <c r="X220" s="343"/>
      <c r="Y220" s="367" t="str">
        <f t="shared" ca="1" si="109"/>
        <v/>
      </c>
      <c r="Z220" s="368" t="str">
        <f t="shared" ca="1" si="110"/>
        <v/>
      </c>
      <c r="AA220" s="369" t="str">
        <f t="shared" ca="1" si="111"/>
        <v/>
      </c>
      <c r="AB220" s="344"/>
      <c r="AC220" s="363" t="e">
        <f t="shared" ca="1" si="112"/>
        <v>#N/A</v>
      </c>
      <c r="AD220" s="376" t="e">
        <f t="shared" ca="1" si="113"/>
        <v>#N/A</v>
      </c>
      <c r="AE220" s="377">
        <f t="shared" ca="1" si="92"/>
        <v>182.38099931671158</v>
      </c>
      <c r="AF220" s="344"/>
      <c r="AG220" s="359">
        <f t="shared" ca="1" si="114"/>
        <v>67.952043123856384</v>
      </c>
      <c r="AH220" s="357">
        <f t="shared" ca="1" si="115"/>
        <v>77.528484559340001</v>
      </c>
    </row>
    <row r="221" spans="1:34" x14ac:dyDescent="0.25">
      <c r="A221" s="402">
        <f t="shared" ca="1" si="93"/>
        <v>0.01</v>
      </c>
      <c r="B221" s="357">
        <f t="shared" ca="1" si="94"/>
        <v>2.1699999999999977</v>
      </c>
      <c r="C221" s="342"/>
      <c r="D221" s="359">
        <f t="shared" ca="1" si="95"/>
        <v>16.790719773582303</v>
      </c>
      <c r="E221" s="360">
        <f t="shared" ca="1" si="96"/>
        <v>65.711020678956459</v>
      </c>
      <c r="F221" s="357">
        <f t="shared" ca="1" si="97"/>
        <v>67.822315716769893</v>
      </c>
      <c r="G221" s="359">
        <f t="shared" ca="1" si="98"/>
        <v>36.775859889832837</v>
      </c>
      <c r="H221" s="360">
        <f t="shared" ca="1" si="99"/>
        <v>165.31175214917451</v>
      </c>
      <c r="I221" s="357">
        <f t="shared" ca="1" si="100"/>
        <v>169.35300194938003</v>
      </c>
      <c r="J221" s="359">
        <f t="shared" ca="1" si="101"/>
        <v>38.570039650978124</v>
      </c>
      <c r="K221" s="360">
        <f t="shared" ca="1" si="102"/>
        <v>184.03083128716938</v>
      </c>
      <c r="L221" s="357">
        <f t="shared" ca="1" si="87"/>
        <v>188.02923927656735</v>
      </c>
      <c r="M221" s="359">
        <f t="shared" ca="1" si="103"/>
        <v>1.3518973024755567</v>
      </c>
      <c r="N221" s="357">
        <f t="shared" ca="1" si="104"/>
        <v>77.458009766970264</v>
      </c>
      <c r="O221" s="343"/>
      <c r="P221" s="363">
        <f t="shared" ca="1" si="105"/>
        <v>8</v>
      </c>
      <c r="Q221" s="357">
        <f t="shared" ca="1" si="106"/>
        <v>884.8527777777781</v>
      </c>
      <c r="R221" s="359">
        <f t="shared" ca="1" si="107"/>
        <v>0.44325130251822864</v>
      </c>
      <c r="S221" s="360">
        <f t="shared" ca="1" si="108"/>
        <v>10.436097550874514</v>
      </c>
      <c r="T221" s="357">
        <f t="shared" ca="1" si="88"/>
        <v>102.37811697407899</v>
      </c>
      <c r="U221" s="364">
        <f t="shared" ca="1" si="89"/>
        <v>0</v>
      </c>
      <c r="V221" s="359">
        <f t="shared" ca="1" si="90"/>
        <v>1.2026617693253487</v>
      </c>
      <c r="W221" s="357">
        <f t="shared" ca="1" si="91"/>
        <v>78.074447973931626</v>
      </c>
      <c r="X221" s="343"/>
      <c r="Y221" s="367" t="str">
        <f t="shared" ca="1" si="109"/>
        <v/>
      </c>
      <c r="Z221" s="368" t="str">
        <f t="shared" ca="1" si="110"/>
        <v/>
      </c>
      <c r="AA221" s="369" t="str">
        <f t="shared" ca="1" si="111"/>
        <v/>
      </c>
      <c r="AB221" s="344"/>
      <c r="AC221" s="363" t="e">
        <f t="shared" ca="1" si="112"/>
        <v>#N/A</v>
      </c>
      <c r="AD221" s="376" t="e">
        <f t="shared" ca="1" si="113"/>
        <v>#N/A</v>
      </c>
      <c r="AE221" s="377">
        <f t="shared" ca="1" si="92"/>
        <v>184.03083128716938</v>
      </c>
      <c r="AF221" s="344"/>
      <c r="AG221" s="359">
        <f t="shared" ca="1" si="114"/>
        <v>67.788889185592879</v>
      </c>
      <c r="AH221" s="357">
        <f t="shared" ca="1" si="115"/>
        <v>77.365062107558188</v>
      </c>
    </row>
    <row r="222" spans="1:34" x14ac:dyDescent="0.25">
      <c r="A222" s="402">
        <f t="shared" ca="1" si="93"/>
        <v>0.01</v>
      </c>
      <c r="B222" s="357">
        <f t="shared" ca="1" si="94"/>
        <v>2.1799999999999975</v>
      </c>
      <c r="C222" s="342"/>
      <c r="D222" s="359">
        <f t="shared" ca="1" si="95"/>
        <v>16.764668577533499</v>
      </c>
      <c r="E222" s="360">
        <f t="shared" ca="1" si="96"/>
        <v>65.549128108883735</v>
      </c>
      <c r="F222" s="357">
        <f t="shared" ca="1" si="97"/>
        <v>67.659014982110037</v>
      </c>
      <c r="G222" s="359">
        <f t="shared" ca="1" si="98"/>
        <v>36.943506575608176</v>
      </c>
      <c r="H222" s="360">
        <f t="shared" ca="1" si="99"/>
        <v>165.96724343026335</v>
      </c>
      <c r="I222" s="357">
        <f t="shared" ca="1" si="100"/>
        <v>170.02925798209642</v>
      </c>
      <c r="J222" s="359">
        <f t="shared" ca="1" si="101"/>
        <v>38.938636483305331</v>
      </c>
      <c r="K222" s="360">
        <f t="shared" ca="1" si="102"/>
        <v>185.68722626506656</v>
      </c>
      <c r="L222" s="357">
        <f t="shared" ca="1" si="87"/>
        <v>189.7260219611243</v>
      </c>
      <c r="M222" s="359">
        <f t="shared" ca="1" si="103"/>
        <v>1.3517720127996622</v>
      </c>
      <c r="N222" s="357">
        <f t="shared" ca="1" si="104"/>
        <v>77.450831197324945</v>
      </c>
      <c r="O222" s="343"/>
      <c r="P222" s="363">
        <f t="shared" ca="1" si="105"/>
        <v>8</v>
      </c>
      <c r="Q222" s="357">
        <f t="shared" ca="1" si="106"/>
        <v>883.41388888888923</v>
      </c>
      <c r="R222" s="359">
        <f t="shared" ca="1" si="107"/>
        <v>0.44253051665396231</v>
      </c>
      <c r="S222" s="360">
        <f t="shared" ca="1" si="108"/>
        <v>10.431672245707974</v>
      </c>
      <c r="T222" s="357">
        <f t="shared" ca="1" si="88"/>
        <v>102.33470473039523</v>
      </c>
      <c r="U222" s="364">
        <f t="shared" ca="1" si="89"/>
        <v>0</v>
      </c>
      <c r="V222" s="359">
        <f t="shared" ca="1" si="90"/>
        <v>1.2024625605137951</v>
      </c>
      <c r="W222" s="357">
        <f t="shared" ca="1" si="91"/>
        <v>78.686186909320313</v>
      </c>
      <c r="X222" s="343"/>
      <c r="Y222" s="367" t="str">
        <f t="shared" ca="1" si="109"/>
        <v/>
      </c>
      <c r="Z222" s="368" t="str">
        <f t="shared" ca="1" si="110"/>
        <v/>
      </c>
      <c r="AA222" s="369" t="str">
        <f t="shared" ca="1" si="111"/>
        <v/>
      </c>
      <c r="AB222" s="344"/>
      <c r="AC222" s="363" t="e">
        <f t="shared" ca="1" si="112"/>
        <v>#N/A</v>
      </c>
      <c r="AD222" s="376" t="e">
        <f t="shared" ca="1" si="113"/>
        <v>#N/A</v>
      </c>
      <c r="AE222" s="377">
        <f t="shared" ca="1" si="92"/>
        <v>185.68722626506656</v>
      </c>
      <c r="AF222" s="344"/>
      <c r="AG222" s="359">
        <f t="shared" ca="1" si="114"/>
        <v>67.625469819899209</v>
      </c>
      <c r="AH222" s="357">
        <f t="shared" ca="1" si="115"/>
        <v>77.201374999708975</v>
      </c>
    </row>
    <row r="223" spans="1:34" x14ac:dyDescent="0.25">
      <c r="A223" s="402">
        <f t="shared" ca="1" si="93"/>
        <v>0.01</v>
      </c>
      <c r="B223" s="357">
        <f t="shared" ca="1" si="94"/>
        <v>2.1899999999999973</v>
      </c>
      <c r="C223" s="342"/>
      <c r="D223" s="359">
        <f t="shared" ca="1" si="95"/>
        <v>16.738487621841724</v>
      </c>
      <c r="E223" s="360">
        <f t="shared" ca="1" si="96"/>
        <v>65.386994202571117</v>
      </c>
      <c r="F223" s="357">
        <f t="shared" ca="1" si="97"/>
        <v>67.49545154092695</v>
      </c>
      <c r="G223" s="359">
        <f t="shared" ca="1" si="98"/>
        <v>37.110891451826596</v>
      </c>
      <c r="H223" s="360">
        <f t="shared" ca="1" si="99"/>
        <v>166.62111337228907</v>
      </c>
      <c r="I223" s="357">
        <f t="shared" ca="1" si="100"/>
        <v>170.70387718435239</v>
      </c>
      <c r="J223" s="359">
        <f t="shared" ca="1" si="101"/>
        <v>39.308908473442507</v>
      </c>
      <c r="K223" s="360">
        <f t="shared" ca="1" si="102"/>
        <v>187.35016804907931</v>
      </c>
      <c r="L223" s="357">
        <f t="shared" ca="1" si="87"/>
        <v>191.42955820194473</v>
      </c>
      <c r="M223" s="359">
        <f t="shared" ca="1" si="103"/>
        <v>1.3516471479844645</v>
      </c>
      <c r="N223" s="357">
        <f t="shared" ca="1" si="104"/>
        <v>77.443676970404425</v>
      </c>
      <c r="O223" s="343"/>
      <c r="P223" s="363">
        <f t="shared" ca="1" si="105"/>
        <v>8</v>
      </c>
      <c r="Q223" s="357">
        <f t="shared" ca="1" si="106"/>
        <v>881.97500000000036</v>
      </c>
      <c r="R223" s="359">
        <f t="shared" ca="1" si="107"/>
        <v>0.44180973078969604</v>
      </c>
      <c r="S223" s="360">
        <f t="shared" ca="1" si="108"/>
        <v>10.427254148400078</v>
      </c>
      <c r="T223" s="357">
        <f t="shared" ca="1" si="88"/>
        <v>102.29136319580476</v>
      </c>
      <c r="U223" s="364">
        <f t="shared" ca="1" si="89"/>
        <v>0</v>
      </c>
      <c r="V223" s="359">
        <f t="shared" ca="1" si="90"/>
        <v>1.2022625972255274</v>
      </c>
      <c r="W223" s="357">
        <f t="shared" ca="1" si="91"/>
        <v>79.29863739182224</v>
      </c>
      <c r="X223" s="343"/>
      <c r="Y223" s="367" t="str">
        <f t="shared" ca="1" si="109"/>
        <v/>
      </c>
      <c r="Z223" s="368" t="str">
        <f t="shared" ca="1" si="110"/>
        <v/>
      </c>
      <c r="AA223" s="369" t="str">
        <f t="shared" ca="1" si="111"/>
        <v/>
      </c>
      <c r="AB223" s="344"/>
      <c r="AC223" s="363" t="e">
        <f t="shared" ca="1" si="112"/>
        <v>#N/A</v>
      </c>
      <c r="AD223" s="376" t="e">
        <f t="shared" ca="1" si="113"/>
        <v>#N/A</v>
      </c>
      <c r="AE223" s="377">
        <f t="shared" ca="1" si="92"/>
        <v>187.35016804907931</v>
      </c>
      <c r="AF223" s="344"/>
      <c r="AG223" s="359">
        <f t="shared" ca="1" si="114"/>
        <v>67.46178715149361</v>
      </c>
      <c r="AH223" s="357">
        <f t="shared" ca="1" si="115"/>
        <v>77.037425352669089</v>
      </c>
    </row>
    <row r="224" spans="1:34" x14ac:dyDescent="0.25">
      <c r="A224" s="402">
        <f t="shared" ca="1" si="93"/>
        <v>0.01</v>
      </c>
      <c r="B224" s="357">
        <f t="shared" ca="1" si="94"/>
        <v>2.1999999999999971</v>
      </c>
      <c r="C224" s="342"/>
      <c r="D224" s="359">
        <f t="shared" ca="1" si="95"/>
        <v>16.712177807687738</v>
      </c>
      <c r="E224" s="360">
        <f t="shared" ca="1" si="96"/>
        <v>65.224620949681722</v>
      </c>
      <c r="F224" s="357">
        <f t="shared" ca="1" si="97"/>
        <v>67.331627524555131</v>
      </c>
      <c r="G224" s="359">
        <f t="shared" ca="1" si="98"/>
        <v>37.278013229903472</v>
      </c>
      <c r="H224" s="360">
        <f t="shared" ca="1" si="99"/>
        <v>167.27335958178588</v>
      </c>
      <c r="I224" s="357">
        <f t="shared" ca="1" si="100"/>
        <v>171.37685694441444</v>
      </c>
      <c r="J224" s="359">
        <f t="shared" ca="1" si="101"/>
        <v>39.680852996851158</v>
      </c>
      <c r="K224" s="360">
        <f t="shared" ca="1" si="102"/>
        <v>189.01964041384969</v>
      </c>
      <c r="L224" s="357">
        <f t="shared" ca="1" si="87"/>
        <v>193.13983161621206</v>
      </c>
      <c r="M224" s="359">
        <f t="shared" ca="1" si="103"/>
        <v>1.3515227037339699</v>
      </c>
      <c r="N224" s="357">
        <f t="shared" ca="1" si="104"/>
        <v>77.436546840066427</v>
      </c>
      <c r="O224" s="343"/>
      <c r="P224" s="363">
        <f t="shared" ca="1" si="105"/>
        <v>8</v>
      </c>
      <c r="Q224" s="357">
        <f t="shared" ca="1" si="106"/>
        <v>880.5361111111115</v>
      </c>
      <c r="R224" s="359">
        <f t="shared" ca="1" si="107"/>
        <v>0.44108894492542972</v>
      </c>
      <c r="S224" s="360">
        <f t="shared" ca="1" si="108"/>
        <v>10.422843258950824</v>
      </c>
      <c r="T224" s="357">
        <f t="shared" ca="1" si="88"/>
        <v>102.24809237030759</v>
      </c>
      <c r="U224" s="364">
        <f t="shared" ca="1" si="89"/>
        <v>0</v>
      </c>
      <c r="V224" s="359">
        <f t="shared" ca="1" si="90"/>
        <v>1.2020618817920747</v>
      </c>
      <c r="W224" s="357">
        <f t="shared" ca="1" si="91"/>
        <v>79.911777453107703</v>
      </c>
      <c r="X224" s="343"/>
      <c r="Y224" s="367" t="str">
        <f t="shared" ca="1" si="109"/>
        <v/>
      </c>
      <c r="Z224" s="368" t="str">
        <f t="shared" ca="1" si="110"/>
        <v/>
      </c>
      <c r="AA224" s="369" t="str">
        <f t="shared" ca="1" si="111"/>
        <v/>
      </c>
      <c r="AB224" s="344"/>
      <c r="AC224" s="363" t="e">
        <f t="shared" ca="1" si="112"/>
        <v>#N/A</v>
      </c>
      <c r="AD224" s="376" t="e">
        <f t="shared" ca="1" si="113"/>
        <v>#N/A</v>
      </c>
      <c r="AE224" s="377">
        <f t="shared" ca="1" si="92"/>
        <v>189.01964041384969</v>
      </c>
      <c r="AF224" s="344"/>
      <c r="AG224" s="359">
        <f t="shared" ca="1" si="114"/>
        <v>67.297843305923891</v>
      </c>
      <c r="AH224" s="357">
        <f t="shared" ca="1" si="115"/>
        <v>76.873215284246996</v>
      </c>
    </row>
    <row r="225" spans="1:34" x14ac:dyDescent="0.25">
      <c r="A225" s="402">
        <f t="shared" ca="1" si="93"/>
        <v>0.01</v>
      </c>
      <c r="B225" s="357">
        <f t="shared" ca="1" si="94"/>
        <v>2.2099999999999969</v>
      </c>
      <c r="C225" s="342"/>
      <c r="D225" s="359">
        <f t="shared" ca="1" si="95"/>
        <v>16.685740030832889</v>
      </c>
      <c r="E225" s="360">
        <f t="shared" ca="1" si="96"/>
        <v>65.062010341655636</v>
      </c>
      <c r="F225" s="357">
        <f t="shared" ca="1" si="97"/>
        <v>67.167545065114922</v>
      </c>
      <c r="G225" s="359">
        <f t="shared" ca="1" si="98"/>
        <v>37.444870630211803</v>
      </c>
      <c r="H225" s="360">
        <f t="shared" ca="1" si="99"/>
        <v>167.92397968520243</v>
      </c>
      <c r="I225" s="357">
        <f t="shared" ca="1" si="100"/>
        <v>172.04819467181159</v>
      </c>
      <c r="J225" s="359">
        <f t="shared" ca="1" si="101"/>
        <v>40.054467416151738</v>
      </c>
      <c r="K225" s="360">
        <f t="shared" ca="1" si="102"/>
        <v>190.69562711018463</v>
      </c>
      <c r="L225" s="357">
        <f t="shared" ca="1" si="87"/>
        <v>194.85682579509023</v>
      </c>
      <c r="M225" s="359">
        <f t="shared" ca="1" si="103"/>
        <v>1.3513986758103427</v>
      </c>
      <c r="N225" s="357">
        <f t="shared" ca="1" si="104"/>
        <v>77.429440563500805</v>
      </c>
      <c r="O225" s="343"/>
      <c r="P225" s="363">
        <f t="shared" ca="1" si="105"/>
        <v>8</v>
      </c>
      <c r="Q225" s="357">
        <f t="shared" ca="1" si="106"/>
        <v>879.09722222222263</v>
      </c>
      <c r="R225" s="359">
        <f t="shared" ca="1" si="107"/>
        <v>0.44036815906116339</v>
      </c>
      <c r="S225" s="360">
        <f t="shared" ca="1" si="108"/>
        <v>10.418439577360212</v>
      </c>
      <c r="T225" s="357">
        <f t="shared" ca="1" si="88"/>
        <v>102.20489225390369</v>
      </c>
      <c r="U225" s="364">
        <f t="shared" ca="1" si="89"/>
        <v>0</v>
      </c>
      <c r="V225" s="359">
        <f t="shared" ca="1" si="90"/>
        <v>1.2018604165478761</v>
      </c>
      <c r="W225" s="357">
        <f t="shared" ca="1" si="91"/>
        <v>80.525585165457429</v>
      </c>
      <c r="X225" s="343"/>
      <c r="Y225" s="367" t="str">
        <f t="shared" ca="1" si="109"/>
        <v/>
      </c>
      <c r="Z225" s="368" t="str">
        <f t="shared" ca="1" si="110"/>
        <v/>
      </c>
      <c r="AA225" s="369" t="str">
        <f t="shared" ca="1" si="111"/>
        <v/>
      </c>
      <c r="AB225" s="344"/>
      <c r="AC225" s="363" t="e">
        <f t="shared" ca="1" si="112"/>
        <v>#N/A</v>
      </c>
      <c r="AD225" s="376" t="e">
        <f t="shared" ca="1" si="113"/>
        <v>#N/A</v>
      </c>
      <c r="AE225" s="377">
        <f t="shared" ca="1" si="92"/>
        <v>190.69562711018463</v>
      </c>
      <c r="AF225" s="344"/>
      <c r="AG225" s="359">
        <f t="shared" ca="1" si="114"/>
        <v>67.133640409483135</v>
      </c>
      <c r="AH225" s="357">
        <f t="shared" ca="1" si="115"/>
        <v>76.708746913096732</v>
      </c>
    </row>
    <row r="226" spans="1:34" x14ac:dyDescent="0.25">
      <c r="A226" s="402">
        <f t="shared" ca="1" si="93"/>
        <v>0.01</v>
      </c>
      <c r="B226" s="357">
        <f t="shared" ca="1" si="94"/>
        <v>2.2199999999999966</v>
      </c>
      <c r="C226" s="342"/>
      <c r="D226" s="359">
        <f t="shared" ca="1" si="95"/>
        <v>16.659175181712076</v>
      </c>
      <c r="E226" s="360">
        <f t="shared" ca="1" si="96"/>
        <v>64.899164371606815</v>
      </c>
      <c r="F226" s="357">
        <f t="shared" ca="1" si="97"/>
        <v>67.003206295428953</v>
      </c>
      <c r="G226" s="359">
        <f t="shared" ca="1" si="98"/>
        <v>37.611462382028925</v>
      </c>
      <c r="H226" s="360">
        <f t="shared" ca="1" si="99"/>
        <v>168.5729713289185</v>
      </c>
      <c r="I226" s="357">
        <f t="shared" ca="1" si="100"/>
        <v>172.7178877973418</v>
      </c>
      <c r="J226" s="359">
        <f t="shared" ca="1" si="101"/>
        <v>40.42974908121294</v>
      </c>
      <c r="K226" s="360">
        <f t="shared" ca="1" si="102"/>
        <v>192.37811186525525</v>
      </c>
      <c r="L226" s="357">
        <f t="shared" ca="1" si="87"/>
        <v>196.58052430393633</v>
      </c>
      <c r="M226" s="359">
        <f t="shared" ca="1" si="103"/>
        <v>1.3512750600328312</v>
      </c>
      <c r="N226" s="357">
        <f t="shared" ca="1" si="104"/>
        <v>77.422357901168169</v>
      </c>
      <c r="O226" s="343"/>
      <c r="P226" s="363">
        <f t="shared" ca="1" si="105"/>
        <v>8</v>
      </c>
      <c r="Q226" s="357">
        <f t="shared" ca="1" si="106"/>
        <v>877.65833333333376</v>
      </c>
      <c r="R226" s="359">
        <f t="shared" ca="1" si="107"/>
        <v>0.43964737319689712</v>
      </c>
      <c r="S226" s="360">
        <f t="shared" ca="1" si="108"/>
        <v>10.414043103628243</v>
      </c>
      <c r="T226" s="357">
        <f t="shared" ca="1" si="88"/>
        <v>102.16176284659308</v>
      </c>
      <c r="U226" s="364">
        <f t="shared" ca="1" si="89"/>
        <v>0</v>
      </c>
      <c r="V226" s="359">
        <f t="shared" ca="1" si="90"/>
        <v>1.2016582038302404</v>
      </c>
      <c r="W226" s="357">
        <f t="shared" ca="1" si="91"/>
        <v>81.140038642518434</v>
      </c>
      <c r="X226" s="343"/>
      <c r="Y226" s="367" t="str">
        <f t="shared" ca="1" si="109"/>
        <v/>
      </c>
      <c r="Z226" s="368" t="str">
        <f t="shared" ca="1" si="110"/>
        <v/>
      </c>
      <c r="AA226" s="369" t="str">
        <f t="shared" ca="1" si="111"/>
        <v/>
      </c>
      <c r="AB226" s="344"/>
      <c r="AC226" s="363" t="e">
        <f t="shared" ca="1" si="112"/>
        <v>#N/A</v>
      </c>
      <c r="AD226" s="376" t="e">
        <f t="shared" ca="1" si="113"/>
        <v>#N/A</v>
      </c>
      <c r="AE226" s="377">
        <f t="shared" ca="1" si="92"/>
        <v>192.37811186525525</v>
      </c>
      <c r="AF226" s="344"/>
      <c r="AG226" s="359">
        <f t="shared" ca="1" si="114"/>
        <v>66.969180589125443</v>
      </c>
      <c r="AH226" s="357">
        <f t="shared" ca="1" si="115"/>
        <v>76.544022358631878</v>
      </c>
    </row>
    <row r="227" spans="1:34" x14ac:dyDescent="0.25">
      <c r="A227" s="402">
        <f t="shared" ca="1" si="93"/>
        <v>0.01</v>
      </c>
      <c r="B227" s="357">
        <f t="shared" ca="1" si="94"/>
        <v>2.2299999999999964</v>
      </c>
      <c r="C227" s="342"/>
      <c r="D227" s="359">
        <f t="shared" ca="1" si="95"/>
        <v>16.632484145524138</v>
      </c>
      <c r="E227" s="360">
        <f t="shared" ca="1" si="96"/>
        <v>64.73608503422102</v>
      </c>
      <c r="F227" s="357">
        <f t="shared" ca="1" si="97"/>
        <v>66.838613348939305</v>
      </c>
      <c r="G227" s="359">
        <f t="shared" ca="1" si="98"/>
        <v>37.777787223484168</v>
      </c>
      <c r="H227" s="360">
        <f t="shared" ca="1" si="99"/>
        <v>169.22033217926071</v>
      </c>
      <c r="I227" s="357">
        <f t="shared" ca="1" si="100"/>
        <v>173.38593377307797</v>
      </c>
      <c r="J227" s="359">
        <f t="shared" ca="1" si="101"/>
        <v>40.806695329240505</v>
      </c>
      <c r="K227" s="360">
        <f t="shared" ca="1" si="102"/>
        <v>194.06707838279615</v>
      </c>
      <c r="L227" s="357">
        <f t="shared" ca="1" si="87"/>
        <v>198.31091068251339</v>
      </c>
      <c r="M227" s="359">
        <f t="shared" ca="1" si="103"/>
        <v>1.3511518522767174</v>
      </c>
      <c r="N227" s="357">
        <f t="shared" ca="1" si="104"/>
        <v>77.415298616739577</v>
      </c>
      <c r="O227" s="343"/>
      <c r="P227" s="363">
        <f t="shared" ca="1" si="105"/>
        <v>8</v>
      </c>
      <c r="Q227" s="357">
        <f t="shared" ca="1" si="106"/>
        <v>876.21944444444489</v>
      </c>
      <c r="R227" s="359">
        <f t="shared" ca="1" si="107"/>
        <v>0.43892658733263079</v>
      </c>
      <c r="S227" s="360">
        <f t="shared" ca="1" si="108"/>
        <v>10.409653837754917</v>
      </c>
      <c r="T227" s="357">
        <f t="shared" ca="1" si="88"/>
        <v>102.11870414837574</v>
      </c>
      <c r="U227" s="364">
        <f t="shared" ca="1" si="89"/>
        <v>0</v>
      </c>
      <c r="V227" s="359">
        <f t="shared" ca="1" si="90"/>
        <v>1.2014552459793093</v>
      </c>
      <c r="W227" s="357">
        <f t="shared" ca="1" si="91"/>
        <v>81.755116040055611</v>
      </c>
      <c r="X227" s="343"/>
      <c r="Y227" s="367" t="str">
        <f t="shared" ca="1" si="109"/>
        <v/>
      </c>
      <c r="Z227" s="368" t="str">
        <f t="shared" ca="1" si="110"/>
        <v/>
      </c>
      <c r="AA227" s="369" t="str">
        <f t="shared" ca="1" si="111"/>
        <v/>
      </c>
      <c r="AB227" s="344"/>
      <c r="AC227" s="363" t="e">
        <f t="shared" ca="1" si="112"/>
        <v>#N/A</v>
      </c>
      <c r="AD227" s="376" t="e">
        <f t="shared" ca="1" si="113"/>
        <v>#N/A</v>
      </c>
      <c r="AE227" s="377">
        <f t="shared" ca="1" si="92"/>
        <v>194.06707838279615</v>
      </c>
      <c r="AF227" s="344"/>
      <c r="AG227" s="359">
        <f t="shared" ca="1" si="114"/>
        <v>66.804465972382175</v>
      </c>
      <c r="AH227" s="357">
        <f t="shared" ca="1" si="115"/>
        <v>76.379043740939977</v>
      </c>
    </row>
    <row r="228" spans="1:34" x14ac:dyDescent="0.25">
      <c r="A228" s="402">
        <f t="shared" ca="1" si="93"/>
        <v>0.01</v>
      </c>
      <c r="B228" s="357">
        <f t="shared" ca="1" si="94"/>
        <v>2.2399999999999962</v>
      </c>
      <c r="C228" s="342"/>
      <c r="D228" s="359">
        <f t="shared" ca="1" si="95"/>
        <v>16.605667802319743</v>
      </c>
      <c r="E228" s="360">
        <f t="shared" ca="1" si="96"/>
        <v>64.572774325654066</v>
      </c>
      <c r="F228" s="357">
        <f t="shared" ca="1" si="97"/>
        <v>66.673768359624376</v>
      </c>
      <c r="G228" s="359">
        <f t="shared" ca="1" si="98"/>
        <v>37.943843901507364</v>
      </c>
      <c r="H228" s="360">
        <f t="shared" ca="1" si="99"/>
        <v>169.86605992251725</v>
      </c>
      <c r="I228" s="357">
        <f t="shared" ca="1" si="100"/>
        <v>174.05233007237271</v>
      </c>
      <c r="J228" s="359">
        <f t="shared" ca="1" si="101"/>
        <v>41.185303484865464</v>
      </c>
      <c r="K228" s="360">
        <f t="shared" ca="1" si="102"/>
        <v>195.76251034330505</v>
      </c>
      <c r="L228" s="357">
        <f t="shared" ca="1" si="87"/>
        <v>200.0479684452034</v>
      </c>
      <c r="M228" s="359">
        <f t="shared" ca="1" si="103"/>
        <v>1.3510290484722933</v>
      </c>
      <c r="N228" s="357">
        <f t="shared" ca="1" si="104"/>
        <v>77.408262477037923</v>
      </c>
      <c r="O228" s="343"/>
      <c r="P228" s="363">
        <f t="shared" ca="1" si="105"/>
        <v>8</v>
      </c>
      <c r="Q228" s="357">
        <f t="shared" ca="1" si="106"/>
        <v>874.78055555555613</v>
      </c>
      <c r="R228" s="359">
        <f t="shared" ca="1" si="107"/>
        <v>0.43820580146836452</v>
      </c>
      <c r="S228" s="360">
        <f t="shared" ca="1" si="108"/>
        <v>10.405271779740232</v>
      </c>
      <c r="T228" s="357">
        <f t="shared" ca="1" si="88"/>
        <v>102.07571615925168</v>
      </c>
      <c r="U228" s="364">
        <f t="shared" ca="1" si="89"/>
        <v>0</v>
      </c>
      <c r="V228" s="359">
        <f t="shared" ca="1" si="90"/>
        <v>1.2012515453380155</v>
      </c>
      <c r="W228" s="357">
        <f t="shared" ca="1" si="91"/>
        <v>82.370795556697885</v>
      </c>
      <c r="X228" s="343"/>
      <c r="Y228" s="367" t="str">
        <f t="shared" ca="1" si="109"/>
        <v/>
      </c>
      <c r="Z228" s="368" t="str">
        <f t="shared" ca="1" si="110"/>
        <v/>
      </c>
      <c r="AA228" s="369" t="str">
        <f t="shared" ca="1" si="111"/>
        <v/>
      </c>
      <c r="AB228" s="344"/>
      <c r="AC228" s="363" t="e">
        <f t="shared" ca="1" si="112"/>
        <v>#N/A</v>
      </c>
      <c r="AD228" s="376" t="e">
        <f t="shared" ca="1" si="113"/>
        <v>#N/A</v>
      </c>
      <c r="AE228" s="377">
        <f t="shared" ca="1" si="92"/>
        <v>195.76251034330505</v>
      </c>
      <c r="AF228" s="344"/>
      <c r="AG228" s="359">
        <f t="shared" ca="1" si="114"/>
        <v>66.639498687278106</v>
      </c>
      <c r="AH228" s="357">
        <f t="shared" ca="1" si="115"/>
        <v>76.213813180696988</v>
      </c>
    </row>
    <row r="229" spans="1:34" x14ac:dyDescent="0.25">
      <c r="A229" s="402">
        <f t="shared" ca="1" si="93"/>
        <v>0.01</v>
      </c>
      <c r="B229" s="357">
        <f t="shared" ca="1" si="94"/>
        <v>2.249999999999996</v>
      </c>
      <c r="C229" s="342"/>
      <c r="D229" s="359">
        <f t="shared" ca="1" si="95"/>
        <v>16.57872702708665</v>
      </c>
      <c r="E229" s="360">
        <f t="shared" ca="1" si="96"/>
        <v>64.409234243431044</v>
      </c>
      <c r="F229" s="357">
        <f t="shared" ca="1" si="97"/>
        <v>66.508673461916402</v>
      </c>
      <c r="G229" s="359">
        <f t="shared" ca="1" si="98"/>
        <v>38.109631171778233</v>
      </c>
      <c r="H229" s="360">
        <f t="shared" ca="1" si="99"/>
        <v>170.51015226495156</v>
      </c>
      <c r="I229" s="357">
        <f t="shared" ca="1" si="100"/>
        <v>174.71707418986256</v>
      </c>
      <c r="J229" s="359">
        <f t="shared" ca="1" si="101"/>
        <v>41.565570860231894</v>
      </c>
      <c r="K229" s="360">
        <f t="shared" ca="1" si="102"/>
        <v>197.46439140424241</v>
      </c>
      <c r="L229" s="357">
        <f t="shared" ca="1" si="87"/>
        <v>201.79168108121999</v>
      </c>
      <c r="M229" s="359">
        <f t="shared" ca="1" si="103"/>
        <v>1.3509066446038569</v>
      </c>
      <c r="N229" s="357">
        <f t="shared" ca="1" si="104"/>
        <v>77.401249251980445</v>
      </c>
      <c r="O229" s="343"/>
      <c r="P229" s="363">
        <f t="shared" ca="1" si="105"/>
        <v>8</v>
      </c>
      <c r="Q229" s="357">
        <f t="shared" ca="1" si="106"/>
        <v>873.34166666666727</v>
      </c>
      <c r="R229" s="359">
        <f t="shared" ca="1" si="107"/>
        <v>0.43748501560409825</v>
      </c>
      <c r="S229" s="360">
        <f t="shared" ca="1" si="108"/>
        <v>10.400896929584192</v>
      </c>
      <c r="T229" s="357">
        <f t="shared" ca="1" si="88"/>
        <v>102.03279887922093</v>
      </c>
      <c r="U229" s="364">
        <f t="shared" ca="1" si="89"/>
        <v>0</v>
      </c>
      <c r="V229" s="359">
        <f t="shared" ca="1" si="90"/>
        <v>1.2010471042520423</v>
      </c>
      <c r="W229" s="357">
        <f t="shared" ca="1" si="91"/>
        <v>82.987055434679519</v>
      </c>
      <c r="X229" s="343"/>
      <c r="Y229" s="367" t="str">
        <f t="shared" ca="1" si="109"/>
        <v/>
      </c>
      <c r="Z229" s="368" t="str">
        <f t="shared" ca="1" si="110"/>
        <v/>
      </c>
      <c r="AA229" s="369" t="str">
        <f t="shared" ca="1" si="111"/>
        <v/>
      </c>
      <c r="AB229" s="344"/>
      <c r="AC229" s="363" t="e">
        <f t="shared" ca="1" si="112"/>
        <v>#N/A</v>
      </c>
      <c r="AD229" s="376" t="e">
        <f t="shared" ca="1" si="113"/>
        <v>#N/A</v>
      </c>
      <c r="AE229" s="377">
        <f t="shared" ca="1" si="92"/>
        <v>197.46439140424241</v>
      </c>
      <c r="AF229" s="344"/>
      <c r="AG229" s="359">
        <f t="shared" ca="1" si="114"/>
        <v>66.474280862247923</v>
      </c>
      <c r="AH229" s="357">
        <f t="shared" ca="1" si="115"/>
        <v>76.048332799082061</v>
      </c>
    </row>
    <row r="230" spans="1:34" x14ac:dyDescent="0.25">
      <c r="A230" s="402">
        <f t="shared" ca="1" si="93"/>
        <v>0.01</v>
      </c>
      <c r="B230" s="357">
        <f t="shared" ca="1" si="94"/>
        <v>2.2599999999999958</v>
      </c>
      <c r="C230" s="342"/>
      <c r="D230" s="359">
        <f t="shared" ca="1" si="95"/>
        <v>16.551662689832863</v>
      </c>
      <c r="E230" s="360">
        <f t="shared" ca="1" si="96"/>
        <v>64.245466786345958</v>
      </c>
      <c r="F230" s="357">
        <f t="shared" ca="1" si="97"/>
        <v>66.343330790618936</v>
      </c>
      <c r="G230" s="359">
        <f t="shared" ca="1" si="98"/>
        <v>38.275147798676564</v>
      </c>
      <c r="H230" s="360">
        <f t="shared" ca="1" si="99"/>
        <v>171.15260693281502</v>
      </c>
      <c r="I230" s="357">
        <f t="shared" ca="1" si="100"/>
        <v>175.3801636414712</v>
      </c>
      <c r="J230" s="359">
        <f t="shared" ca="1" si="101"/>
        <v>41.947494755084165</v>
      </c>
      <c r="K230" s="360">
        <f t="shared" ca="1" si="102"/>
        <v>199.17270520023123</v>
      </c>
      <c r="L230" s="357">
        <f t="shared" ca="1" si="87"/>
        <v>203.54203205482162</v>
      </c>
      <c r="M230" s="359">
        <f t="shared" ca="1" si="103"/>
        <v>1.3507846367087348</v>
      </c>
      <c r="N230" s="357">
        <f t="shared" ca="1" si="104"/>
        <v>77.394258714522678</v>
      </c>
      <c r="O230" s="343"/>
      <c r="P230" s="363">
        <f t="shared" ca="1" si="105"/>
        <v>8</v>
      </c>
      <c r="Q230" s="357">
        <f t="shared" ca="1" si="106"/>
        <v>871.9027777777784</v>
      </c>
      <c r="R230" s="359">
        <f t="shared" ca="1" si="107"/>
        <v>0.43676422973983192</v>
      </c>
      <c r="S230" s="360">
        <f t="shared" ca="1" si="108"/>
        <v>10.396529287286794</v>
      </c>
      <c r="T230" s="357">
        <f t="shared" ca="1" si="88"/>
        <v>101.98995230828346</v>
      </c>
      <c r="U230" s="364">
        <f t="shared" ca="1" si="89"/>
        <v>0</v>
      </c>
      <c r="V230" s="359">
        <f t="shared" ca="1" si="90"/>
        <v>1.2008419250697857</v>
      </c>
      <c r="W230" s="357">
        <f t="shared" ca="1" si="91"/>
        <v>83.603873960576593</v>
      </c>
      <c r="X230" s="343"/>
      <c r="Y230" s="367" t="str">
        <f t="shared" ca="1" si="109"/>
        <v/>
      </c>
      <c r="Z230" s="368" t="str">
        <f t="shared" ca="1" si="110"/>
        <v/>
      </c>
      <c r="AA230" s="369" t="str">
        <f t="shared" ca="1" si="111"/>
        <v/>
      </c>
      <c r="AB230" s="344"/>
      <c r="AC230" s="363" t="e">
        <f t="shared" ca="1" si="112"/>
        <v>#N/A</v>
      </c>
      <c r="AD230" s="376" t="e">
        <f t="shared" ca="1" si="113"/>
        <v>#N/A</v>
      </c>
      <c r="AE230" s="377">
        <f t="shared" ca="1" si="92"/>
        <v>199.17270520023123</v>
      </c>
      <c r="AF230" s="344"/>
      <c r="AG230" s="359">
        <f t="shared" ca="1" si="114"/>
        <v>66.308814626053021</v>
      </c>
      <c r="AH230" s="357">
        <f t="shared" ca="1" si="115"/>
        <v>75.882604717692672</v>
      </c>
    </row>
    <row r="231" spans="1:34" x14ac:dyDescent="0.25">
      <c r="A231" s="402">
        <f t="shared" ca="1" si="93"/>
        <v>0.01</v>
      </c>
      <c r="B231" s="357">
        <f t="shared" ca="1" si="94"/>
        <v>2.2699999999999956</v>
      </c>
      <c r="C231" s="342"/>
      <c r="D231" s="359">
        <f t="shared" ca="1" si="95"/>
        <v>16.524475655667167</v>
      </c>
      <c r="E231" s="360">
        <f t="shared" ca="1" si="96"/>
        <v>64.081473954362224</v>
      </c>
      <c r="F231" s="357">
        <f t="shared" ca="1" si="97"/>
        <v>66.177742480824634</v>
      </c>
      <c r="G231" s="359">
        <f t="shared" ca="1" si="98"/>
        <v>38.440392555233238</v>
      </c>
      <c r="H231" s="360">
        <f t="shared" ca="1" si="99"/>
        <v>171.79342167235865</v>
      </c>
      <c r="I231" s="357">
        <f t="shared" ca="1" si="100"/>
        <v>176.04159596441193</v>
      </c>
      <c r="J231" s="359">
        <f t="shared" ca="1" si="101"/>
        <v>42.331072456853711</v>
      </c>
      <c r="K231" s="360">
        <f t="shared" ca="1" si="102"/>
        <v>200.8874353432571</v>
      </c>
      <c r="L231" s="357">
        <f t="shared" ca="1" si="87"/>
        <v>205.29900480552433</v>
      </c>
      <c r="M231" s="359">
        <f t="shared" ca="1" si="103"/>
        <v>1.3506630208763233</v>
      </c>
      <c r="N231" s="357">
        <f t="shared" ca="1" si="104"/>
        <v>77.387290640603524</v>
      </c>
      <c r="O231" s="343"/>
      <c r="P231" s="363">
        <f t="shared" ca="1" si="105"/>
        <v>8</v>
      </c>
      <c r="Q231" s="357">
        <f t="shared" ca="1" si="106"/>
        <v>870.46388888888953</v>
      </c>
      <c r="R231" s="359">
        <f t="shared" ca="1" si="107"/>
        <v>0.43604344387556565</v>
      </c>
      <c r="S231" s="360">
        <f t="shared" ca="1" si="108"/>
        <v>10.392168852848039</v>
      </c>
      <c r="T231" s="357">
        <f t="shared" ca="1" si="88"/>
        <v>101.94717644643927</v>
      </c>
      <c r="U231" s="364">
        <f t="shared" ca="1" si="89"/>
        <v>0</v>
      </c>
      <c r="V231" s="359">
        <f t="shared" ca="1" si="90"/>
        <v>1.2006360101423128</v>
      </c>
      <c r="W231" s="357">
        <f t="shared" ca="1" si="91"/>
        <v>84.22122946603821</v>
      </c>
      <c r="X231" s="343"/>
      <c r="Y231" s="367" t="str">
        <f t="shared" ca="1" si="109"/>
        <v/>
      </c>
      <c r="Z231" s="368" t="str">
        <f t="shared" ca="1" si="110"/>
        <v/>
      </c>
      <c r="AA231" s="369" t="str">
        <f t="shared" ca="1" si="111"/>
        <v/>
      </c>
      <c r="AB231" s="344"/>
      <c r="AC231" s="363" t="e">
        <f t="shared" ca="1" si="112"/>
        <v>#N/A</v>
      </c>
      <c r="AD231" s="376" t="e">
        <f t="shared" ca="1" si="113"/>
        <v>#N/A</v>
      </c>
      <c r="AE231" s="377">
        <f t="shared" ca="1" si="92"/>
        <v>200.8874353432571</v>
      </c>
      <c r="AF231" s="344"/>
      <c r="AG231" s="359">
        <f t="shared" ca="1" si="114"/>
        <v>66.14310210769834</v>
      </c>
      <c r="AH231" s="357">
        <f t="shared" ca="1" si="115"/>
        <v>75.716631058459853</v>
      </c>
    </row>
    <row r="232" spans="1:34" x14ac:dyDescent="0.25">
      <c r="A232" s="402">
        <f t="shared" ca="1" si="93"/>
        <v>0.01</v>
      </c>
      <c r="B232" s="357">
        <f t="shared" ca="1" si="94"/>
        <v>2.2799999999999954</v>
      </c>
      <c r="C232" s="342"/>
      <c r="D232" s="359">
        <f t="shared" ca="1" si="95"/>
        <v>16.497166784877724</v>
      </c>
      <c r="E232" s="360">
        <f t="shared" ca="1" si="96"/>
        <v>63.917257748513677</v>
      </c>
      <c r="F232" s="357">
        <f t="shared" ca="1" si="97"/>
        <v>66.011910667833305</v>
      </c>
      <c r="G232" s="359">
        <f t="shared" ca="1" si="98"/>
        <v>38.605364223082013</v>
      </c>
      <c r="H232" s="360">
        <f t="shared" ca="1" si="99"/>
        <v>172.43259424984379</v>
      </c>
      <c r="I232" s="357">
        <f t="shared" ca="1" si="100"/>
        <v>176.7013687171893</v>
      </c>
      <c r="J232" s="359">
        <f t="shared" ca="1" si="101"/>
        <v>42.716301240745288</v>
      </c>
      <c r="K232" s="360">
        <f t="shared" ca="1" si="102"/>
        <v>202.60856542286811</v>
      </c>
      <c r="L232" s="357">
        <f t="shared" ca="1" si="87"/>
        <v>207.06258274831484</v>
      </c>
      <c r="M232" s="359">
        <f t="shared" ca="1" si="103"/>
        <v>1.3505417932471542</v>
      </c>
      <c r="N232" s="357">
        <f t="shared" ca="1" si="104"/>
        <v>77.380344809091753</v>
      </c>
      <c r="O232" s="343"/>
      <c r="P232" s="363">
        <f t="shared" ca="1" si="105"/>
        <v>8</v>
      </c>
      <c r="Q232" s="357">
        <f t="shared" ca="1" si="106"/>
        <v>869.02500000000066</v>
      </c>
      <c r="R232" s="359">
        <f t="shared" ca="1" si="107"/>
        <v>0.43532265801129932</v>
      </c>
      <c r="S232" s="360">
        <f t="shared" ca="1" si="108"/>
        <v>10.387815626267926</v>
      </c>
      <c r="T232" s="357">
        <f t="shared" ca="1" si="88"/>
        <v>101.90447129368836</v>
      </c>
      <c r="U232" s="364">
        <f t="shared" ca="1" si="89"/>
        <v>0</v>
      </c>
      <c r="V232" s="359">
        <f t="shared" ca="1" si="90"/>
        <v>1.2004293618233242</v>
      </c>
      <c r="W232" s="357">
        <f t="shared" ca="1" si="91"/>
        <v>84.83910032851297</v>
      </c>
      <c r="X232" s="343"/>
      <c r="Y232" s="367" t="str">
        <f t="shared" ca="1" si="109"/>
        <v/>
      </c>
      <c r="Z232" s="368" t="str">
        <f t="shared" ca="1" si="110"/>
        <v/>
      </c>
      <c r="AA232" s="369" t="str">
        <f t="shared" ca="1" si="111"/>
        <v/>
      </c>
      <c r="AB232" s="344"/>
      <c r="AC232" s="363" t="e">
        <f t="shared" ca="1" si="112"/>
        <v>#N/A</v>
      </c>
      <c r="AD232" s="376" t="e">
        <f t="shared" ca="1" si="113"/>
        <v>#N/A</v>
      </c>
      <c r="AE232" s="377">
        <f t="shared" ca="1" si="92"/>
        <v>202.60856542286811</v>
      </c>
      <c r="AF232" s="344"/>
      <c r="AG232" s="359">
        <f t="shared" ca="1" si="114"/>
        <v>65.977145436349588</v>
      </c>
      <c r="AH232" s="357">
        <f t="shared" ca="1" si="115"/>
        <v>75.550413943563825</v>
      </c>
    </row>
    <row r="233" spans="1:34" x14ac:dyDescent="0.25">
      <c r="A233" s="402">
        <f t="shared" ca="1" si="93"/>
        <v>0.01</v>
      </c>
      <c r="B233" s="357">
        <f t="shared" ca="1" si="94"/>
        <v>2.2899999999999952</v>
      </c>
      <c r="C233" s="342"/>
      <c r="D233" s="359">
        <f t="shared" ca="1" si="95"/>
        <v>16.469736933008154</v>
      </c>
      <c r="E233" s="360">
        <f t="shared" ca="1" si="96"/>
        <v>63.75282017080626</v>
      </c>
      <c r="F233" s="357">
        <f t="shared" ca="1" si="97"/>
        <v>65.845837487070156</v>
      </c>
      <c r="G233" s="359">
        <f t="shared" ca="1" si="98"/>
        <v>38.770061592412098</v>
      </c>
      <c r="H233" s="360">
        <f t="shared" ca="1" si="99"/>
        <v>173.07012245155184</v>
      </c>
      <c r="I233" s="357">
        <f t="shared" ca="1" si="100"/>
        <v>177.35947947959977</v>
      </c>
      <c r="J233" s="359">
        <f t="shared" ca="1" si="101"/>
        <v>43.103178369822757</v>
      </c>
      <c r="K233" s="360">
        <f t="shared" ca="1" si="102"/>
        <v>204.33607900637509</v>
      </c>
      <c r="L233" s="357">
        <f t="shared" ca="1" si="87"/>
        <v>208.83274927386347</v>
      </c>
      <c r="M233" s="359">
        <f t="shared" ca="1" si="103"/>
        <v>1.3504209500119795</v>
      </c>
      <c r="N233" s="357">
        <f t="shared" ca="1" si="104"/>
        <v>77.373421001733547</v>
      </c>
      <c r="O233" s="343"/>
      <c r="P233" s="363">
        <f t="shared" ca="1" si="105"/>
        <v>8</v>
      </c>
      <c r="Q233" s="357">
        <f t="shared" ca="1" si="106"/>
        <v>867.58611111111179</v>
      </c>
      <c r="R233" s="359">
        <f t="shared" ca="1" si="107"/>
        <v>0.434601872147033</v>
      </c>
      <c r="S233" s="360">
        <f t="shared" ca="1" si="108"/>
        <v>10.383469607546456</v>
      </c>
      <c r="T233" s="357">
        <f t="shared" ca="1" si="88"/>
        <v>101.86183685003074</v>
      </c>
      <c r="U233" s="364">
        <f t="shared" ca="1" si="89"/>
        <v>0</v>
      </c>
      <c r="V233" s="359">
        <f t="shared" ca="1" si="90"/>
        <v>1.2002219824691098</v>
      </c>
      <c r="W233" s="357">
        <f t="shared" ca="1" si="91"/>
        <v>85.457464971969642</v>
      </c>
      <c r="X233" s="343"/>
      <c r="Y233" s="367" t="str">
        <f t="shared" ca="1" si="109"/>
        <v/>
      </c>
      <c r="Z233" s="368" t="str">
        <f t="shared" ca="1" si="110"/>
        <v/>
      </c>
      <c r="AA233" s="369" t="str">
        <f t="shared" ca="1" si="111"/>
        <v/>
      </c>
      <c r="AB233" s="344"/>
      <c r="AC233" s="363" t="e">
        <f t="shared" ca="1" si="112"/>
        <v>#N/A</v>
      </c>
      <c r="AD233" s="376" t="e">
        <f t="shared" ca="1" si="113"/>
        <v>#N/A</v>
      </c>
      <c r="AE233" s="377">
        <f t="shared" ca="1" si="92"/>
        <v>204.33607900637509</v>
      </c>
      <c r="AF233" s="344"/>
      <c r="AG233" s="359">
        <f t="shared" ca="1" si="114"/>
        <v>65.810946741250547</v>
      </c>
      <c r="AH233" s="357">
        <f t="shared" ca="1" si="115"/>
        <v>75.383955495349767</v>
      </c>
    </row>
    <row r="234" spans="1:34" x14ac:dyDescent="0.25">
      <c r="A234" s="402">
        <f t="shared" ca="1" si="93"/>
        <v>0.01</v>
      </c>
      <c r="B234" s="357">
        <f t="shared" ca="1" si="94"/>
        <v>2.2999999999999949</v>
      </c>
      <c r="C234" s="342"/>
      <c r="D234" s="359">
        <f t="shared" ca="1" si="95"/>
        <v>16.442186950931745</v>
      </c>
      <c r="E234" s="360">
        <f t="shared" ca="1" si="96"/>
        <v>63.588163224120407</v>
      </c>
      <c r="F234" s="357">
        <f t="shared" ca="1" si="97"/>
        <v>65.679525074004374</v>
      </c>
      <c r="G234" s="359">
        <f t="shared" ca="1" si="98"/>
        <v>38.934483461921417</v>
      </c>
      <c r="H234" s="360">
        <f t="shared" ca="1" si="99"/>
        <v>173.70600408379303</v>
      </c>
      <c r="I234" s="357">
        <f t="shared" ca="1" si="100"/>
        <v>178.01592585273193</v>
      </c>
      <c r="J234" s="359">
        <f t="shared" ca="1" si="101"/>
        <v>43.491701095094427</v>
      </c>
      <c r="K234" s="360">
        <f t="shared" ca="1" si="102"/>
        <v>206.0699596390518</v>
      </c>
      <c r="L234" s="357">
        <f t="shared" ca="1" si="87"/>
        <v>210.60948774873719</v>
      </c>
      <c r="M234" s="359">
        <f t="shared" ca="1" si="103"/>
        <v>1.350300487410877</v>
      </c>
      <c r="N234" s="357">
        <f t="shared" ca="1" si="104"/>
        <v>77.366519003101203</v>
      </c>
      <c r="O234" s="343"/>
      <c r="P234" s="363">
        <f t="shared" ca="1" si="105"/>
        <v>8</v>
      </c>
      <c r="Q234" s="357">
        <f t="shared" ca="1" si="106"/>
        <v>866.14722222222292</v>
      </c>
      <c r="R234" s="359">
        <f t="shared" ca="1" si="107"/>
        <v>0.43388108628276673</v>
      </c>
      <c r="S234" s="360">
        <f t="shared" ca="1" si="108"/>
        <v>10.379130796683627</v>
      </c>
      <c r="T234" s="357">
        <f t="shared" ca="1" si="88"/>
        <v>101.81927311546639</v>
      </c>
      <c r="U234" s="364">
        <f t="shared" ca="1" si="89"/>
        <v>0</v>
      </c>
      <c r="V234" s="359">
        <f t="shared" ca="1" si="90"/>
        <v>1.2000138744385158</v>
      </c>
      <c r="W234" s="357">
        <f t="shared" ca="1" si="91"/>
        <v>86.07630186761395</v>
      </c>
      <c r="X234" s="343"/>
      <c r="Y234" s="367" t="str">
        <f t="shared" ca="1" si="109"/>
        <v/>
      </c>
      <c r="Z234" s="368" t="str">
        <f t="shared" ca="1" si="110"/>
        <v/>
      </c>
      <c r="AA234" s="369" t="str">
        <f t="shared" ca="1" si="111"/>
        <v/>
      </c>
      <c r="AB234" s="344"/>
      <c r="AC234" s="363" t="e">
        <f t="shared" ca="1" si="112"/>
        <v>#N/A</v>
      </c>
      <c r="AD234" s="376" t="e">
        <f t="shared" ca="1" si="113"/>
        <v>#N/A</v>
      </c>
      <c r="AE234" s="377">
        <f t="shared" ca="1" si="92"/>
        <v>206.0699596390518</v>
      </c>
      <c r="AF234" s="344"/>
      <c r="AG234" s="359">
        <f t="shared" ca="1" si="114"/>
        <v>65.644508151640835</v>
      </c>
      <c r="AH234" s="357">
        <f t="shared" ca="1" si="115"/>
        <v>75.217257836244016</v>
      </c>
    </row>
    <row r="235" spans="1:34" x14ac:dyDescent="0.25">
      <c r="A235" s="402">
        <f t="shared" ca="1" si="93"/>
        <v>0.01</v>
      </c>
      <c r="B235" s="357">
        <f t="shared" ca="1" si="94"/>
        <v>2.3099999999999947</v>
      </c>
      <c r="C235" s="342"/>
      <c r="D235" s="359">
        <f t="shared" ca="1" si="95"/>
        <v>16.414517684923503</v>
      </c>
      <c r="E235" s="360">
        <f t="shared" ca="1" si="96"/>
        <v>63.423288912114003</v>
      </c>
      <c r="F235" s="357">
        <f t="shared" ca="1" si="97"/>
        <v>65.512975564067844</v>
      </c>
      <c r="G235" s="359">
        <f t="shared" ca="1" si="98"/>
        <v>39.098628638770649</v>
      </c>
      <c r="H235" s="360">
        <f t="shared" ca="1" si="99"/>
        <v>174.34023697291417</v>
      </c>
      <c r="I235" s="357">
        <f t="shared" ca="1" si="100"/>
        <v>178.67070545896539</v>
      </c>
      <c r="J235" s="359">
        <f t="shared" ca="1" si="101"/>
        <v>43.881866655597889</v>
      </c>
      <c r="K235" s="360">
        <f t="shared" ca="1" si="102"/>
        <v>207.81019084433535</v>
      </c>
      <c r="L235" s="357">
        <f t="shared" ca="1" si="87"/>
        <v>212.39278151561263</v>
      </c>
      <c r="M235" s="359">
        <f t="shared" ca="1" si="103"/>
        <v>1.3501804017323764</v>
      </c>
      <c r="N235" s="357">
        <f t="shared" ca="1" si="104"/>
        <v>77.35963860054315</v>
      </c>
      <c r="O235" s="343"/>
      <c r="P235" s="363">
        <f t="shared" ca="1" si="105"/>
        <v>8</v>
      </c>
      <c r="Q235" s="357">
        <f t="shared" ca="1" si="106"/>
        <v>864.70833333333405</v>
      </c>
      <c r="R235" s="359">
        <f t="shared" ca="1" si="107"/>
        <v>0.4331603004185004</v>
      </c>
      <c r="S235" s="360">
        <f t="shared" ca="1" si="108"/>
        <v>10.374799193679442</v>
      </c>
      <c r="T235" s="357">
        <f t="shared" ca="1" si="88"/>
        <v>101.77678008999533</v>
      </c>
      <c r="U235" s="364">
        <f t="shared" ca="1" si="89"/>
        <v>0</v>
      </c>
      <c r="V235" s="359">
        <f t="shared" ca="1" si="90"/>
        <v>1.1998050400928997</v>
      </c>
      <c r="W235" s="357">
        <f t="shared" ca="1" si="91"/>
        <v>86.69558953459881</v>
      </c>
      <c r="X235" s="343"/>
      <c r="Y235" s="367" t="str">
        <f t="shared" ca="1" si="109"/>
        <v/>
      </c>
      <c r="Z235" s="368" t="str">
        <f t="shared" ca="1" si="110"/>
        <v/>
      </c>
      <c r="AA235" s="369" t="str">
        <f t="shared" ca="1" si="111"/>
        <v/>
      </c>
      <c r="AB235" s="344"/>
      <c r="AC235" s="363" t="e">
        <f t="shared" ca="1" si="112"/>
        <v>#N/A</v>
      </c>
      <c r="AD235" s="376" t="e">
        <f t="shared" ca="1" si="113"/>
        <v>#N/A</v>
      </c>
      <c r="AE235" s="377">
        <f t="shared" ca="1" si="92"/>
        <v>207.81019084433535</v>
      </c>
      <c r="AF235" s="344"/>
      <c r="AG235" s="359">
        <f t="shared" ca="1" si="114"/>
        <v>65.477831796673769</v>
      </c>
      <c r="AH235" s="357">
        <f t="shared" ca="1" si="115"/>
        <v>75.050323088670481</v>
      </c>
    </row>
    <row r="236" spans="1:34" x14ac:dyDescent="0.25">
      <c r="A236" s="402">
        <f t="shared" ca="1" si="93"/>
        <v>0.01</v>
      </c>
      <c r="B236" s="357">
        <f t="shared" ca="1" si="94"/>
        <v>2.3199999999999945</v>
      </c>
      <c r="C236" s="342"/>
      <c r="D236" s="359">
        <f t="shared" ca="1" si="95"/>
        <v>16.386729976730127</v>
      </c>
      <c r="E236" s="360">
        <f t="shared" ca="1" si="96"/>
        <v>63.258199239125915</v>
      </c>
      <c r="F236" s="357">
        <f t="shared" ca="1" si="97"/>
        <v>65.346191092574145</v>
      </c>
      <c r="G236" s="359">
        <f t="shared" ca="1" si="98"/>
        <v>39.262495938537953</v>
      </c>
      <c r="H236" s="360">
        <f t="shared" ca="1" si="99"/>
        <v>174.97281896530544</v>
      </c>
      <c r="I236" s="357">
        <f t="shared" ca="1" si="100"/>
        <v>179.32381594196923</v>
      </c>
      <c r="J236" s="359">
        <f t="shared" ca="1" si="101"/>
        <v>44.273672278484433</v>
      </c>
      <c r="K236" s="360">
        <f t="shared" ca="1" si="102"/>
        <v>209.55675612402646</v>
      </c>
      <c r="L236" s="357">
        <f t="shared" ca="1" si="87"/>
        <v>214.18261389348891</v>
      </c>
      <c r="M236" s="359">
        <f t="shared" ca="1" si="103"/>
        <v>1.3500606893126033</v>
      </c>
      <c r="N236" s="357">
        <f t="shared" ca="1" si="104"/>
        <v>77.352779584134851</v>
      </c>
      <c r="O236" s="343"/>
      <c r="P236" s="363">
        <f t="shared" ca="1" si="105"/>
        <v>8</v>
      </c>
      <c r="Q236" s="357">
        <f t="shared" ca="1" si="106"/>
        <v>863.2694444444453</v>
      </c>
      <c r="R236" s="359">
        <f t="shared" ca="1" si="107"/>
        <v>0.43243951455423413</v>
      </c>
      <c r="S236" s="360">
        <f t="shared" ca="1" si="108"/>
        <v>10.3704747985339</v>
      </c>
      <c r="T236" s="357">
        <f t="shared" ca="1" si="88"/>
        <v>101.73435777361756</v>
      </c>
      <c r="U236" s="364">
        <f t="shared" ca="1" si="89"/>
        <v>0</v>
      </c>
      <c r="V236" s="359">
        <f t="shared" ca="1" si="90"/>
        <v>1.1995954817960919</v>
      </c>
      <c r="W236" s="357">
        <f t="shared" ca="1" si="91"/>
        <v>87.315306540730248</v>
      </c>
      <c r="X236" s="343"/>
      <c r="Y236" s="367" t="str">
        <f t="shared" ca="1" si="109"/>
        <v/>
      </c>
      <c r="Z236" s="368" t="str">
        <f t="shared" ca="1" si="110"/>
        <v/>
      </c>
      <c r="AA236" s="369" t="str">
        <f t="shared" ca="1" si="111"/>
        <v/>
      </c>
      <c r="AB236" s="344"/>
      <c r="AC236" s="363" t="e">
        <f t="shared" ca="1" si="112"/>
        <v>#N/A</v>
      </c>
      <c r="AD236" s="376" t="e">
        <f t="shared" ca="1" si="113"/>
        <v>#N/A</v>
      </c>
      <c r="AE236" s="377">
        <f t="shared" ca="1" si="92"/>
        <v>209.55675612402646</v>
      </c>
      <c r="AF236" s="344"/>
      <c r="AG236" s="359">
        <f t="shared" ca="1" si="114"/>
        <v>65.310919805334407</v>
      </c>
      <c r="AH236" s="357">
        <f t="shared" ca="1" si="115"/>
        <v>74.883153374967236</v>
      </c>
    </row>
    <row r="237" spans="1:34" x14ac:dyDescent="0.25">
      <c r="A237" s="402">
        <f t="shared" ca="1" si="93"/>
        <v>0.01</v>
      </c>
      <c r="B237" s="357">
        <f t="shared" ca="1" si="94"/>
        <v>2.3299999999999943</v>
      </c>
      <c r="C237" s="342"/>
      <c r="D237" s="359">
        <f t="shared" ca="1" si="95"/>
        <v>16.35882466363817</v>
      </c>
      <c r="E237" s="360">
        <f t="shared" ca="1" si="96"/>
        <v>63.092896210080355</v>
      </c>
      <c r="F237" s="357">
        <f t="shared" ca="1" si="97"/>
        <v>65.179173794638018</v>
      </c>
      <c r="G237" s="359">
        <f t="shared" ca="1" si="98"/>
        <v>39.426084185174332</v>
      </c>
      <c r="H237" s="360">
        <f t="shared" ca="1" si="99"/>
        <v>175.60374792740623</v>
      </c>
      <c r="I237" s="357">
        <f t="shared" ca="1" si="100"/>
        <v>179.97525496669948</v>
      </c>
      <c r="J237" s="359">
        <f t="shared" ca="1" si="101"/>
        <v>44.667115179102993</v>
      </c>
      <c r="K237" s="360">
        <f t="shared" ca="1" si="102"/>
        <v>211.30963895849001</v>
      </c>
      <c r="L237" s="357">
        <f t="shared" ca="1" si="87"/>
        <v>215.97896817790073</v>
      </c>
      <c r="M237" s="359">
        <f t="shared" ca="1" si="103"/>
        <v>1.3499413465344443</v>
      </c>
      <c r="N237" s="357">
        <f t="shared" ca="1" si="104"/>
        <v>77.345941746630984</v>
      </c>
      <c r="O237" s="343"/>
      <c r="P237" s="363">
        <f t="shared" ca="1" si="105"/>
        <v>8</v>
      </c>
      <c r="Q237" s="357">
        <f t="shared" ca="1" si="106"/>
        <v>861.83055555555643</v>
      </c>
      <c r="R237" s="359">
        <f t="shared" ca="1" si="107"/>
        <v>0.43171872868996786</v>
      </c>
      <c r="S237" s="360">
        <f t="shared" ca="1" si="108"/>
        <v>10.366157611247001</v>
      </c>
      <c r="T237" s="357">
        <f t="shared" ca="1" si="88"/>
        <v>101.69200616633309</v>
      </c>
      <c r="U237" s="364">
        <f t="shared" ca="1" si="89"/>
        <v>0</v>
      </c>
      <c r="V237" s="359">
        <f t="shared" ca="1" si="90"/>
        <v>1.1993852019143587</v>
      </c>
      <c r="W237" s="357">
        <f t="shared" ca="1" si="91"/>
        <v>87.935431503167962</v>
      </c>
      <c r="X237" s="343"/>
      <c r="Y237" s="367" t="str">
        <f t="shared" ca="1" si="109"/>
        <v/>
      </c>
      <c r="Z237" s="368" t="str">
        <f t="shared" ca="1" si="110"/>
        <v/>
      </c>
      <c r="AA237" s="369" t="str">
        <f t="shared" ca="1" si="111"/>
        <v/>
      </c>
      <c r="AB237" s="344"/>
      <c r="AC237" s="363" t="e">
        <f t="shared" ca="1" si="112"/>
        <v>#N/A</v>
      </c>
      <c r="AD237" s="376" t="e">
        <f t="shared" ca="1" si="113"/>
        <v>#N/A</v>
      </c>
      <c r="AE237" s="377">
        <f t="shared" ca="1" si="92"/>
        <v>211.30963895849001</v>
      </c>
      <c r="AF237" s="344"/>
      <c r="AG237" s="359">
        <f t="shared" ca="1" si="114"/>
        <v>65.143774306358097</v>
      </c>
      <c r="AH237" s="357">
        <f t="shared" ca="1" si="115"/>
        <v>74.715750817303615</v>
      </c>
    </row>
    <row r="238" spans="1:34" x14ac:dyDescent="0.25">
      <c r="A238" s="402">
        <f t="shared" ca="1" si="93"/>
        <v>0.01</v>
      </c>
      <c r="B238" s="357">
        <f t="shared" ca="1" si="94"/>
        <v>2.3399999999999941</v>
      </c>
      <c r="C238" s="342"/>
      <c r="D238" s="359">
        <f t="shared" ca="1" si="95"/>
        <v>16.330802578540098</v>
      </c>
      <c r="E238" s="360">
        <f t="shared" ca="1" si="96"/>
        <v>62.927381830391681</v>
      </c>
      <c r="F238" s="357">
        <f t="shared" ca="1" si="97"/>
        <v>65.011925805094876</v>
      </c>
      <c r="G238" s="359">
        <f t="shared" ca="1" si="98"/>
        <v>39.58939221095973</v>
      </c>
      <c r="H238" s="360">
        <f t="shared" ca="1" si="99"/>
        <v>176.23302174571015</v>
      </c>
      <c r="I238" s="357">
        <f t="shared" ca="1" si="100"/>
        <v>180.62502021939582</v>
      </c>
      <c r="J238" s="359">
        <f t="shared" ca="1" si="101"/>
        <v>45.062192561083663</v>
      </c>
      <c r="K238" s="360">
        <f t="shared" ca="1" si="102"/>
        <v>213.06882280685559</v>
      </c>
      <c r="L238" s="357">
        <f t="shared" ca="1" si="87"/>
        <v>217.78182764113129</v>
      </c>
      <c r="M238" s="359">
        <f t="shared" ca="1" si="103"/>
        <v>1.3498223698267271</v>
      </c>
      <c r="N238" s="357">
        <f t="shared" ca="1" si="104"/>
        <v>77.339124883418421</v>
      </c>
      <c r="O238" s="343"/>
      <c r="P238" s="363">
        <f t="shared" ca="1" si="105"/>
        <v>8</v>
      </c>
      <c r="Q238" s="357">
        <f t="shared" ca="1" si="106"/>
        <v>860.39166666666756</v>
      </c>
      <c r="R238" s="359">
        <f t="shared" ca="1" si="107"/>
        <v>0.43099794282570153</v>
      </c>
      <c r="S238" s="360">
        <f t="shared" ca="1" si="108"/>
        <v>10.361847631818744</v>
      </c>
      <c r="T238" s="357">
        <f t="shared" ca="1" si="88"/>
        <v>101.64972526814188</v>
      </c>
      <c r="U238" s="364">
        <f t="shared" ca="1" si="89"/>
        <v>0</v>
      </c>
      <c r="V238" s="359">
        <f t="shared" ca="1" si="90"/>
        <v>1.1991742028163588</v>
      </c>
      <c r="W238" s="357">
        <f t="shared" ca="1" si="91"/>
        <v>88.555943089120305</v>
      </c>
      <c r="X238" s="343"/>
      <c r="Y238" s="367" t="str">
        <f t="shared" ca="1" si="109"/>
        <v/>
      </c>
      <c r="Z238" s="368" t="str">
        <f t="shared" ca="1" si="110"/>
        <v/>
      </c>
      <c r="AA238" s="369" t="str">
        <f t="shared" ca="1" si="111"/>
        <v/>
      </c>
      <c r="AB238" s="344"/>
      <c r="AC238" s="363" t="e">
        <f t="shared" ca="1" si="112"/>
        <v>#N/A</v>
      </c>
      <c r="AD238" s="376" t="e">
        <f t="shared" ca="1" si="113"/>
        <v>#N/A</v>
      </c>
      <c r="AE238" s="377">
        <f t="shared" ca="1" si="92"/>
        <v>213.06882280685559</v>
      </c>
      <c r="AF238" s="344"/>
      <c r="AG238" s="359">
        <f t="shared" ca="1" si="114"/>
        <v>64.976397428149085</v>
      </c>
      <c r="AH238" s="357">
        <f t="shared" ca="1" si="115"/>
        <v>74.548117537597463</v>
      </c>
    </row>
    <row r="239" spans="1:34" x14ac:dyDescent="0.25">
      <c r="A239" s="402">
        <f t="shared" ca="1" si="93"/>
        <v>0.01</v>
      </c>
      <c r="B239" s="357">
        <f t="shared" ca="1" si="94"/>
        <v>2.3499999999999939</v>
      </c>
      <c r="C239" s="342"/>
      <c r="D239" s="359">
        <f t="shared" ca="1" si="95"/>
        <v>16.302664549998795</v>
      </c>
      <c r="E239" s="360">
        <f t="shared" ca="1" si="96"/>
        <v>62.761658105869842</v>
      </c>
      <c r="F239" s="357">
        <f t="shared" ca="1" si="97"/>
        <v>64.84444925842061</v>
      </c>
      <c r="G239" s="359">
        <f t="shared" ca="1" si="98"/>
        <v>39.75241885645972</v>
      </c>
      <c r="H239" s="360">
        <f t="shared" ca="1" si="99"/>
        <v>176.86063832676885</v>
      </c>
      <c r="I239" s="357">
        <f t="shared" ca="1" si="100"/>
        <v>181.27310940757749</v>
      </c>
      <c r="J239" s="359">
        <f t="shared" ca="1" si="101"/>
        <v>45.458901616420761</v>
      </c>
      <c r="K239" s="360">
        <f t="shared" ca="1" si="102"/>
        <v>214.83429110721798</v>
      </c>
      <c r="L239" s="357">
        <f t="shared" ca="1" si="87"/>
        <v>219.59117553242504</v>
      </c>
      <c r="M239" s="359">
        <f t="shared" ca="1" si="103"/>
        <v>1.3497037556634219</v>
      </c>
      <c r="N239" s="357">
        <f t="shared" ca="1" si="104"/>
        <v>77.332328792470562</v>
      </c>
      <c r="O239" s="343"/>
      <c r="P239" s="363">
        <f t="shared" ca="1" si="105"/>
        <v>8</v>
      </c>
      <c r="Q239" s="357">
        <f t="shared" ca="1" si="106"/>
        <v>858.95277777777869</v>
      </c>
      <c r="R239" s="359">
        <f t="shared" ca="1" si="107"/>
        <v>0.43027715696143526</v>
      </c>
      <c r="S239" s="360">
        <f t="shared" ca="1" si="108"/>
        <v>10.35754486024913</v>
      </c>
      <c r="T239" s="357">
        <f t="shared" ca="1" si="88"/>
        <v>101.60751507904396</v>
      </c>
      <c r="U239" s="364">
        <f t="shared" ca="1" si="89"/>
        <v>0</v>
      </c>
      <c r="V239" s="359">
        <f t="shared" ca="1" si="90"/>
        <v>1.1989624868731066</v>
      </c>
      <c r="W239" s="357">
        <f t="shared" ca="1" si="91"/>
        <v>89.176820016534478</v>
      </c>
      <c r="X239" s="343"/>
      <c r="Y239" s="367" t="str">
        <f t="shared" ca="1" si="109"/>
        <v/>
      </c>
      <c r="Z239" s="368" t="str">
        <f t="shared" ca="1" si="110"/>
        <v/>
      </c>
      <c r="AA239" s="369" t="str">
        <f t="shared" ca="1" si="111"/>
        <v/>
      </c>
      <c r="AB239" s="344"/>
      <c r="AC239" s="363" t="e">
        <f t="shared" ca="1" si="112"/>
        <v>#N/A</v>
      </c>
      <c r="AD239" s="376" t="e">
        <f t="shared" ca="1" si="113"/>
        <v>#N/A</v>
      </c>
      <c r="AE239" s="377">
        <f t="shared" ca="1" si="92"/>
        <v>214.83429110721798</v>
      </c>
      <c r="AF239" s="344"/>
      <c r="AG239" s="359">
        <f t="shared" ca="1" si="114"/>
        <v>64.808791298699475</v>
      </c>
      <c r="AH239" s="357">
        <f t="shared" ca="1" si="115"/>
        <v>74.380255657432713</v>
      </c>
    </row>
    <row r="240" spans="1:34" x14ac:dyDescent="0.25">
      <c r="A240" s="402">
        <f t="shared" ca="1" si="93"/>
        <v>0.01</v>
      </c>
      <c r="B240" s="357">
        <f t="shared" ca="1" si="94"/>
        <v>2.3599999999999937</v>
      </c>
      <c r="C240" s="342"/>
      <c r="D240" s="359">
        <f t="shared" ca="1" si="95"/>
        <v>16.274411402309937</v>
      </c>
      <c r="E240" s="360">
        <f t="shared" ca="1" si="96"/>
        <v>62.595727042626478</v>
      </c>
      <c r="F240" s="357">
        <f t="shared" ca="1" si="97"/>
        <v>64.676746288651799</v>
      </c>
      <c r="G240" s="359">
        <f t="shared" ca="1" si="98"/>
        <v>39.915162970482818</v>
      </c>
      <c r="H240" s="360">
        <f t="shared" ca="1" si="99"/>
        <v>177.48659559719511</v>
      </c>
      <c r="I240" s="357">
        <f t="shared" ca="1" si="100"/>
        <v>181.9195202600383</v>
      </c>
      <c r="J240" s="359">
        <f t="shared" ca="1" si="101"/>
        <v>45.857239525555471</v>
      </c>
      <c r="K240" s="360">
        <f t="shared" ca="1" si="102"/>
        <v>216.60602727683781</v>
      </c>
      <c r="L240" s="357">
        <f t="shared" ca="1" si="87"/>
        <v>221.40699507820065</v>
      </c>
      <c r="M240" s="359">
        <f t="shared" ca="1" si="103"/>
        <v>1.3495855005628581</v>
      </c>
      <c r="N240" s="357">
        <f t="shared" ca="1" si="104"/>
        <v>77.325553274302351</v>
      </c>
      <c r="O240" s="343"/>
      <c r="P240" s="363">
        <f t="shared" ca="1" si="105"/>
        <v>8</v>
      </c>
      <c r="Q240" s="357">
        <f t="shared" ca="1" si="106"/>
        <v>857.51388888888982</v>
      </c>
      <c r="R240" s="359">
        <f t="shared" ca="1" si="107"/>
        <v>0.42955637109716893</v>
      </c>
      <c r="S240" s="360">
        <f t="shared" ca="1" si="108"/>
        <v>10.353249296538158</v>
      </c>
      <c r="T240" s="357">
        <f t="shared" ca="1" si="88"/>
        <v>101.56537559903933</v>
      </c>
      <c r="U240" s="364">
        <f t="shared" ca="1" si="89"/>
        <v>0</v>
      </c>
      <c r="V240" s="359">
        <f t="shared" ca="1" si="90"/>
        <v>1.1987500564579319</v>
      </c>
      <c r="W240" s="357">
        <f t="shared" ca="1" si="91"/>
        <v>89.798041054780924</v>
      </c>
      <c r="X240" s="343"/>
      <c r="Y240" s="367" t="str">
        <f t="shared" ca="1" si="109"/>
        <v/>
      </c>
      <c r="Z240" s="368" t="str">
        <f t="shared" ca="1" si="110"/>
        <v/>
      </c>
      <c r="AA240" s="369" t="str">
        <f t="shared" ca="1" si="111"/>
        <v/>
      </c>
      <c r="AB240" s="344"/>
      <c r="AC240" s="363" t="e">
        <f t="shared" ca="1" si="112"/>
        <v>#N/A</v>
      </c>
      <c r="AD240" s="376" t="e">
        <f t="shared" ca="1" si="113"/>
        <v>#N/A</v>
      </c>
      <c r="AE240" s="377">
        <f t="shared" ca="1" si="92"/>
        <v>216.60602727683781</v>
      </c>
      <c r="AF240" s="344"/>
      <c r="AG240" s="359">
        <f t="shared" ca="1" si="114"/>
        <v>64.640958045508427</v>
      </c>
      <c r="AH240" s="357">
        <f t="shared" ca="1" si="115"/>
        <v>74.212167297977274</v>
      </c>
    </row>
    <row r="241" spans="1:34" x14ac:dyDescent="0.25">
      <c r="A241" s="402">
        <f t="shared" ca="1" si="93"/>
        <v>0.01</v>
      </c>
      <c r="B241" s="357">
        <f t="shared" ca="1" si="94"/>
        <v>2.3699999999999934</v>
      </c>
      <c r="C241" s="342"/>
      <c r="D241" s="359">
        <f t="shared" ca="1" si="95"/>
        <v>16.246043955562858</v>
      </c>
      <c r="E241" s="360">
        <f t="shared" ca="1" si="96"/>
        <v>62.429590646981737</v>
      </c>
      <c r="F241" s="357">
        <f t="shared" ca="1" si="97"/>
        <v>64.508819029306295</v>
      </c>
      <c r="G241" s="359">
        <f t="shared" ca="1" si="98"/>
        <v>40.077623410038449</v>
      </c>
      <c r="H241" s="360">
        <f t="shared" ca="1" si="99"/>
        <v>178.11089150366493</v>
      </c>
      <c r="I241" s="357">
        <f t="shared" ca="1" si="100"/>
        <v>182.56425052684099</v>
      </c>
      <c r="J241" s="359">
        <f t="shared" ca="1" si="101"/>
        <v>46.257203457458075</v>
      </c>
      <c r="K241" s="360">
        <f t="shared" ca="1" si="102"/>
        <v>218.38401471234209</v>
      </c>
      <c r="L241" s="357">
        <f t="shared" ca="1" si="87"/>
        <v>223.2292694822637</v>
      </c>
      <c r="M241" s="359">
        <f t="shared" ca="1" si="103"/>
        <v>1.3494676010869573</v>
      </c>
      <c r="N241" s="357">
        <f t="shared" ca="1" si="104"/>
        <v>77.318798131926442</v>
      </c>
      <c r="O241" s="343"/>
      <c r="P241" s="363">
        <f t="shared" ca="1" si="105"/>
        <v>8</v>
      </c>
      <c r="Q241" s="357">
        <f t="shared" ca="1" si="106"/>
        <v>856.07500000000095</v>
      </c>
      <c r="R241" s="359">
        <f t="shared" ca="1" si="107"/>
        <v>0.42883558523290261</v>
      </c>
      <c r="S241" s="360">
        <f t="shared" ca="1" si="108"/>
        <v>10.348960940685828</v>
      </c>
      <c r="T241" s="357">
        <f t="shared" ca="1" si="88"/>
        <v>101.52330682812797</v>
      </c>
      <c r="U241" s="364">
        <f t="shared" ca="1" si="89"/>
        <v>0</v>
      </c>
      <c r="V241" s="359">
        <f t="shared" ca="1" si="90"/>
        <v>1.198536913946441</v>
      </c>
      <c r="W241" s="357">
        <f t="shared" ca="1" si="91"/>
        <v>90.419585025332907</v>
      </c>
      <c r="X241" s="343"/>
      <c r="Y241" s="367" t="str">
        <f t="shared" ca="1" si="109"/>
        <v/>
      </c>
      <c r="Z241" s="368" t="str">
        <f t="shared" ca="1" si="110"/>
        <v/>
      </c>
      <c r="AA241" s="369" t="str">
        <f t="shared" ca="1" si="111"/>
        <v/>
      </c>
      <c r="AB241" s="344"/>
      <c r="AC241" s="363" t="e">
        <f t="shared" ca="1" si="112"/>
        <v>#N/A</v>
      </c>
      <c r="AD241" s="376" t="e">
        <f t="shared" ca="1" si="113"/>
        <v>#N/A</v>
      </c>
      <c r="AE241" s="377">
        <f t="shared" ca="1" si="92"/>
        <v>218.38401471234209</v>
      </c>
      <c r="AF241" s="344"/>
      <c r="AG241" s="359">
        <f t="shared" ca="1" si="114"/>
        <v>64.47289979550176</v>
      </c>
      <c r="AH241" s="357">
        <f t="shared" ca="1" si="115"/>
        <v>74.043854579901307</v>
      </c>
    </row>
    <row r="242" spans="1:34" x14ac:dyDescent="0.25">
      <c r="A242" s="402">
        <f t="shared" ca="1" si="93"/>
        <v>0.01</v>
      </c>
      <c r="B242" s="357">
        <f t="shared" ca="1" si="94"/>
        <v>2.3799999999999932</v>
      </c>
      <c r="C242" s="342"/>
      <c r="D242" s="359">
        <f t="shared" ca="1" si="95"/>
        <v>16.217563025699651</v>
      </c>
      <c r="E242" s="360">
        <f t="shared" ca="1" si="96"/>
        <v>62.263250925371338</v>
      </c>
      <c r="F242" s="357">
        <f t="shared" ca="1" si="97"/>
        <v>64.340669613303646</v>
      </c>
      <c r="G242" s="359">
        <f t="shared" ca="1" si="98"/>
        <v>40.239799040295445</v>
      </c>
      <c r="H242" s="360">
        <f t="shared" ca="1" si="99"/>
        <v>178.73352401291865</v>
      </c>
      <c r="I242" s="357">
        <f t="shared" ca="1" si="100"/>
        <v>183.20729797931068</v>
      </c>
      <c r="J242" s="359">
        <f t="shared" ca="1" si="101"/>
        <v>46.658790569709744</v>
      </c>
      <c r="K242" s="360">
        <f t="shared" ca="1" si="102"/>
        <v>220.168236789925</v>
      </c>
      <c r="L242" s="357">
        <f t="shared" ca="1" si="87"/>
        <v>225.05798192601949</v>
      </c>
      <c r="M242" s="359">
        <f t="shared" ca="1" si="103"/>
        <v>1.3493500538404859</v>
      </c>
      <c r="N242" s="357">
        <f t="shared" ca="1" si="104"/>
        <v>77.312063170810248</v>
      </c>
      <c r="O242" s="343"/>
      <c r="P242" s="363">
        <f t="shared" ca="1" si="105"/>
        <v>8</v>
      </c>
      <c r="Q242" s="357">
        <f t="shared" ca="1" si="106"/>
        <v>854.63611111111209</v>
      </c>
      <c r="R242" s="359">
        <f t="shared" ca="1" si="107"/>
        <v>0.42811479936863633</v>
      </c>
      <c r="S242" s="360">
        <f t="shared" ca="1" si="108"/>
        <v>10.344679792692142</v>
      </c>
      <c r="T242" s="357">
        <f t="shared" ca="1" si="88"/>
        <v>101.48130876630992</v>
      </c>
      <c r="U242" s="364">
        <f t="shared" ca="1" si="89"/>
        <v>0</v>
      </c>
      <c r="V242" s="359">
        <f t="shared" ca="1" si="90"/>
        <v>1.198323061716476</v>
      </c>
      <c r="W242" s="357">
        <f t="shared" ca="1" si="91"/>
        <v>91.041430802440061</v>
      </c>
      <c r="X242" s="343"/>
      <c r="Y242" s="367" t="str">
        <f t="shared" ca="1" si="109"/>
        <v/>
      </c>
      <c r="Z242" s="368" t="str">
        <f t="shared" ca="1" si="110"/>
        <v/>
      </c>
      <c r="AA242" s="369" t="str">
        <f t="shared" ca="1" si="111"/>
        <v/>
      </c>
      <c r="AB242" s="344"/>
      <c r="AC242" s="363" t="e">
        <f t="shared" ca="1" si="112"/>
        <v>#N/A</v>
      </c>
      <c r="AD242" s="376" t="e">
        <f t="shared" ca="1" si="113"/>
        <v>#N/A</v>
      </c>
      <c r="AE242" s="377">
        <f t="shared" ca="1" si="92"/>
        <v>220.168236789925</v>
      </c>
      <c r="AF242" s="344"/>
      <c r="AG242" s="359">
        <f t="shared" ca="1" si="114"/>
        <v>64.304618674951556</v>
      </c>
      <c r="AH242" s="357">
        <f t="shared" ca="1" si="115"/>
        <v>73.875319623295582</v>
      </c>
    </row>
    <row r="243" spans="1:34" x14ac:dyDescent="0.25">
      <c r="A243" s="402">
        <f t="shared" ca="1" si="93"/>
        <v>0.01</v>
      </c>
      <c r="B243" s="357">
        <f t="shared" ca="1" si="94"/>
        <v>2.389999999999993</v>
      </c>
      <c r="C243" s="342"/>
      <c r="D243" s="359">
        <f t="shared" ca="1" si="95"/>
        <v>16.188969424572534</v>
      </c>
      <c r="E243" s="360">
        <f t="shared" ca="1" si="96"/>
        <v>62.096709884254821</v>
      </c>
      <c r="F243" s="357">
        <f t="shared" ca="1" si="97"/>
        <v>64.172300172886551</v>
      </c>
      <c r="G243" s="359">
        <f t="shared" ca="1" si="98"/>
        <v>40.401688734541167</v>
      </c>
      <c r="H243" s="360">
        <f t="shared" ca="1" si="99"/>
        <v>179.35449111176121</v>
      </c>
      <c r="I243" s="357">
        <f t="shared" ca="1" si="100"/>
        <v>183.84866041002741</v>
      </c>
      <c r="J243" s="359">
        <f t="shared" ca="1" si="101"/>
        <v>47.061998008583927</v>
      </c>
      <c r="K243" s="360">
        <f t="shared" ca="1" si="102"/>
        <v>221.9586768655484</v>
      </c>
      <c r="L243" s="357">
        <f t="shared" ca="1" si="87"/>
        <v>226.89311556868552</v>
      </c>
      <c r="M243" s="359">
        <f t="shared" ca="1" si="103"/>
        <v>1.3492328554703197</v>
      </c>
      <c r="N243" s="357">
        <f t="shared" ca="1" si="104"/>
        <v>77.305348198833912</v>
      </c>
      <c r="O243" s="343"/>
      <c r="P243" s="363">
        <f t="shared" ca="1" si="105"/>
        <v>8</v>
      </c>
      <c r="Q243" s="357">
        <f t="shared" ca="1" si="106"/>
        <v>853.19722222222322</v>
      </c>
      <c r="R243" s="359">
        <f t="shared" ca="1" si="107"/>
        <v>0.42739401350437001</v>
      </c>
      <c r="S243" s="360">
        <f t="shared" ca="1" si="108"/>
        <v>10.340405852557099</v>
      </c>
      <c r="T243" s="357">
        <f t="shared" ca="1" si="88"/>
        <v>101.43938141358515</v>
      </c>
      <c r="U243" s="364">
        <f t="shared" ca="1" si="89"/>
        <v>0</v>
      </c>
      <c r="V243" s="359">
        <f t="shared" ca="1" si="90"/>
        <v>1.1981085021480775</v>
      </c>
      <c r="W243" s="357">
        <f t="shared" ca="1" si="91"/>
        <v>91.663557313797341</v>
      </c>
      <c r="X243" s="343"/>
      <c r="Y243" s="367" t="str">
        <f t="shared" ca="1" si="109"/>
        <v/>
      </c>
      <c r="Z243" s="368" t="str">
        <f t="shared" ca="1" si="110"/>
        <v/>
      </c>
      <c r="AA243" s="369" t="str">
        <f t="shared" ca="1" si="111"/>
        <v/>
      </c>
      <c r="AB243" s="344"/>
      <c r="AC243" s="363" t="e">
        <f t="shared" ca="1" si="112"/>
        <v>#N/A</v>
      </c>
      <c r="AD243" s="376" t="e">
        <f t="shared" ca="1" si="113"/>
        <v>#N/A</v>
      </c>
      <c r="AE243" s="377">
        <f t="shared" ca="1" si="92"/>
        <v>221.9586768655484</v>
      </c>
      <c r="AF243" s="344"/>
      <c r="AG243" s="359">
        <f t="shared" ca="1" si="114"/>
        <v>64.136116809396555</v>
      </c>
      <c r="AH243" s="357">
        <f t="shared" ca="1" si="115"/>
        <v>73.706564547590574</v>
      </c>
    </row>
    <row r="244" spans="1:34" x14ac:dyDescent="0.25">
      <c r="A244" s="402">
        <f t="shared" ca="1" si="93"/>
        <v>0.01</v>
      </c>
      <c r="B244" s="357">
        <f t="shared" ca="1" si="94"/>
        <v>2.3999999999999928</v>
      </c>
      <c r="C244" s="342"/>
      <c r="D244" s="359">
        <f t="shared" ca="1" si="95"/>
        <v>16.16026395999975</v>
      </c>
      <c r="E244" s="360">
        <f t="shared" ca="1" si="96"/>
        <v>61.929969530023783</v>
      </c>
      <c r="F244" s="357">
        <f t="shared" ca="1" si="97"/>
        <v>64.003712839541905</v>
      </c>
      <c r="G244" s="359">
        <f t="shared" ca="1" si="98"/>
        <v>40.563291374141166</v>
      </c>
      <c r="H244" s="360">
        <f t="shared" ca="1" si="99"/>
        <v>179.97379080706145</v>
      </c>
      <c r="I244" s="357">
        <f t="shared" ca="1" si="100"/>
        <v>184.48833563281823</v>
      </c>
      <c r="J244" s="359">
        <f t="shared" ca="1" si="101"/>
        <v>47.466822909127337</v>
      </c>
      <c r="K244" s="360">
        <f t="shared" ca="1" si="102"/>
        <v>223.75531827514251</v>
      </c>
      <c r="L244" s="357">
        <f t="shared" ca="1" si="87"/>
        <v>228.73465354750419</v>
      </c>
      <c r="M244" s="359">
        <f t="shared" ca="1" si="103"/>
        <v>1.3491160026647273</v>
      </c>
      <c r="N244" s="357">
        <f t="shared" ca="1" si="104"/>
        <v>77.298653026249198</v>
      </c>
      <c r="O244" s="343"/>
      <c r="P244" s="363">
        <f t="shared" ca="1" si="105"/>
        <v>8</v>
      </c>
      <c r="Q244" s="357">
        <f t="shared" ca="1" si="106"/>
        <v>851.75833333333435</v>
      </c>
      <c r="R244" s="359">
        <f t="shared" ca="1" si="107"/>
        <v>0.42667322764010368</v>
      </c>
      <c r="S244" s="360">
        <f t="shared" ca="1" si="108"/>
        <v>10.336139120280698</v>
      </c>
      <c r="T244" s="357">
        <f t="shared" ca="1" si="88"/>
        <v>101.39752476995366</v>
      </c>
      <c r="U244" s="364">
        <f t="shared" ca="1" si="89"/>
        <v>0</v>
      </c>
      <c r="V244" s="359">
        <f t="shared" ca="1" si="90"/>
        <v>1.1978932376234437</v>
      </c>
      <c r="W244" s="357">
        <f t="shared" ca="1" si="91"/>
        <v>92.285943541207814</v>
      </c>
      <c r="X244" s="343"/>
      <c r="Y244" s="367" t="str">
        <f t="shared" ca="1" si="109"/>
        <v/>
      </c>
      <c r="Z244" s="368" t="str">
        <f t="shared" ca="1" si="110"/>
        <v/>
      </c>
      <c r="AA244" s="369" t="str">
        <f t="shared" ca="1" si="111"/>
        <v/>
      </c>
      <c r="AB244" s="344"/>
      <c r="AC244" s="363" t="e">
        <f t="shared" ca="1" si="112"/>
        <v>#N/A</v>
      </c>
      <c r="AD244" s="376" t="e">
        <f t="shared" ca="1" si="113"/>
        <v>#N/A</v>
      </c>
      <c r="AE244" s="377">
        <f t="shared" ca="1" si="92"/>
        <v>223.75531827514251</v>
      </c>
      <c r="AF244" s="344"/>
      <c r="AG244" s="359">
        <f t="shared" ca="1" si="114"/>
        <v>63.967396323562227</v>
      </c>
      <c r="AH244" s="357">
        <f t="shared" ca="1" si="115"/>
        <v>73.53759147147538</v>
      </c>
    </row>
    <row r="245" spans="1:34" x14ac:dyDescent="0.25">
      <c r="A245" s="402">
        <f t="shared" ca="1" si="93"/>
        <v>0.01</v>
      </c>
      <c r="B245" s="357">
        <f t="shared" ca="1" si="94"/>
        <v>2.4099999999999926</v>
      </c>
      <c r="C245" s="342"/>
      <c r="D245" s="359">
        <f t="shared" ca="1" si="95"/>
        <v>16.131447435819769</v>
      </c>
      <c r="E245" s="360">
        <f t="shared" ca="1" si="96"/>
        <v>61.763031868911199</v>
      </c>
      <c r="F245" s="357">
        <f t="shared" ca="1" si="97"/>
        <v>63.834909743922694</v>
      </c>
      <c r="G245" s="359">
        <f t="shared" ca="1" si="98"/>
        <v>40.724605848499365</v>
      </c>
      <c r="H245" s="360">
        <f t="shared" ca="1" si="99"/>
        <v>180.59142112575057</v>
      </c>
      <c r="I245" s="357">
        <f t="shared" ca="1" si="100"/>
        <v>185.12632148274815</v>
      </c>
      <c r="J245" s="359">
        <f t="shared" ca="1" si="101"/>
        <v>47.873262395240538</v>
      </c>
      <c r="K245" s="360">
        <f t="shared" ca="1" si="102"/>
        <v>225.55814433480657</v>
      </c>
      <c r="L245" s="357">
        <f t="shared" ca="1" si="87"/>
        <v>230.58257897795528</v>
      </c>
      <c r="M245" s="359">
        <f t="shared" ca="1" si="103"/>
        <v>1.3489994921526665</v>
      </c>
      <c r="N245" s="357">
        <f t="shared" ca="1" si="104"/>
        <v>77.291977465639206</v>
      </c>
      <c r="O245" s="343"/>
      <c r="P245" s="363">
        <f t="shared" ca="1" si="105"/>
        <v>8</v>
      </c>
      <c r="Q245" s="357">
        <f t="shared" ca="1" si="106"/>
        <v>850.31944444444548</v>
      </c>
      <c r="R245" s="359">
        <f t="shared" ca="1" si="107"/>
        <v>0.42595244177583741</v>
      </c>
      <c r="S245" s="360">
        <f t="shared" ca="1" si="108"/>
        <v>10.33187959586294</v>
      </c>
      <c r="T245" s="357">
        <f t="shared" ca="1" si="88"/>
        <v>101.35573883541545</v>
      </c>
      <c r="U245" s="364">
        <f t="shared" ca="1" si="89"/>
        <v>0</v>
      </c>
      <c r="V245" s="359">
        <f t="shared" ca="1" si="90"/>
        <v>1.1976772705268923</v>
      </c>
      <c r="W245" s="357">
        <f t="shared" ca="1" si="91"/>
        <v>92.908568521240596</v>
      </c>
      <c r="X245" s="343"/>
      <c r="Y245" s="367" t="str">
        <f t="shared" ca="1" si="109"/>
        <v/>
      </c>
      <c r="Z245" s="368" t="str">
        <f t="shared" ca="1" si="110"/>
        <v/>
      </c>
      <c r="AA245" s="369" t="str">
        <f t="shared" ca="1" si="111"/>
        <v/>
      </c>
      <c r="AB245" s="344"/>
      <c r="AC245" s="363" t="e">
        <f t="shared" ca="1" si="112"/>
        <v>#N/A</v>
      </c>
      <c r="AD245" s="376" t="e">
        <f t="shared" ca="1" si="113"/>
        <v>#N/A</v>
      </c>
      <c r="AE245" s="377">
        <f t="shared" ca="1" si="92"/>
        <v>225.55814433480657</v>
      </c>
      <c r="AF245" s="344"/>
      <c r="AG245" s="359">
        <f t="shared" ca="1" si="114"/>
        <v>63.798459341281742</v>
      </c>
      <c r="AH245" s="357">
        <f t="shared" ca="1" si="115"/>
        <v>73.368402512817426</v>
      </c>
    </row>
    <row r="246" spans="1:34" x14ac:dyDescent="0.25">
      <c r="A246" s="402">
        <f t="shared" ca="1" si="93"/>
        <v>0.01</v>
      </c>
      <c r="B246" s="357">
        <f t="shared" ca="1" si="94"/>
        <v>2.4199999999999924</v>
      </c>
      <c r="C246" s="342"/>
      <c r="D246" s="359">
        <f t="shared" ca="1" si="95"/>
        <v>16.096009804809416</v>
      </c>
      <c r="E246" s="360">
        <f t="shared" ca="1" si="96"/>
        <v>61.567026850013264</v>
      </c>
      <c r="F246" s="357">
        <f t="shared" ca="1" si="97"/>
        <v>63.636312957200587</v>
      </c>
      <c r="G246" s="359">
        <f t="shared" ca="1" si="98"/>
        <v>40.885565946547459</v>
      </c>
      <c r="H246" s="360">
        <f t="shared" ca="1" si="99"/>
        <v>181.20709139425071</v>
      </c>
      <c r="I246" s="357">
        <f t="shared" ca="1" si="100"/>
        <v>185.76231984537071</v>
      </c>
      <c r="J246" s="359">
        <f t="shared" ca="1" si="101"/>
        <v>48.281313254215775</v>
      </c>
      <c r="K246" s="360">
        <f t="shared" ca="1" si="102"/>
        <v>227.36713689740657</v>
      </c>
      <c r="L246" s="357">
        <f t="shared" ca="1" si="87"/>
        <v>232.43687347423113</v>
      </c>
      <c r="M246" s="359">
        <f t="shared" ca="1" si="103"/>
        <v>1.3488833205180051</v>
      </c>
      <c r="N246" s="357">
        <f t="shared" ca="1" si="104"/>
        <v>77.285321321273969</v>
      </c>
      <c r="O246" s="343"/>
      <c r="P246" s="363">
        <f t="shared" ca="1" si="105"/>
        <v>9</v>
      </c>
      <c r="Q246" s="357">
        <f t="shared" ca="1" si="106"/>
        <v>848.57500000000164</v>
      </c>
      <c r="R246" s="359">
        <f t="shared" ca="1" si="107"/>
        <v>0.42507859327630249</v>
      </c>
      <c r="S246" s="360">
        <f t="shared" ca="1" si="108"/>
        <v>10.327628809930177</v>
      </c>
      <c r="T246" s="357">
        <f t="shared" ca="1" si="88"/>
        <v>101.31403862541504</v>
      </c>
      <c r="U246" s="364">
        <f t="shared" ca="1" si="89"/>
        <v>0</v>
      </c>
      <c r="V246" s="359">
        <f t="shared" ca="1" si="90"/>
        <v>1.1974606034177075</v>
      </c>
      <c r="W246" s="357">
        <f t="shared" ca="1" si="91"/>
        <v>93.531113317298775</v>
      </c>
      <c r="X246" s="343"/>
      <c r="Y246" s="367" t="str">
        <f t="shared" ca="1" si="109"/>
        <v/>
      </c>
      <c r="Z246" s="368" t="str">
        <f t="shared" ca="1" si="110"/>
        <v/>
      </c>
      <c r="AA246" s="369" t="str">
        <f t="shared" ca="1" si="111"/>
        <v/>
      </c>
      <c r="AB246" s="344"/>
      <c r="AC246" s="363" t="e">
        <f t="shared" ca="1" si="112"/>
        <v>#N/A</v>
      </c>
      <c r="AD246" s="376" t="e">
        <f t="shared" ca="1" si="113"/>
        <v>#N/A</v>
      </c>
      <c r="AE246" s="377">
        <f t="shared" ca="1" si="92"/>
        <v>227.36713689740657</v>
      </c>
      <c r="AF246" s="344"/>
      <c r="AG246" s="359">
        <f t="shared" ca="1" si="114"/>
        <v>63.599710911248216</v>
      </c>
      <c r="AH246" s="357">
        <f t="shared" ca="1" si="115"/>
        <v>73.169402714413593</v>
      </c>
    </row>
    <row r="247" spans="1:34" x14ac:dyDescent="0.25">
      <c r="A247" s="402">
        <f t="shared" ca="1" si="93"/>
        <v>0.01</v>
      </c>
      <c r="B247" s="357">
        <f t="shared" ca="1" si="94"/>
        <v>2.4299999999999922</v>
      </c>
      <c r="C247" s="342"/>
      <c r="D247" s="359">
        <f t="shared" ca="1" si="95"/>
        <v>16.053937773941772</v>
      </c>
      <c r="E247" s="360">
        <f t="shared" ca="1" si="96"/>
        <v>61.341940840039598</v>
      </c>
      <c r="F247" s="357">
        <f t="shared" ca="1" si="97"/>
        <v>63.407906636889635</v>
      </c>
      <c r="G247" s="359">
        <f t="shared" ca="1" si="98"/>
        <v>41.046105324286877</v>
      </c>
      <c r="H247" s="360">
        <f t="shared" ca="1" si="99"/>
        <v>181.82051080265111</v>
      </c>
      <c r="I247" s="357">
        <f t="shared" ca="1" si="100"/>
        <v>186.39603244390537</v>
      </c>
      <c r="J247" s="359">
        <f t="shared" ca="1" si="101"/>
        <v>48.690971610569946</v>
      </c>
      <c r="K247" s="360">
        <f t="shared" ca="1" si="102"/>
        <v>229.18227490839107</v>
      </c>
      <c r="L247" s="357">
        <f t="shared" ca="1" si="87"/>
        <v>234.29751566878949</v>
      </c>
      <c r="M247" s="359">
        <f t="shared" ca="1" si="103"/>
        <v>1.3487674842032864</v>
      </c>
      <c r="N247" s="357">
        <f t="shared" ca="1" si="104"/>
        <v>77.278684389326244</v>
      </c>
      <c r="O247" s="343"/>
      <c r="P247" s="363">
        <f t="shared" ca="1" si="105"/>
        <v>9</v>
      </c>
      <c r="Q247" s="357">
        <f t="shared" ca="1" si="106"/>
        <v>846.52500000000168</v>
      </c>
      <c r="R247" s="359">
        <f t="shared" ca="1" si="107"/>
        <v>0.42405168214149835</v>
      </c>
      <c r="S247" s="360">
        <f t="shared" ca="1" si="108"/>
        <v>10.323388293108762</v>
      </c>
      <c r="T247" s="357">
        <f t="shared" ca="1" si="88"/>
        <v>101.27243915539695</v>
      </c>
      <c r="U247" s="364">
        <f t="shared" ca="1" si="89"/>
        <v>0</v>
      </c>
      <c r="V247" s="359">
        <f t="shared" ca="1" si="90"/>
        <v>1.1972432392029007</v>
      </c>
      <c r="W247" s="357">
        <f t="shared" ca="1" si="91"/>
        <v>94.153255038285138</v>
      </c>
      <c r="X247" s="343"/>
      <c r="Y247" s="367" t="str">
        <f t="shared" ca="1" si="109"/>
        <v/>
      </c>
      <c r="Z247" s="368" t="str">
        <f t="shared" ca="1" si="110"/>
        <v/>
      </c>
      <c r="AA247" s="369" t="str">
        <f t="shared" ca="1" si="111"/>
        <v/>
      </c>
      <c r="AB247" s="344"/>
      <c r="AC247" s="363" t="e">
        <f t="shared" ca="1" si="112"/>
        <v>#N/A</v>
      </c>
      <c r="AD247" s="376" t="e">
        <f t="shared" ca="1" si="113"/>
        <v>#N/A</v>
      </c>
      <c r="AE247" s="377">
        <f t="shared" ca="1" si="92"/>
        <v>229.18227490839107</v>
      </c>
      <c r="AF247" s="344"/>
      <c r="AG247" s="359">
        <f t="shared" ca="1" si="114"/>
        <v>63.371134799883386</v>
      </c>
      <c r="AH247" s="357">
        <f t="shared" ca="1" si="115"/>
        <v>72.940575836458052</v>
      </c>
    </row>
    <row r="248" spans="1:34" x14ac:dyDescent="0.25">
      <c r="A248" s="402">
        <f t="shared" ca="1" si="93"/>
        <v>0.01</v>
      </c>
      <c r="B248" s="357">
        <f t="shared" ca="1" si="94"/>
        <v>2.439999999999992</v>
      </c>
      <c r="C248" s="342"/>
      <c r="D248" s="359">
        <f t="shared" ca="1" si="95"/>
        <v>16.011741134022301</v>
      </c>
      <c r="E248" s="360">
        <f t="shared" ca="1" si="96"/>
        <v>61.116655009706065</v>
      </c>
      <c r="F248" s="357">
        <f t="shared" ca="1" si="97"/>
        <v>63.179279623293993</v>
      </c>
      <c r="G248" s="359">
        <f t="shared" ca="1" si="98"/>
        <v>41.206222735627101</v>
      </c>
      <c r="H248" s="360">
        <f t="shared" ca="1" si="99"/>
        <v>182.43167735274818</v>
      </c>
      <c r="I248" s="357">
        <f t="shared" ca="1" si="100"/>
        <v>187.02745705878408</v>
      </c>
      <c r="J248" s="359">
        <f t="shared" ca="1" si="101"/>
        <v>49.102233250869517</v>
      </c>
      <c r="K248" s="360">
        <f t="shared" ca="1" si="102"/>
        <v>231.00353584916806</v>
      </c>
      <c r="L248" s="357">
        <f t="shared" ca="1" si="87"/>
        <v>236.16448269170508</v>
      </c>
      <c r="M248" s="359">
        <f t="shared" ca="1" si="103"/>
        <v>1.3486519796963072</v>
      </c>
      <c r="N248" s="357">
        <f t="shared" ca="1" si="104"/>
        <v>77.27206646856159</v>
      </c>
      <c r="O248" s="343"/>
      <c r="P248" s="363">
        <f t="shared" ca="1" si="105"/>
        <v>9</v>
      </c>
      <c r="Q248" s="357">
        <f t="shared" ca="1" si="106"/>
        <v>844.47500000000173</v>
      </c>
      <c r="R248" s="359">
        <f t="shared" ca="1" si="107"/>
        <v>0.42302477100669422</v>
      </c>
      <c r="S248" s="360">
        <f t="shared" ca="1" si="108"/>
        <v>10.319158045398694</v>
      </c>
      <c r="T248" s="357">
        <f t="shared" ca="1" si="88"/>
        <v>101.2309404253612</v>
      </c>
      <c r="U248" s="364">
        <f t="shared" ca="1" si="89"/>
        <v>0</v>
      </c>
      <c r="V248" s="359">
        <f t="shared" ca="1" si="90"/>
        <v>1.1970251809640788</v>
      </c>
      <c r="W248" s="357">
        <f t="shared" ca="1" si="91"/>
        <v>94.774967077737472</v>
      </c>
      <c r="X248" s="343"/>
      <c r="Y248" s="367" t="str">
        <f t="shared" ca="1" si="109"/>
        <v/>
      </c>
      <c r="Z248" s="368" t="str">
        <f t="shared" ca="1" si="110"/>
        <v/>
      </c>
      <c r="AA248" s="369" t="str">
        <f t="shared" ca="1" si="111"/>
        <v/>
      </c>
      <c r="AB248" s="344"/>
      <c r="AC248" s="363" t="e">
        <f t="shared" ca="1" si="112"/>
        <v>#N/A</v>
      </c>
      <c r="AD248" s="376" t="e">
        <f t="shared" ca="1" si="113"/>
        <v>#N/A</v>
      </c>
      <c r="AE248" s="377">
        <f t="shared" ca="1" si="92"/>
        <v>231.00353584916806</v>
      </c>
      <c r="AF248" s="344"/>
      <c r="AG248" s="359">
        <f t="shared" ca="1" si="114"/>
        <v>63.142336728483777</v>
      </c>
      <c r="AH248" s="357">
        <f t="shared" ca="1" si="115"/>
        <v>72.711527593695934</v>
      </c>
    </row>
    <row r="249" spans="1:34" x14ac:dyDescent="0.25">
      <c r="A249" s="402">
        <f t="shared" ca="1" si="93"/>
        <v>0.01</v>
      </c>
      <c r="B249" s="357">
        <f t="shared" ca="1" si="94"/>
        <v>2.4499999999999917</v>
      </c>
      <c r="C249" s="342"/>
      <c r="D249" s="359">
        <f t="shared" ca="1" si="95"/>
        <v>15.969420945892752</v>
      </c>
      <c r="E249" s="360">
        <f t="shared" ca="1" si="96"/>
        <v>60.891172204081911</v>
      </c>
      <c r="F249" s="357">
        <f t="shared" ca="1" si="97"/>
        <v>62.950434928873015</v>
      </c>
      <c r="G249" s="359">
        <f t="shared" ca="1" si="98"/>
        <v>41.365916945086028</v>
      </c>
      <c r="H249" s="360">
        <f t="shared" ca="1" si="99"/>
        <v>183.04058907478901</v>
      </c>
      <c r="I249" s="357">
        <f t="shared" ca="1" si="100"/>
        <v>187.65659150041475</v>
      </c>
      <c r="J249" s="359">
        <f t="shared" ca="1" si="101"/>
        <v>49.51509394927308</v>
      </c>
      <c r="K249" s="360">
        <f t="shared" ca="1" si="102"/>
        <v>232.83089718130574</v>
      </c>
      <c r="L249" s="357">
        <f t="shared" ca="1" si="87"/>
        <v>238.0377516509873</v>
      </c>
      <c r="M249" s="359">
        <f t="shared" ca="1" si="103"/>
        <v>1.3485368035293059</v>
      </c>
      <c r="N249" s="357">
        <f t="shared" ca="1" si="104"/>
        <v>77.265467360291922</v>
      </c>
      <c r="O249" s="343"/>
      <c r="P249" s="363">
        <f t="shared" ca="1" si="105"/>
        <v>9</v>
      </c>
      <c r="Q249" s="357">
        <f t="shared" ca="1" si="106"/>
        <v>842.42500000000177</v>
      </c>
      <c r="R249" s="359">
        <f t="shared" ca="1" si="107"/>
        <v>0.42199785987189015</v>
      </c>
      <c r="S249" s="360">
        <f t="shared" ca="1" si="108"/>
        <v>10.314938066799975</v>
      </c>
      <c r="T249" s="357">
        <f t="shared" ca="1" si="88"/>
        <v>101.18954243530776</v>
      </c>
      <c r="U249" s="364">
        <f t="shared" ca="1" si="89"/>
        <v>0</v>
      </c>
      <c r="V249" s="359">
        <f t="shared" ca="1" si="90"/>
        <v>1.1968064317844092</v>
      </c>
      <c r="W249" s="357">
        <f t="shared" ca="1" si="91"/>
        <v>95.39622294029715</v>
      </c>
      <c r="X249" s="343"/>
      <c r="Y249" s="367" t="str">
        <f t="shared" ca="1" si="109"/>
        <v/>
      </c>
      <c r="Z249" s="368" t="str">
        <f t="shared" ca="1" si="110"/>
        <v/>
      </c>
      <c r="AA249" s="369" t="str">
        <f t="shared" ca="1" si="111"/>
        <v/>
      </c>
      <c r="AB249" s="344"/>
      <c r="AC249" s="363" t="e">
        <f t="shared" ca="1" si="112"/>
        <v>#N/A</v>
      </c>
      <c r="AD249" s="376" t="e">
        <f t="shared" ca="1" si="113"/>
        <v>#N/A</v>
      </c>
      <c r="AE249" s="377">
        <f t="shared" ca="1" si="92"/>
        <v>232.83089718130574</v>
      </c>
      <c r="AF249" s="344"/>
      <c r="AG249" s="359">
        <f t="shared" ca="1" si="114"/>
        <v>62.913319694673731</v>
      </c>
      <c r="AH249" s="357">
        <f t="shared" ca="1" si="115"/>
        <v>72.48226097727887</v>
      </c>
    </row>
    <row r="250" spans="1:34" x14ac:dyDescent="0.25">
      <c r="A250" s="402">
        <f t="shared" ca="1" si="93"/>
        <v>0.01</v>
      </c>
      <c r="B250" s="357">
        <f t="shared" ca="1" si="94"/>
        <v>2.4599999999999915</v>
      </c>
      <c r="C250" s="342"/>
      <c r="D250" s="359">
        <f t="shared" ca="1" si="95"/>
        <v>15.926978264842262</v>
      </c>
      <c r="E250" s="360">
        <f t="shared" ca="1" si="96"/>
        <v>60.665495264571987</v>
      </c>
      <c r="F250" s="357">
        <f t="shared" ca="1" si="97"/>
        <v>62.721375561642176</v>
      </c>
      <c r="G250" s="359">
        <f t="shared" ca="1" si="98"/>
        <v>41.52518672773445</v>
      </c>
      <c r="H250" s="360">
        <f t="shared" ca="1" si="99"/>
        <v>183.64724402743474</v>
      </c>
      <c r="I250" s="357">
        <f t="shared" ca="1" si="100"/>
        <v>188.28343360913456</v>
      </c>
      <c r="J250" s="359">
        <f t="shared" ca="1" si="101"/>
        <v>49.92954946763718</v>
      </c>
      <c r="K250" s="360">
        <f t="shared" ca="1" si="102"/>
        <v>234.66433634681687</v>
      </c>
      <c r="L250" s="357">
        <f t="shared" ca="1" si="87"/>
        <v>239.91729963288023</v>
      </c>
      <c r="M250" s="359">
        <f t="shared" ca="1" si="103"/>
        <v>1.3484219522781726</v>
      </c>
      <c r="N250" s="357">
        <f t="shared" ca="1" si="104"/>
        <v>77.258886868330194</v>
      </c>
      <c r="O250" s="343"/>
      <c r="P250" s="363">
        <f t="shared" ca="1" si="105"/>
        <v>9</v>
      </c>
      <c r="Q250" s="357">
        <f t="shared" ca="1" si="106"/>
        <v>840.37500000000182</v>
      </c>
      <c r="R250" s="359">
        <f t="shared" ca="1" si="107"/>
        <v>0.42097094873708601</v>
      </c>
      <c r="S250" s="360">
        <f t="shared" ca="1" si="108"/>
        <v>10.310728357312604</v>
      </c>
      <c r="T250" s="357">
        <f t="shared" ca="1" si="88"/>
        <v>101.14824518523665</v>
      </c>
      <c r="U250" s="364">
        <f t="shared" ca="1" si="89"/>
        <v>0</v>
      </c>
      <c r="V250" s="359">
        <f t="shared" ca="1" si="90"/>
        <v>1.1965869947485623</v>
      </c>
      <c r="W250" s="357">
        <f t="shared" ca="1" si="91"/>
        <v>96.016996242512477</v>
      </c>
      <c r="X250" s="343"/>
      <c r="Y250" s="367" t="str">
        <f t="shared" ca="1" si="109"/>
        <v/>
      </c>
      <c r="Z250" s="368" t="str">
        <f t="shared" ca="1" si="110"/>
        <v/>
      </c>
      <c r="AA250" s="369" t="str">
        <f t="shared" ca="1" si="111"/>
        <v/>
      </c>
      <c r="AB250" s="344"/>
      <c r="AC250" s="363" t="e">
        <f t="shared" ca="1" si="112"/>
        <v>#N/A</v>
      </c>
      <c r="AD250" s="376" t="e">
        <f t="shared" ca="1" si="113"/>
        <v>#N/A</v>
      </c>
      <c r="AE250" s="377">
        <f t="shared" ca="1" si="92"/>
        <v>234.66433634681687</v>
      </c>
      <c r="AF250" s="344"/>
      <c r="AG250" s="359">
        <f t="shared" ca="1" si="114"/>
        <v>62.684086691432526</v>
      </c>
      <c r="AH250" s="357">
        <f t="shared" ca="1" si="115"/>
        <v>72.252778973790811</v>
      </c>
    </row>
    <row r="251" spans="1:34" x14ac:dyDescent="0.25">
      <c r="A251" s="402">
        <f t="shared" ca="1" si="93"/>
        <v>0.01</v>
      </c>
      <c r="B251" s="357">
        <f t="shared" ca="1" si="94"/>
        <v>2.4699999999999913</v>
      </c>
      <c r="C251" s="342"/>
      <c r="D251" s="359">
        <f t="shared" ca="1" si="95"/>
        <v>15.884414140668023</v>
      </c>
      <c r="E251" s="360">
        <f t="shared" ca="1" si="96"/>
        <v>60.439627028787342</v>
      </c>
      <c r="F251" s="357">
        <f t="shared" ca="1" si="97"/>
        <v>62.492104525061208</v>
      </c>
      <c r="G251" s="359">
        <f t="shared" ca="1" si="98"/>
        <v>41.684030869141132</v>
      </c>
      <c r="H251" s="360">
        <f t="shared" ca="1" si="99"/>
        <v>184.25164029772262</v>
      </c>
      <c r="I251" s="357">
        <f t="shared" ca="1" si="100"/>
        <v>188.90798125516264</v>
      </c>
      <c r="J251" s="359">
        <f t="shared" ca="1" si="101"/>
        <v>50.345595555621557</v>
      </c>
      <c r="K251" s="360">
        <f t="shared" ca="1" si="102"/>
        <v>236.50383076844264</v>
      </c>
      <c r="L251" s="357">
        <f t="shared" ca="1" si="87"/>
        <v>241.80310370216171</v>
      </c>
      <c r="M251" s="359">
        <f t="shared" ca="1" si="103"/>
        <v>1.3483074225616734</v>
      </c>
      <c r="N251" s="357">
        <f t="shared" ca="1" si="104"/>
        <v>77.252324798945949</v>
      </c>
      <c r="O251" s="343"/>
      <c r="P251" s="363">
        <f t="shared" ca="1" si="105"/>
        <v>9</v>
      </c>
      <c r="Q251" s="357">
        <f t="shared" ca="1" si="106"/>
        <v>838.32500000000175</v>
      </c>
      <c r="R251" s="359">
        <f t="shared" ca="1" si="107"/>
        <v>0.41994403760228183</v>
      </c>
      <c r="S251" s="360">
        <f t="shared" ca="1" si="108"/>
        <v>10.30652891693658</v>
      </c>
      <c r="T251" s="357">
        <f t="shared" ca="1" si="88"/>
        <v>101.10704867514785</v>
      </c>
      <c r="U251" s="364">
        <f t="shared" ca="1" si="89"/>
        <v>0</v>
      </c>
      <c r="V251" s="359">
        <f t="shared" ca="1" si="90"/>
        <v>1.1963668729426626</v>
      </c>
      <c r="W251" s="357">
        <f t="shared" ca="1" si="91"/>
        <v>96.637260713632699</v>
      </c>
      <c r="X251" s="343"/>
      <c r="Y251" s="367" t="str">
        <f t="shared" ca="1" si="109"/>
        <v/>
      </c>
      <c r="Z251" s="368" t="str">
        <f t="shared" ca="1" si="110"/>
        <v/>
      </c>
      <c r="AA251" s="369" t="str">
        <f t="shared" ca="1" si="111"/>
        <v/>
      </c>
      <c r="AB251" s="344"/>
      <c r="AC251" s="363" t="e">
        <f t="shared" ca="1" si="112"/>
        <v>#N/A</v>
      </c>
      <c r="AD251" s="376" t="e">
        <f t="shared" ca="1" si="113"/>
        <v>#N/A</v>
      </c>
      <c r="AE251" s="377">
        <f t="shared" ca="1" si="92"/>
        <v>236.50383076844264</v>
      </c>
      <c r="AF251" s="344"/>
      <c r="AG251" s="359">
        <f t="shared" ca="1" si="114"/>
        <v>62.45464070697858</v>
      </c>
      <c r="AH251" s="357">
        <f t="shared" ca="1" si="115"/>
        <v>72.023084565130802</v>
      </c>
    </row>
    <row r="252" spans="1:34" x14ac:dyDescent="0.25">
      <c r="A252" s="402">
        <f t="shared" ca="1" si="93"/>
        <v>0.01</v>
      </c>
      <c r="B252" s="357">
        <f t="shared" ca="1" si="94"/>
        <v>2.4799999999999911</v>
      </c>
      <c r="C252" s="342"/>
      <c r="D252" s="359">
        <f t="shared" ca="1" si="95"/>
        <v>15.841729617734389</v>
      </c>
      <c r="E252" s="360">
        <f t="shared" ca="1" si="96"/>
        <v>60.213570330416957</v>
      </c>
      <c r="F252" s="357">
        <f t="shared" ca="1" si="97"/>
        <v>62.262624817923246</v>
      </c>
      <c r="G252" s="359">
        <f t="shared" ca="1" si="98"/>
        <v>41.842448165318473</v>
      </c>
      <c r="H252" s="360">
        <f t="shared" ca="1" si="99"/>
        <v>184.85377600102677</v>
      </c>
      <c r="I252" s="357">
        <f t="shared" ca="1" si="100"/>
        <v>189.53023233855106</v>
      </c>
      <c r="J252" s="359">
        <f t="shared" ca="1" si="101"/>
        <v>50.763227950793855</v>
      </c>
      <c r="K252" s="360">
        <f t="shared" ca="1" si="102"/>
        <v>238.34935784993638</v>
      </c>
      <c r="L252" s="357">
        <f t="shared" ca="1" si="87"/>
        <v>243.69514090244246</v>
      </c>
      <c r="M252" s="359">
        <f t="shared" ca="1" si="103"/>
        <v>1.3481932110406933</v>
      </c>
      <c r="N252" s="357">
        <f t="shared" ca="1" si="104"/>
        <v>77.245780960822032</v>
      </c>
      <c r="O252" s="343"/>
      <c r="P252" s="363">
        <f t="shared" ca="1" si="105"/>
        <v>9</v>
      </c>
      <c r="Q252" s="357">
        <f t="shared" ca="1" si="106"/>
        <v>836.2750000000018</v>
      </c>
      <c r="R252" s="359">
        <f t="shared" ca="1" si="107"/>
        <v>0.41891712646747775</v>
      </c>
      <c r="S252" s="360">
        <f t="shared" ca="1" si="108"/>
        <v>10.302339745671905</v>
      </c>
      <c r="T252" s="357">
        <f t="shared" ca="1" si="88"/>
        <v>101.06595290504139</v>
      </c>
      <c r="U252" s="364">
        <f t="shared" ca="1" si="89"/>
        <v>0</v>
      </c>
      <c r="V252" s="359">
        <f t="shared" ca="1" si="90"/>
        <v>1.1961460694542343</v>
      </c>
      <c r="W252" s="357">
        <f t="shared" ca="1" si="91"/>
        <v>97.256990196390475</v>
      </c>
      <c r="X252" s="343"/>
      <c r="Y252" s="367" t="str">
        <f t="shared" ca="1" si="109"/>
        <v/>
      </c>
      <c r="Z252" s="368" t="str">
        <f t="shared" ca="1" si="110"/>
        <v/>
      </c>
      <c r="AA252" s="369" t="str">
        <f t="shared" ca="1" si="111"/>
        <v/>
      </c>
      <c r="AB252" s="344"/>
      <c r="AC252" s="363" t="e">
        <f t="shared" ca="1" si="112"/>
        <v>#N/A</v>
      </c>
      <c r="AD252" s="376" t="e">
        <f t="shared" ca="1" si="113"/>
        <v>#N/A</v>
      </c>
      <c r="AE252" s="377">
        <f t="shared" ca="1" si="92"/>
        <v>238.34935784993638</v>
      </c>
      <c r="AF252" s="344"/>
      <c r="AG252" s="359">
        <f t="shared" ca="1" si="114"/>
        <v>62.224984724654618</v>
      </c>
      <c r="AH252" s="357">
        <f t="shared" ca="1" si="115"/>
        <v>71.793180728396848</v>
      </c>
    </row>
    <row r="253" spans="1:34" x14ac:dyDescent="0.25">
      <c r="A253" s="402">
        <f t="shared" ca="1" si="93"/>
        <v>0.01</v>
      </c>
      <c r="B253" s="357">
        <f t="shared" ca="1" si="94"/>
        <v>2.4899999999999909</v>
      </c>
      <c r="C253" s="342"/>
      <c r="D253" s="359">
        <f t="shared" ca="1" si="95"/>
        <v>15.798925735030023</v>
      </c>
      <c r="E253" s="360">
        <f t="shared" ca="1" si="96"/>
        <v>59.987327999100529</v>
      </c>
      <c r="F253" s="357">
        <f t="shared" ca="1" si="97"/>
        <v>62.032939434244646</v>
      </c>
      <c r="G253" s="359">
        <f t="shared" ca="1" si="98"/>
        <v>42.000437422668774</v>
      </c>
      <c r="H253" s="360">
        <f t="shared" ca="1" si="99"/>
        <v>185.45364928101779</v>
      </c>
      <c r="I253" s="357">
        <f t="shared" ca="1" si="100"/>
        <v>190.15018478913521</v>
      </c>
      <c r="J253" s="359">
        <f t="shared" ca="1" si="101"/>
        <v>51.182442378733789</v>
      </c>
      <c r="K253" s="360">
        <f t="shared" ca="1" si="102"/>
        <v>240.2008949763466</v>
      </c>
      <c r="L253" s="357">
        <f t="shared" ca="1" si="87"/>
        <v>245.59338825646407</v>
      </c>
      <c r="M253" s="359">
        <f t="shared" ca="1" si="103"/>
        <v>1.3480793144174963</v>
      </c>
      <c r="N253" s="357">
        <f t="shared" ca="1" si="104"/>
        <v>77.239255165012054</v>
      </c>
      <c r="O253" s="343"/>
      <c r="P253" s="363">
        <f t="shared" ca="1" si="105"/>
        <v>9</v>
      </c>
      <c r="Q253" s="357">
        <f t="shared" ca="1" si="106"/>
        <v>834.22500000000184</v>
      </c>
      <c r="R253" s="359">
        <f t="shared" ca="1" si="107"/>
        <v>0.41789021533267362</v>
      </c>
      <c r="S253" s="360">
        <f t="shared" ca="1" si="108"/>
        <v>10.298160843518577</v>
      </c>
      <c r="T253" s="357">
        <f t="shared" ca="1" si="88"/>
        <v>101.02495787491725</v>
      </c>
      <c r="U253" s="364">
        <f t="shared" ca="1" si="89"/>
        <v>0</v>
      </c>
      <c r="V253" s="359">
        <f t="shared" ca="1" si="90"/>
        <v>1.1959245873721482</v>
      </c>
      <c r="W253" s="357">
        <f t="shared" ca="1" si="91"/>
        <v>97.876158647774503</v>
      </c>
      <c r="X253" s="343"/>
      <c r="Y253" s="367" t="str">
        <f t="shared" ca="1" si="109"/>
        <v/>
      </c>
      <c r="Z253" s="368" t="str">
        <f t="shared" ca="1" si="110"/>
        <v/>
      </c>
      <c r="AA253" s="369" t="str">
        <f t="shared" ca="1" si="111"/>
        <v/>
      </c>
      <c r="AB253" s="344"/>
      <c r="AC253" s="363" t="e">
        <f t="shared" ca="1" si="112"/>
        <v>#N/A</v>
      </c>
      <c r="AD253" s="376" t="e">
        <f t="shared" ca="1" si="113"/>
        <v>#N/A</v>
      </c>
      <c r="AE253" s="377">
        <f t="shared" ca="1" si="92"/>
        <v>240.2008949763466</v>
      </c>
      <c r="AF253" s="344"/>
      <c r="AG253" s="359">
        <f t="shared" ca="1" si="114"/>
        <v>61.995121722813316</v>
      </c>
      <c r="AH253" s="357">
        <f t="shared" ca="1" si="115"/>
        <v>71.563070435770271</v>
      </c>
    </row>
    <row r="254" spans="1:34" x14ac:dyDescent="0.25">
      <c r="A254" s="402">
        <f t="shared" ca="1" si="93"/>
        <v>0.01</v>
      </c>
      <c r="B254" s="357">
        <f t="shared" ca="1" si="94"/>
        <v>2.4999999999999907</v>
      </c>
      <c r="C254" s="342"/>
      <c r="D254" s="359">
        <f t="shared" ca="1" si="95"/>
        <v>15.756003526223322</v>
      </c>
      <c r="E254" s="360">
        <f t="shared" ca="1" si="96"/>
        <v>59.760902860302437</v>
      </c>
      <c r="F254" s="357">
        <f t="shared" ca="1" si="97"/>
        <v>61.803051363155731</v>
      </c>
      <c r="G254" s="359">
        <f t="shared" ca="1" si="98"/>
        <v>42.15799745793101</v>
      </c>
      <c r="H254" s="360">
        <f t="shared" ca="1" si="99"/>
        <v>186.05125830962081</v>
      </c>
      <c r="I254" s="357">
        <f t="shared" ca="1" si="100"/>
        <v>190.76783656648249</v>
      </c>
      <c r="J254" s="359">
        <f t="shared" ca="1" si="101"/>
        <v>51.603234553136787</v>
      </c>
      <c r="K254" s="360">
        <f t="shared" ca="1" si="102"/>
        <v>242.0584195142998</v>
      </c>
      <c r="L254" s="357">
        <f t="shared" ca="1" si="87"/>
        <v>247.49782276639687</v>
      </c>
      <c r="M254" s="359">
        <f t="shared" ca="1" si="103"/>
        <v>1.3479657294349983</v>
      </c>
      <c r="N254" s="357">
        <f t="shared" ca="1" si="104"/>
        <v>77.232747224898844</v>
      </c>
      <c r="O254" s="343"/>
      <c r="P254" s="363">
        <f t="shared" ca="1" si="105"/>
        <v>9</v>
      </c>
      <c r="Q254" s="357">
        <f t="shared" ca="1" si="106"/>
        <v>832.17500000000189</v>
      </c>
      <c r="R254" s="359">
        <f t="shared" ca="1" si="107"/>
        <v>0.41686330419786954</v>
      </c>
      <c r="S254" s="360">
        <f t="shared" ca="1" si="108"/>
        <v>10.293992210476599</v>
      </c>
      <c r="T254" s="357">
        <f t="shared" ca="1" si="88"/>
        <v>100.98406358477544</v>
      </c>
      <c r="U254" s="364">
        <f t="shared" ca="1" si="89"/>
        <v>0</v>
      </c>
      <c r="V254" s="359">
        <f t="shared" ca="1" si="90"/>
        <v>1.1957024297865722</v>
      </c>
      <c r="W254" s="357">
        <f t="shared" ca="1" si="91"/>
        <v>98.494740139791347</v>
      </c>
      <c r="X254" s="343"/>
      <c r="Y254" s="367" t="str">
        <f t="shared" ca="1" si="109"/>
        <v/>
      </c>
      <c r="Z254" s="368" t="str">
        <f t="shared" ca="1" si="110"/>
        <v/>
      </c>
      <c r="AA254" s="369" t="str">
        <f t="shared" ca="1" si="111"/>
        <v/>
      </c>
      <c r="AB254" s="344"/>
      <c r="AC254" s="363" t="e">
        <f t="shared" ca="1" si="112"/>
        <v>#N/A</v>
      </c>
      <c r="AD254" s="376" t="e">
        <f t="shared" ca="1" si="113"/>
        <v>#N/A</v>
      </c>
      <c r="AE254" s="377">
        <f t="shared" ca="1" si="92"/>
        <v>242.0584195142998</v>
      </c>
      <c r="AF254" s="344"/>
      <c r="AG254" s="359">
        <f t="shared" ca="1" si="114"/>
        <v>61.765054674703933</v>
      </c>
      <c r="AH254" s="357">
        <f t="shared" ca="1" si="115"/>
        <v>71.332756654401066</v>
      </c>
    </row>
    <row r="255" spans="1:34" x14ac:dyDescent="0.25">
      <c r="A255" s="402">
        <f t="shared" ca="1" si="93"/>
        <v>0.01</v>
      </c>
      <c r="B255" s="357">
        <f t="shared" ca="1" si="94"/>
        <v>2.5099999999999905</v>
      </c>
      <c r="C255" s="342"/>
      <c r="D255" s="359">
        <f t="shared" ca="1" si="95"/>
        <v>15.712964019716303</v>
      </c>
      <c r="E255" s="360">
        <f t="shared" ca="1" si="96"/>
        <v>59.534297735186783</v>
      </c>
      <c r="F255" s="357">
        <f t="shared" ca="1" si="97"/>
        <v>61.57296358879249</v>
      </c>
      <c r="G255" s="359">
        <f t="shared" ca="1" si="98"/>
        <v>42.315127098128173</v>
      </c>
      <c r="H255" s="360">
        <f t="shared" ca="1" si="99"/>
        <v>186.64660128697267</v>
      </c>
      <c r="I255" s="357">
        <f t="shared" ca="1" si="100"/>
        <v>191.38318565984025</v>
      </c>
      <c r="J255" s="359">
        <f t="shared" ca="1" si="101"/>
        <v>52.025600175917084</v>
      </c>
      <c r="K255" s="360">
        <f t="shared" ca="1" si="102"/>
        <v>243.92190881228277</v>
      </c>
      <c r="L255" s="357">
        <f t="shared" ca="1" si="87"/>
        <v>249.40842141413745</v>
      </c>
      <c r="M255" s="359">
        <f t="shared" ca="1" si="103"/>
        <v>1.34785245287606</v>
      </c>
      <c r="N255" s="357">
        <f t="shared" ca="1" si="104"/>
        <v>77.226256956153918</v>
      </c>
      <c r="O255" s="343"/>
      <c r="P255" s="363">
        <f t="shared" ca="1" si="105"/>
        <v>9</v>
      </c>
      <c r="Q255" s="357">
        <f t="shared" ca="1" si="106"/>
        <v>830.12500000000193</v>
      </c>
      <c r="R255" s="359">
        <f t="shared" ca="1" si="107"/>
        <v>0.41583639306306541</v>
      </c>
      <c r="S255" s="360">
        <f t="shared" ca="1" si="108"/>
        <v>10.289833846545969</v>
      </c>
      <c r="T255" s="357">
        <f t="shared" ca="1" si="88"/>
        <v>100.94327003461596</v>
      </c>
      <c r="U255" s="364">
        <f t="shared" ca="1" si="89"/>
        <v>0</v>
      </c>
      <c r="V255" s="359">
        <f t="shared" ca="1" si="90"/>
        <v>1.1954795997889147</v>
      </c>
      <c r="W255" s="357">
        <f t="shared" ca="1" si="91"/>
        <v>99.112708860216529</v>
      </c>
      <c r="X255" s="343"/>
      <c r="Y255" s="367" t="str">
        <f t="shared" ca="1" si="109"/>
        <v/>
      </c>
      <c r="Z255" s="368" t="str">
        <f t="shared" ca="1" si="110"/>
        <v/>
      </c>
      <c r="AA255" s="369" t="str">
        <f t="shared" ca="1" si="111"/>
        <v/>
      </c>
      <c r="AB255" s="344"/>
      <c r="AC255" s="363" t="e">
        <f t="shared" ca="1" si="112"/>
        <v>#N/A</v>
      </c>
      <c r="AD255" s="376" t="e">
        <f t="shared" ca="1" si="113"/>
        <v>#N/A</v>
      </c>
      <c r="AE255" s="377">
        <f t="shared" ca="1" si="92"/>
        <v>243.92190881228277</v>
      </c>
      <c r="AF255" s="344"/>
      <c r="AG255" s="359">
        <f t="shared" ca="1" si="114"/>
        <v>61.534786548359726</v>
      </c>
      <c r="AH255" s="357">
        <f t="shared" ca="1" si="115"/>
        <v>71.102242346294048</v>
      </c>
    </row>
    <row r="256" spans="1:34" x14ac:dyDescent="0.25">
      <c r="A256" s="402">
        <f t="shared" ca="1" si="93"/>
        <v>0.01</v>
      </c>
      <c r="B256" s="357">
        <f t="shared" ca="1" si="94"/>
        <v>2.5199999999999902</v>
      </c>
      <c r="C256" s="342"/>
      <c r="D256" s="359">
        <f t="shared" ca="1" si="95"/>
        <v>15.669808238696623</v>
      </c>
      <c r="E256" s="360">
        <f t="shared" ca="1" si="96"/>
        <v>59.307515440493688</v>
      </c>
      <c r="F256" s="357">
        <f t="shared" ca="1" si="97"/>
        <v>61.342679090189094</v>
      </c>
      <c r="G256" s="359">
        <f t="shared" ca="1" si="98"/>
        <v>42.47182518051514</v>
      </c>
      <c r="H256" s="360">
        <f t="shared" ca="1" si="99"/>
        <v>187.23967644137761</v>
      </c>
      <c r="I256" s="357">
        <f t="shared" ca="1" si="100"/>
        <v>191.99623008808277</v>
      </c>
      <c r="J256" s="359">
        <f t="shared" ca="1" si="101"/>
        <v>52.449534937310304</v>
      </c>
      <c r="K256" s="360">
        <f t="shared" ca="1" si="102"/>
        <v>245.79134020092451</v>
      </c>
      <c r="L256" s="357">
        <f t="shared" ca="1" si="87"/>
        <v>251.32516116160502</v>
      </c>
      <c r="M256" s="359">
        <f t="shared" ca="1" si="103"/>
        <v>1.3477394815627923</v>
      </c>
      <c r="N256" s="357">
        <f t="shared" ca="1" si="104"/>
        <v>77.21978417669763</v>
      </c>
      <c r="O256" s="343"/>
      <c r="P256" s="363">
        <f t="shared" ca="1" si="105"/>
        <v>9</v>
      </c>
      <c r="Q256" s="357">
        <f t="shared" ca="1" si="106"/>
        <v>828.07500000000198</v>
      </c>
      <c r="R256" s="359">
        <f t="shared" ca="1" si="107"/>
        <v>0.41480948192826128</v>
      </c>
      <c r="S256" s="360">
        <f t="shared" ca="1" si="108"/>
        <v>10.285685751726687</v>
      </c>
      <c r="T256" s="357">
        <f t="shared" ca="1" si="88"/>
        <v>100.9025772244388</v>
      </c>
      <c r="U256" s="364">
        <f t="shared" ca="1" si="89"/>
        <v>0</v>
      </c>
      <c r="V256" s="359">
        <f t="shared" ca="1" si="90"/>
        <v>1.195256100471779</v>
      </c>
      <c r="W256" s="357">
        <f t="shared" ca="1" si="91"/>
        <v>99.730039113336161</v>
      </c>
      <c r="X256" s="343"/>
      <c r="Y256" s="367" t="str">
        <f t="shared" ca="1" si="109"/>
        <v/>
      </c>
      <c r="Z256" s="368" t="str">
        <f t="shared" ca="1" si="110"/>
        <v/>
      </c>
      <c r="AA256" s="369" t="str">
        <f t="shared" ca="1" si="111"/>
        <v/>
      </c>
      <c r="AB256" s="344"/>
      <c r="AC256" s="363" t="e">
        <f t="shared" ca="1" si="112"/>
        <v>#N/A</v>
      </c>
      <c r="AD256" s="376" t="e">
        <f t="shared" ca="1" si="113"/>
        <v>#N/A</v>
      </c>
      <c r="AE256" s="377">
        <f t="shared" ca="1" si="92"/>
        <v>245.79134020092451</v>
      </c>
      <c r="AF256" s="344"/>
      <c r="AG256" s="359">
        <f t="shared" ca="1" si="114"/>
        <v>61.30432030648609</v>
      </c>
      <c r="AH256" s="357">
        <f t="shared" ca="1" si="115"/>
        <v>70.871530468195814</v>
      </c>
    </row>
    <row r="257" spans="1:34" x14ac:dyDescent="0.25">
      <c r="A257" s="402">
        <f t="shared" ca="1" si="93"/>
        <v>0.01</v>
      </c>
      <c r="B257" s="357">
        <f t="shared" ca="1" si="94"/>
        <v>2.52999999999999</v>
      </c>
      <c r="C257" s="342"/>
      <c r="D257" s="359">
        <f t="shared" ca="1" si="95"/>
        <v>15.626537201188167</v>
      </c>
      <c r="E257" s="360">
        <f t="shared" ca="1" si="96"/>
        <v>59.08055878841644</v>
      </c>
      <c r="F257" s="357">
        <f t="shared" ca="1" si="97"/>
        <v>61.112200841171223</v>
      </c>
      <c r="G257" s="359">
        <f t="shared" ca="1" si="98"/>
        <v>42.62809055252702</v>
      </c>
      <c r="H257" s="360">
        <f t="shared" ca="1" si="99"/>
        <v>187.83048202926179</v>
      </c>
      <c r="I257" s="357">
        <f t="shared" ca="1" si="100"/>
        <v>192.60696789965641</v>
      </c>
      <c r="J257" s="359">
        <f t="shared" ca="1" si="101"/>
        <v>52.875034515975514</v>
      </c>
      <c r="K257" s="360">
        <f t="shared" ca="1" si="102"/>
        <v>247.66669099327771</v>
      </c>
      <c r="L257" s="357">
        <f t="shared" ca="1" si="87"/>
        <v>253.24801895103801</v>
      </c>
      <c r="M257" s="359">
        <f t="shared" ca="1" si="103"/>
        <v>1.3476268123558759</v>
      </c>
      <c r="N257" s="357">
        <f t="shared" ca="1" si="104"/>
        <v>77.213328706660235</v>
      </c>
      <c r="O257" s="343"/>
      <c r="P257" s="363">
        <f t="shared" ca="1" si="105"/>
        <v>9</v>
      </c>
      <c r="Q257" s="357">
        <f t="shared" ca="1" si="106"/>
        <v>826.02500000000202</v>
      </c>
      <c r="R257" s="359">
        <f t="shared" ca="1" si="107"/>
        <v>0.41378257079345721</v>
      </c>
      <c r="S257" s="360">
        <f t="shared" ca="1" si="108"/>
        <v>10.281547926018753</v>
      </c>
      <c r="T257" s="357">
        <f t="shared" ca="1" si="88"/>
        <v>100.86198515424397</v>
      </c>
      <c r="U257" s="364">
        <f t="shared" ca="1" si="89"/>
        <v>0</v>
      </c>
      <c r="V257" s="359">
        <f t="shared" ca="1" si="90"/>
        <v>1.1950319349289049</v>
      </c>
      <c r="W257" s="357">
        <f t="shared" ca="1" si="91"/>
        <v>100.34670532067631</v>
      </c>
      <c r="X257" s="343"/>
      <c r="Y257" s="367" t="str">
        <f t="shared" ca="1" si="109"/>
        <v/>
      </c>
      <c r="Z257" s="368" t="str">
        <f t="shared" ca="1" si="110"/>
        <v/>
      </c>
      <c r="AA257" s="369" t="str">
        <f t="shared" ca="1" si="111"/>
        <v/>
      </c>
      <c r="AB257" s="344"/>
      <c r="AC257" s="363" t="e">
        <f t="shared" ca="1" si="112"/>
        <v>#N/A</v>
      </c>
      <c r="AD257" s="376" t="e">
        <f t="shared" ca="1" si="113"/>
        <v>#N/A</v>
      </c>
      <c r="AE257" s="377">
        <f t="shared" ca="1" si="92"/>
        <v>247.66669099327771</v>
      </c>
      <c r="AF257" s="344"/>
      <c r="AG257" s="359">
        <f t="shared" ca="1" si="114"/>
        <v>61.073658906349493</v>
      </c>
      <c r="AH257" s="357">
        <f t="shared" ca="1" si="115"/>
        <v>70.640623971482441</v>
      </c>
    </row>
    <row r="258" spans="1:34" x14ac:dyDescent="0.25">
      <c r="A258" s="402">
        <f t="shared" ca="1" si="93"/>
        <v>0.01</v>
      </c>
      <c r="B258" s="357">
        <f t="shared" ca="1" si="94"/>
        <v>2.5399999999999898</v>
      </c>
      <c r="C258" s="342"/>
      <c r="D258" s="359">
        <f t="shared" ca="1" si="95"/>
        <v>15.583151920100143</v>
      </c>
      <c r="E258" s="360">
        <f t="shared" ca="1" si="96"/>
        <v>58.853430586480087</v>
      </c>
      <c r="F258" s="357">
        <f t="shared" ca="1" si="97"/>
        <v>60.881531810250557</v>
      </c>
      <c r="G258" s="359">
        <f t="shared" ca="1" si="98"/>
        <v>42.783922071728021</v>
      </c>
      <c r="H258" s="360">
        <f t="shared" ca="1" si="99"/>
        <v>188.4190163351266</v>
      </c>
      <c r="I258" s="357">
        <f t="shared" ca="1" si="100"/>
        <v>193.21539717252455</v>
      </c>
      <c r="J258" s="359">
        <f t="shared" ca="1" si="101"/>
        <v>53.302094579096789</v>
      </c>
      <c r="K258" s="360">
        <f t="shared" ca="1" si="102"/>
        <v>249.54793848509965</v>
      </c>
      <c r="L258" s="357">
        <f t="shared" ca="1" si="87"/>
        <v>255.17697170528939</v>
      </c>
      <c r="M258" s="359">
        <f t="shared" ca="1" si="103"/>
        <v>1.347514442153898</v>
      </c>
      <c r="N258" s="357">
        <f t="shared" ca="1" si="104"/>
        <v>77.206890368343863</v>
      </c>
      <c r="O258" s="343"/>
      <c r="P258" s="363">
        <f t="shared" ca="1" si="105"/>
        <v>9</v>
      </c>
      <c r="Q258" s="357">
        <f t="shared" ca="1" si="106"/>
        <v>823.97500000000207</v>
      </c>
      <c r="R258" s="359">
        <f t="shared" ca="1" si="107"/>
        <v>0.41275565965865307</v>
      </c>
      <c r="S258" s="360">
        <f t="shared" ca="1" si="108"/>
        <v>10.277420369422167</v>
      </c>
      <c r="T258" s="357">
        <f t="shared" ca="1" si="88"/>
        <v>100.82149382403146</v>
      </c>
      <c r="U258" s="364">
        <f t="shared" ca="1" si="89"/>
        <v>0</v>
      </c>
      <c r="V258" s="359">
        <f t="shared" ca="1" si="90"/>
        <v>1.1948071062551222</v>
      </c>
      <c r="W258" s="357">
        <f t="shared" ca="1" si="91"/>
        <v>100.96268202172347</v>
      </c>
      <c r="X258" s="343"/>
      <c r="Y258" s="367" t="str">
        <f t="shared" ca="1" si="109"/>
        <v/>
      </c>
      <c r="Z258" s="368" t="str">
        <f t="shared" ca="1" si="110"/>
        <v/>
      </c>
      <c r="AA258" s="369" t="str">
        <f t="shared" ca="1" si="111"/>
        <v/>
      </c>
      <c r="AB258" s="344"/>
      <c r="AC258" s="363" t="e">
        <f t="shared" ca="1" si="112"/>
        <v>#N/A</v>
      </c>
      <c r="AD258" s="376" t="e">
        <f t="shared" ca="1" si="113"/>
        <v>#N/A</v>
      </c>
      <c r="AE258" s="377">
        <f t="shared" ca="1" si="92"/>
        <v>249.54793848509965</v>
      </c>
      <c r="AF258" s="344"/>
      <c r="AG258" s="359">
        <f t="shared" ca="1" si="114"/>
        <v>60.842805299667319</v>
      </c>
      <c r="AH258" s="357">
        <f t="shared" ca="1" si="115"/>
        <v>70.409525802048194</v>
      </c>
    </row>
    <row r="259" spans="1:34" x14ac:dyDescent="0.25">
      <c r="A259" s="402">
        <f t="shared" ca="1" si="93"/>
        <v>0.01</v>
      </c>
      <c r="B259" s="357">
        <f t="shared" ca="1" si="94"/>
        <v>2.5499999999999896</v>
      </c>
      <c r="C259" s="342"/>
      <c r="D259" s="359">
        <f t="shared" ca="1" si="95"/>
        <v>15.539653403274478</v>
      </c>
      <c r="E259" s="360">
        <f t="shared" ca="1" si="96"/>
        <v>58.626133637420892</v>
      </c>
      <c r="F259" s="357">
        <f t="shared" ca="1" si="97"/>
        <v>60.650674960519879</v>
      </c>
      <c r="G259" s="359">
        <f t="shared" ca="1" si="98"/>
        <v>42.939318605760768</v>
      </c>
      <c r="H259" s="360">
        <f t="shared" ca="1" si="99"/>
        <v>189.00527767150081</v>
      </c>
      <c r="I259" s="357">
        <f t="shared" ca="1" si="100"/>
        <v>193.82151601411067</v>
      </c>
      <c r="J259" s="359">
        <f t="shared" ca="1" si="101"/>
        <v>53.73071078248423</v>
      </c>
      <c r="K259" s="360">
        <f t="shared" ca="1" si="102"/>
        <v>251.4350599551328</v>
      </c>
      <c r="L259" s="357">
        <f t="shared" ca="1" si="87"/>
        <v>257.11199632812196</v>
      </c>
      <c r="M259" s="359">
        <f t="shared" ca="1" si="103"/>
        <v>1.347402367892701</v>
      </c>
      <c r="N259" s="357">
        <f t="shared" ca="1" si="104"/>
        <v>77.200468986185228</v>
      </c>
      <c r="O259" s="343"/>
      <c r="P259" s="363">
        <f t="shared" ca="1" si="105"/>
        <v>9</v>
      </c>
      <c r="Q259" s="357">
        <f t="shared" ca="1" si="106"/>
        <v>821.92500000000211</v>
      </c>
      <c r="R259" s="359">
        <f t="shared" ca="1" si="107"/>
        <v>0.41172874852384894</v>
      </c>
      <c r="S259" s="360">
        <f t="shared" ca="1" si="108"/>
        <v>10.273303081936929</v>
      </c>
      <c r="T259" s="357">
        <f t="shared" ca="1" si="88"/>
        <v>100.78110323380128</v>
      </c>
      <c r="U259" s="364">
        <f t="shared" ca="1" si="89"/>
        <v>0</v>
      </c>
      <c r="V259" s="359">
        <f t="shared" ca="1" si="90"/>
        <v>1.1945816175462955</v>
      </c>
      <c r="W259" s="357">
        <f t="shared" ca="1" si="91"/>
        <v>101.57794387463326</v>
      </c>
      <c r="X259" s="343"/>
      <c r="Y259" s="367" t="str">
        <f t="shared" ca="1" si="109"/>
        <v/>
      </c>
      <c r="Z259" s="368" t="str">
        <f t="shared" ca="1" si="110"/>
        <v/>
      </c>
      <c r="AA259" s="369" t="str">
        <f t="shared" ca="1" si="111"/>
        <v/>
      </c>
      <c r="AB259" s="344"/>
      <c r="AC259" s="363" t="e">
        <f t="shared" ca="1" si="112"/>
        <v>#N/A</v>
      </c>
      <c r="AD259" s="376" t="e">
        <f t="shared" ca="1" si="113"/>
        <v>#N/A</v>
      </c>
      <c r="AE259" s="377">
        <f t="shared" ca="1" si="92"/>
        <v>251.4350599551328</v>
      </c>
      <c r="AF259" s="344"/>
      <c r="AG259" s="359">
        <f t="shared" ca="1" si="114"/>
        <v>60.611762432498409</v>
      </c>
      <c r="AH259" s="357">
        <f t="shared" ca="1" si="115"/>
        <v>70.178238900194927</v>
      </c>
    </row>
    <row r="260" spans="1:34" x14ac:dyDescent="0.25">
      <c r="A260" s="402">
        <f t="shared" ca="1" si="93"/>
        <v>0.01</v>
      </c>
      <c r="B260" s="357">
        <f t="shared" ca="1" si="94"/>
        <v>2.5599999999999894</v>
      </c>
      <c r="C260" s="342"/>
      <c r="D260" s="359">
        <f t="shared" ca="1" si="95"/>
        <v>15.496042653531983</v>
      </c>
      <c r="E260" s="360">
        <f t="shared" ca="1" si="96"/>
        <v>58.398670739067057</v>
      </c>
      <c r="F260" s="357">
        <f t="shared" ca="1" si="97"/>
        <v>60.419633249549349</v>
      </c>
      <c r="G260" s="359">
        <f t="shared" ca="1" si="98"/>
        <v>43.094279032296086</v>
      </c>
      <c r="H260" s="360">
        <f t="shared" ca="1" si="99"/>
        <v>189.58926437889147</v>
      </c>
      <c r="I260" s="357">
        <f t="shared" ca="1" si="100"/>
        <v>194.42532256124099</v>
      </c>
      <c r="J260" s="359">
        <f t="shared" ca="1" si="101"/>
        <v>54.160878770674515</v>
      </c>
      <c r="K260" s="360">
        <f t="shared" ca="1" si="102"/>
        <v>253.32803266538477</v>
      </c>
      <c r="L260" s="357">
        <f t="shared" ref="L260:L323" ca="1" si="116">SQRT(pos_x^2+pos_z^2)</f>
        <v>259.05306970450278</v>
      </c>
      <c r="M260" s="359">
        <f t="shared" ca="1" si="103"/>
        <v>1.3472905865447458</v>
      </c>
      <c r="N260" s="357">
        <f t="shared" ca="1" si="104"/>
        <v>77.194064386719106</v>
      </c>
      <c r="O260" s="343"/>
      <c r="P260" s="363">
        <f t="shared" ca="1" si="105"/>
        <v>9</v>
      </c>
      <c r="Q260" s="357">
        <f t="shared" ca="1" si="106"/>
        <v>819.87500000000216</v>
      </c>
      <c r="R260" s="359">
        <f t="shared" ca="1" si="107"/>
        <v>0.41070183738904487</v>
      </c>
      <c r="S260" s="360">
        <f t="shared" ca="1" si="108"/>
        <v>10.269196063563038</v>
      </c>
      <c r="T260" s="357">
        <f t="shared" ref="T260:T323" ca="1" si="117">m*g</f>
        <v>100.74081338355342</v>
      </c>
      <c r="U260" s="364">
        <f t="shared" ref="U260:U323" ca="1" si="118">IF(pos_xz&lt;L_rampe,Poids*COS(Beta),0)</f>
        <v>0</v>
      </c>
      <c r="V260" s="359">
        <f t="shared" ref="V260:V323" ca="1" si="119">Rho_moyen*(20000-Alt_rampe-pos_z)/(20000+Alt_rampe+pos_z)</f>
        <v>1.1943554718992764</v>
      </c>
      <c r="W260" s="357">
        <f t="shared" ref="W260:W323" ca="1" si="120">1/2*Rho*Sref*Cx*vit_xz^2</f>
        <v>102.19246565692981</v>
      </c>
      <c r="X260" s="343"/>
      <c r="Y260" s="367" t="str">
        <f t="shared" ca="1" si="109"/>
        <v/>
      </c>
      <c r="Z260" s="368" t="str">
        <f t="shared" ca="1" si="110"/>
        <v/>
      </c>
      <c r="AA260" s="369" t="str">
        <f t="shared" ca="1" si="111"/>
        <v/>
      </c>
      <c r="AB260" s="344"/>
      <c r="AC260" s="363" t="e">
        <f t="shared" ca="1" si="112"/>
        <v>#N/A</v>
      </c>
      <c r="AD260" s="376" t="e">
        <f t="shared" ca="1" si="113"/>
        <v>#N/A</v>
      </c>
      <c r="AE260" s="377">
        <f t="shared" ref="AE260:AE323" ca="1" si="121">IF(t&lt;T_para, pos_z, NA())</f>
        <v>253.32803266538477</v>
      </c>
      <c r="AF260" s="344"/>
      <c r="AG260" s="359">
        <f t="shared" ca="1" si="114"/>
        <v>60.380533245134551</v>
      </c>
      <c r="AH260" s="357">
        <f t="shared" ca="1" si="115"/>
        <v>69.946766200522418</v>
      </c>
    </row>
    <row r="261" spans="1:34" x14ac:dyDescent="0.25">
      <c r="A261" s="402">
        <f t="shared" ref="A261:A324" ca="1" si="122">IF(B260+0.01&lt;=T_ini+ROUNDUP(Temps_fin_propu,0), 0.01, IF(K260&gt;0, 0.1, 0.0001))</f>
        <v>0.01</v>
      </c>
      <c r="B261" s="357">
        <f t="shared" ref="B261:B324" ca="1" si="123">B260+pas</f>
        <v>2.5699999999999892</v>
      </c>
      <c r="C261" s="342"/>
      <c r="D261" s="359">
        <f t="shared" ref="D261:D324" ca="1" si="124">IF(AND(L260&lt;L_rampe,Poussee&lt;Poids*SIN(M260)),0,(-W260+Poussee)/m*COS(M260)-U260/m*SIN(M260))</f>
        <v>15.452320668716915</v>
      </c>
      <c r="E261" s="360">
        <f t="shared" ref="E261:E324" ca="1" si="125">IF(AND(L260&lt;L_rampe,Poussee&lt;Poids*SIN(M260)),0,(-W260+Poussee)/m*SIN(M260)+U260/m*COS(M260)-Poids/m)</f>
        <v>58.17104468422032</v>
      </c>
      <c r="F261" s="357">
        <f t="shared" ref="F261:F324" ca="1" si="126">SQRT(acc_x^2+acc_z^2)</f>
        <v>60.188409629283385</v>
      </c>
      <c r="G261" s="359">
        <f t="shared" ref="G261:G324" ca="1" si="127">G260+acc_x*pas</f>
        <v>43.248802238983252</v>
      </c>
      <c r="H261" s="360">
        <f t="shared" ref="H261:H324" ca="1" si="128">H260+acc_z*pas</f>
        <v>190.17097482573368</v>
      </c>
      <c r="I261" s="357">
        <f t="shared" ref="I261:I324" ca="1" si="129">SQRT(vit_x^2+vit_z^2)</f>
        <v>195.02681498008553</v>
      </c>
      <c r="J261" s="359">
        <f t="shared" ref="J261:J324" ca="1" si="130">J260+0.5*(vit_x+G260)*pas*(K260&gt;=0)</f>
        <v>54.592594177030911</v>
      </c>
      <c r="K261" s="360">
        <f t="shared" ref="K261:K324" ca="1" si="131">K260+0.5*(vit_z+H260)*pas</f>
        <v>255.2268338614079</v>
      </c>
      <c r="L261" s="357">
        <f t="shared" ca="1" si="116"/>
        <v>261.00016870089701</v>
      </c>
      <c r="M261" s="359">
        <f t="shared" ref="M261:M324" ca="1" si="132">IF(AND(L260&gt;L_rampe,G261&gt;0),ATAN2(G261,H261),$M$4)</f>
        <v>1.3471790951184881</v>
      </c>
      <c r="N261" s="357">
        <f t="shared" ref="N261:N324" ca="1" si="133">DEGREES(Beta)</f>
        <v>77.187676398542649</v>
      </c>
      <c r="O261" s="343"/>
      <c r="P261" s="363">
        <f t="shared" ref="P261:P324" ca="1" si="134">MATCH(t-pas/2-T_ini,CdP_t)</f>
        <v>9</v>
      </c>
      <c r="Q261" s="357">
        <f t="shared" ref="Q261:Q324" ca="1" si="135">(INDEX(CdP,2,i_P+1)-INDEX(CdP,2,i_P+0))/(INDEX(CdP,1,i_P+1)-INDEX(CdP,1,i_P+0))*(t-pas/2-T_ini-INDEX(CdP,1,i_P+0))+INDEX(CdP,2,i_P+0)</f>
        <v>817.82500000000221</v>
      </c>
      <c r="R261" s="359">
        <f t="shared" ref="R261:R324" ca="1" si="136">Poussee/(g*ISP)</f>
        <v>0.40967492625424073</v>
      </c>
      <c r="S261" s="360">
        <f t="shared" ref="S261:S324" ca="1" si="137">S260-Débit*pas</f>
        <v>10.265099314300496</v>
      </c>
      <c r="T261" s="357">
        <f t="shared" ca="1" si="117"/>
        <v>100.70062427328787</v>
      </c>
      <c r="U261" s="364">
        <f t="shared" ca="1" si="118"/>
        <v>0</v>
      </c>
      <c r="V261" s="359">
        <f t="shared" ca="1" si="119"/>
        <v>1.1941286724118487</v>
      </c>
      <c r="W261" s="357">
        <f t="shared" ca="1" si="120"/>
        <v>102.80622226619325</v>
      </c>
      <c r="X261" s="343"/>
      <c r="Y261" s="367" t="str">
        <f t="shared" ref="Y261:Y324" ca="1" si="138">IF(AND(pos_z&lt;=0,K260&gt;0),"Impact balistique","") &amp; IF(AND(H262&lt;0,vit_z&gt;=0),"Apogée","") &amp; IF(AND(Poussee=0,Q260&gt;0),"Fin de propulsion","") &amp; IF(AND(L262&gt;L_rampe,pos_xz&lt;=L_rampe),"Sortie de rampe","")</f>
        <v/>
      </c>
      <c r="Z261" s="368" t="str">
        <f t="shared" ref="Z261:Z324" ca="1" si="139">IF(ABS(t-T_para)&lt;pas/2,"Para","")</f>
        <v/>
      </c>
      <c r="AA261" s="369" t="str">
        <f t="shared" ref="AA261:AA324" ca="1" si="140">IF(ABS(t-T_satellite)&lt;pas/2,"Satellite","")</f>
        <v/>
      </c>
      <c r="AB261" s="344"/>
      <c r="AC261" s="363" t="e">
        <f t="shared" ref="AC261:AC324" ca="1" si="141">IF(ABS(t-ROUND(t,0))&lt;0.001,t,NA())</f>
        <v>#N/A</v>
      </c>
      <c r="AD261" s="376" t="e">
        <f t="shared" ref="AD261:AD324" ca="1" si="142">IF(ABS(t-ROUND(t,0))&lt;0.001,pos_x,NA())</f>
        <v>#N/A</v>
      </c>
      <c r="AE261" s="377">
        <f t="shared" ca="1" si="121"/>
        <v>255.2268338614079</v>
      </c>
      <c r="AF261" s="344"/>
      <c r="AG261" s="359">
        <f t="shared" ref="AG261:AG324" ca="1" si="143">IF(AND(L260&lt;L_rampe,Poussee&lt;Poids*SIN(M260)),0,(-W260+Poussee)/m-Poids*SIN(M260)/m)</f>
        <v>60.149120671992549</v>
      </c>
      <c r="AH261" s="357">
        <f t="shared" ref="AH261:AH324" ca="1" si="144">IF(AND(L260&lt;L_rampe,Poussee&lt;Poids*SIN(M260)), g*SIN(M260), (-W260+Poussee)/m)</f>
        <v>69.715110631819385</v>
      </c>
    </row>
    <row r="262" spans="1:34" x14ac:dyDescent="0.25">
      <c r="A262" s="402">
        <f t="shared" ca="1" si="122"/>
        <v>0.01</v>
      </c>
      <c r="B262" s="357">
        <f t="shared" ca="1" si="123"/>
        <v>2.579999999999989</v>
      </c>
      <c r="C262" s="342"/>
      <c r="D262" s="359">
        <f t="shared" ca="1" si="124"/>
        <v>15.408488441740349</v>
      </c>
      <c r="E262" s="360">
        <f t="shared" ca="1" si="125"/>
        <v>57.943258260539068</v>
      </c>
      <c r="F262" s="357">
        <f t="shared" ca="1" si="126"/>
        <v>59.957007045938965</v>
      </c>
      <c r="G262" s="359">
        <f t="shared" ca="1" si="127"/>
        <v>43.402887123400653</v>
      </c>
      <c r="H262" s="360">
        <f t="shared" ca="1" si="128"/>
        <v>190.75040740833907</v>
      </c>
      <c r="I262" s="357">
        <f t="shared" ca="1" si="129"/>
        <v>195.62599146609838</v>
      </c>
      <c r="J262" s="359">
        <f t="shared" ca="1" si="130"/>
        <v>55.02585262384283</v>
      </c>
      <c r="K262" s="360">
        <f t="shared" ca="1" si="131"/>
        <v>257.13144077257829</v>
      </c>
      <c r="L262" s="357">
        <f t="shared" ca="1" si="116"/>
        <v>262.95327016556155</v>
      </c>
      <c r="M262" s="359">
        <f t="shared" ca="1" si="132"/>
        <v>1.3470678906577676</v>
      </c>
      <c r="N262" s="357">
        <f t="shared" ca="1" si="133"/>
        <v>77.181304852280334</v>
      </c>
      <c r="O262" s="343"/>
      <c r="P262" s="363">
        <f t="shared" ca="1" si="134"/>
        <v>9</v>
      </c>
      <c r="Q262" s="357">
        <f t="shared" ca="1" si="135"/>
        <v>815.77500000000225</v>
      </c>
      <c r="R262" s="359">
        <f t="shared" ca="1" si="136"/>
        <v>0.4086480151194366</v>
      </c>
      <c r="S262" s="360">
        <f t="shared" ca="1" si="137"/>
        <v>10.261012834149302</v>
      </c>
      <c r="T262" s="357">
        <f t="shared" ca="1" si="117"/>
        <v>100.66053590300466</v>
      </c>
      <c r="U262" s="364">
        <f t="shared" ca="1" si="118"/>
        <v>0</v>
      </c>
      <c r="V262" s="359">
        <f t="shared" ca="1" si="119"/>
        <v>1.1939012221826812</v>
      </c>
      <c r="W262" s="357">
        <f t="shared" ca="1" si="120"/>
        <v>103.41918872073775</v>
      </c>
      <c r="X262" s="343"/>
      <c r="Y262" s="367" t="str">
        <f t="shared" ca="1" si="138"/>
        <v/>
      </c>
      <c r="Z262" s="368" t="str">
        <f t="shared" ca="1" si="139"/>
        <v/>
      </c>
      <c r="AA262" s="369" t="str">
        <f t="shared" ca="1" si="140"/>
        <v/>
      </c>
      <c r="AB262" s="344"/>
      <c r="AC262" s="363" t="e">
        <f t="shared" ca="1" si="141"/>
        <v>#N/A</v>
      </c>
      <c r="AD262" s="376" t="e">
        <f t="shared" ca="1" si="142"/>
        <v>#N/A</v>
      </c>
      <c r="AE262" s="377">
        <f t="shared" ca="1" si="121"/>
        <v>257.13144077257829</v>
      </c>
      <c r="AF262" s="344"/>
      <c r="AG262" s="359">
        <f t="shared" ca="1" si="143"/>
        <v>59.917527641507526</v>
      </c>
      <c r="AH262" s="357">
        <f t="shared" ca="1" si="144"/>
        <v>69.483275116955681</v>
      </c>
    </row>
    <row r="263" spans="1:34" x14ac:dyDescent="0.25">
      <c r="A263" s="402">
        <f t="shared" ca="1" si="122"/>
        <v>0.01</v>
      </c>
      <c r="B263" s="357">
        <f t="shared" ca="1" si="123"/>
        <v>2.5899999999999888</v>
      </c>
      <c r="C263" s="342"/>
      <c r="D263" s="359">
        <f t="shared" ca="1" si="124"/>
        <v>15.364546960622119</v>
      </c>
      <c r="E263" s="360">
        <f t="shared" ca="1" si="125"/>
        <v>57.715314250422097</v>
      </c>
      <c r="F263" s="357">
        <f t="shared" ca="1" si="126"/>
        <v>59.725428439904377</v>
      </c>
      <c r="G263" s="359">
        <f t="shared" ca="1" si="127"/>
        <v>43.556532593006871</v>
      </c>
      <c r="H263" s="360">
        <f t="shared" ca="1" si="128"/>
        <v>191.32756055084329</v>
      </c>
      <c r="I263" s="357">
        <f t="shared" ca="1" si="129"/>
        <v>196.22285024395677</v>
      </c>
      <c r="J263" s="359">
        <f t="shared" ca="1" si="130"/>
        <v>55.460649722424868</v>
      </c>
      <c r="K263" s="360">
        <f t="shared" ca="1" si="131"/>
        <v>259.04183061237421</v>
      </c>
      <c r="L263" s="357">
        <f t="shared" ca="1" si="116"/>
        <v>264.91235092883738</v>
      </c>
      <c r="M263" s="359">
        <f t="shared" ca="1" si="132"/>
        <v>1.3469569702412105</v>
      </c>
      <c r="N263" s="357">
        <f t="shared" ca="1" si="133"/>
        <v>77.174949580549793</v>
      </c>
      <c r="O263" s="343"/>
      <c r="P263" s="363">
        <f t="shared" ca="1" si="134"/>
        <v>9</v>
      </c>
      <c r="Q263" s="357">
        <f t="shared" ca="1" si="135"/>
        <v>813.7250000000023</v>
      </c>
      <c r="R263" s="359">
        <f t="shared" ca="1" si="136"/>
        <v>0.40762110398463253</v>
      </c>
      <c r="S263" s="360">
        <f t="shared" ca="1" si="137"/>
        <v>10.256936623109455</v>
      </c>
      <c r="T263" s="357">
        <f t="shared" ca="1" si="117"/>
        <v>100.62054827270376</v>
      </c>
      <c r="U263" s="364">
        <f t="shared" ca="1" si="118"/>
        <v>0</v>
      </c>
      <c r="V263" s="359">
        <f t="shared" ca="1" si="119"/>
        <v>1.1936731243112728</v>
      </c>
      <c r="W263" s="357">
        <f t="shared" ca="1" si="120"/>
        <v>104.03134016027833</v>
      </c>
      <c r="X263" s="343"/>
      <c r="Y263" s="367" t="str">
        <f t="shared" ca="1" si="138"/>
        <v/>
      </c>
      <c r="Z263" s="368" t="str">
        <f t="shared" ca="1" si="139"/>
        <v/>
      </c>
      <c r="AA263" s="369" t="str">
        <f t="shared" ca="1" si="140"/>
        <v/>
      </c>
      <c r="AB263" s="344"/>
      <c r="AC263" s="363" t="e">
        <f t="shared" ca="1" si="141"/>
        <v>#N/A</v>
      </c>
      <c r="AD263" s="376" t="e">
        <f t="shared" ca="1" si="142"/>
        <v>#N/A</v>
      </c>
      <c r="AE263" s="377">
        <f t="shared" ca="1" si="121"/>
        <v>259.04183061237421</v>
      </c>
      <c r="AF263" s="344"/>
      <c r="AG263" s="359">
        <f t="shared" ca="1" si="143"/>
        <v>59.685757076026619</v>
      </c>
      <c r="AH263" s="357">
        <f t="shared" ca="1" si="144"/>
        <v>69.251262572774948</v>
      </c>
    </row>
    <row r="264" spans="1:34" x14ac:dyDescent="0.25">
      <c r="A264" s="402">
        <f t="shared" ca="1" si="122"/>
        <v>0.01</v>
      </c>
      <c r="B264" s="357">
        <f t="shared" ca="1" si="123"/>
        <v>2.5999999999999885</v>
      </c>
      <c r="C264" s="342"/>
      <c r="D264" s="359">
        <f t="shared" ca="1" si="124"/>
        <v>15.320497208531474</v>
      </c>
      <c r="E264" s="360">
        <f t="shared" ca="1" si="125"/>
        <v>57.487215430893826</v>
      </c>
      <c r="F264" s="357">
        <f t="shared" ca="1" si="126"/>
        <v>59.493676745639263</v>
      </c>
      <c r="G264" s="359">
        <f t="shared" ca="1" si="127"/>
        <v>43.709737565092183</v>
      </c>
      <c r="H264" s="360">
        <f t="shared" ca="1" si="128"/>
        <v>191.90243270515222</v>
      </c>
      <c r="I264" s="357">
        <f t="shared" ca="1" si="129"/>
        <v>196.81738956749911</v>
      </c>
      <c r="J264" s="359">
        <f t="shared" ca="1" si="130"/>
        <v>55.896981073215365</v>
      </c>
      <c r="K264" s="360">
        <f t="shared" ca="1" si="131"/>
        <v>260.9579805786542</v>
      </c>
      <c r="L264" s="357">
        <f t="shared" ca="1" si="116"/>
        <v>266.87738780344176</v>
      </c>
      <c r="M264" s="359">
        <f t="shared" ca="1" si="132"/>
        <v>1.3468463309816443</v>
      </c>
      <c r="N264" s="357">
        <f t="shared" ca="1" si="133"/>
        <v>77.168610417928193</v>
      </c>
      <c r="O264" s="343"/>
      <c r="P264" s="363">
        <f t="shared" ca="1" si="134"/>
        <v>9</v>
      </c>
      <c r="Q264" s="357">
        <f t="shared" ca="1" si="135"/>
        <v>811.67500000000234</v>
      </c>
      <c r="R264" s="359">
        <f t="shared" ca="1" si="136"/>
        <v>0.4065941928498284</v>
      </c>
      <c r="S264" s="360">
        <f t="shared" ca="1" si="137"/>
        <v>10.252870681180957</v>
      </c>
      <c r="T264" s="357">
        <f t="shared" ca="1" si="117"/>
        <v>100.58066138238519</v>
      </c>
      <c r="U264" s="364">
        <f t="shared" ca="1" si="118"/>
        <v>0</v>
      </c>
      <c r="V264" s="359">
        <f t="shared" ca="1" si="119"/>
        <v>1.1934443818979068</v>
      </c>
      <c r="W264" s="357">
        <f t="shared" ca="1" si="120"/>
        <v>104.64265184658768</v>
      </c>
      <c r="X264" s="343"/>
      <c r="Y264" s="367" t="str">
        <f t="shared" ca="1" si="138"/>
        <v/>
      </c>
      <c r="Z264" s="368" t="str">
        <f t="shared" ca="1" si="139"/>
        <v/>
      </c>
      <c r="AA264" s="369" t="str">
        <f t="shared" ca="1" si="140"/>
        <v/>
      </c>
      <c r="AB264" s="344"/>
      <c r="AC264" s="363" t="e">
        <f t="shared" ca="1" si="141"/>
        <v>#N/A</v>
      </c>
      <c r="AD264" s="376" t="e">
        <f t="shared" ca="1" si="142"/>
        <v>#N/A</v>
      </c>
      <c r="AE264" s="377">
        <f t="shared" ca="1" si="121"/>
        <v>260.9579805786542</v>
      </c>
      <c r="AF264" s="344"/>
      <c r="AG264" s="359">
        <f t="shared" ca="1" si="143"/>
        <v>59.453811891703872</v>
      </c>
      <c r="AH264" s="357">
        <f t="shared" ca="1" si="144"/>
        <v>69.019075909988501</v>
      </c>
    </row>
    <row r="265" spans="1:34" x14ac:dyDescent="0.25">
      <c r="A265" s="402">
        <f t="shared" ca="1" si="122"/>
        <v>0.01</v>
      </c>
      <c r="B265" s="357">
        <f t="shared" ca="1" si="123"/>
        <v>2.6099999999999883</v>
      </c>
      <c r="C265" s="342"/>
      <c r="D265" s="359">
        <f t="shared" ca="1" si="124"/>
        <v>15.276340163826504</v>
      </c>
      <c r="E265" s="360">
        <f t="shared" ca="1" si="125"/>
        <v>57.258964573490374</v>
      </c>
      <c r="F265" s="357">
        <f t="shared" ca="1" si="126"/>
        <v>59.261754891575428</v>
      </c>
      <c r="G265" s="359">
        <f t="shared" ca="1" si="127"/>
        <v>43.862500966730451</v>
      </c>
      <c r="H265" s="360">
        <f t="shared" ca="1" si="128"/>
        <v>192.47502235088712</v>
      </c>
      <c r="I265" s="357">
        <f t="shared" ca="1" si="129"/>
        <v>197.40960771966223</v>
      </c>
      <c r="J265" s="359">
        <f t="shared" ca="1" si="130"/>
        <v>56.334842265874478</v>
      </c>
      <c r="K265" s="360">
        <f t="shared" ca="1" si="131"/>
        <v>262.8798678539344</v>
      </c>
      <c r="L265" s="357">
        <f t="shared" ca="1" si="116"/>
        <v>268.84835758475998</v>
      </c>
      <c r="M265" s="359">
        <f t="shared" ca="1" si="132"/>
        <v>1.3467359700255239</v>
      </c>
      <c r="N265" s="357">
        <f t="shared" ca="1" si="133"/>
        <v>77.162287200919465</v>
      </c>
      <c r="O265" s="343"/>
      <c r="P265" s="363">
        <f t="shared" ca="1" si="134"/>
        <v>9</v>
      </c>
      <c r="Q265" s="357">
        <f t="shared" ca="1" si="135"/>
        <v>809.62500000000239</v>
      </c>
      <c r="R265" s="359">
        <f t="shared" ca="1" si="136"/>
        <v>0.40556728171502426</v>
      </c>
      <c r="S265" s="360">
        <f t="shared" ca="1" si="137"/>
        <v>10.248815008363806</v>
      </c>
      <c r="T265" s="357">
        <f t="shared" ca="1" si="117"/>
        <v>100.54087523204895</v>
      </c>
      <c r="U265" s="364">
        <f t="shared" ca="1" si="118"/>
        <v>0</v>
      </c>
      <c r="V265" s="359">
        <f t="shared" ca="1" si="119"/>
        <v>1.1932149980435949</v>
      </c>
      <c r="W265" s="357">
        <f t="shared" ca="1" si="120"/>
        <v>105.25309916414191</v>
      </c>
      <c r="X265" s="343"/>
      <c r="Y265" s="367" t="str">
        <f t="shared" ca="1" si="138"/>
        <v/>
      </c>
      <c r="Z265" s="368" t="str">
        <f t="shared" ca="1" si="139"/>
        <v/>
      </c>
      <c r="AA265" s="369" t="str">
        <f t="shared" ca="1" si="140"/>
        <v/>
      </c>
      <c r="AB265" s="344"/>
      <c r="AC265" s="363" t="e">
        <f t="shared" ca="1" si="141"/>
        <v>#N/A</v>
      </c>
      <c r="AD265" s="376" t="e">
        <f t="shared" ca="1" si="142"/>
        <v>#N/A</v>
      </c>
      <c r="AE265" s="377">
        <f t="shared" ca="1" si="121"/>
        <v>262.8798678539344</v>
      </c>
      <c r="AF265" s="344"/>
      <c r="AG265" s="359">
        <f t="shared" ca="1" si="143"/>
        <v>59.221694998395733</v>
      </c>
      <c r="AH265" s="357">
        <f t="shared" ca="1" si="144"/>
        <v>68.786718033069775</v>
      </c>
    </row>
    <row r="266" spans="1:34" x14ac:dyDescent="0.25">
      <c r="A266" s="402">
        <f t="shared" ca="1" si="122"/>
        <v>0.01</v>
      </c>
      <c r="B266" s="357">
        <f t="shared" ca="1" si="123"/>
        <v>2.6199999999999881</v>
      </c>
      <c r="C266" s="342"/>
      <c r="D266" s="359">
        <f t="shared" ca="1" si="124"/>
        <v>15.23207680009234</v>
      </c>
      <c r="E266" s="360">
        <f t="shared" ca="1" si="125"/>
        <v>57.030564444146876</v>
      </c>
      <c r="F266" s="357">
        <f t="shared" ca="1" si="126"/>
        <v>59.029665800018734</v>
      </c>
      <c r="G266" s="359">
        <f t="shared" ca="1" si="127"/>
        <v>44.014821734731377</v>
      </c>
      <c r="H266" s="360">
        <f t="shared" ca="1" si="128"/>
        <v>193.04532799532859</v>
      </c>
      <c r="I266" s="357">
        <f t="shared" ca="1" si="129"/>
        <v>197.99950301241714</v>
      </c>
      <c r="J266" s="359">
        <f t="shared" ca="1" si="130"/>
        <v>56.774228879381788</v>
      </c>
      <c r="K266" s="360">
        <f t="shared" ca="1" si="131"/>
        <v>264.80746960566546</v>
      </c>
      <c r="L266" s="357">
        <f t="shared" ca="1" si="116"/>
        <v>270.82523705113573</v>
      </c>
      <c r="M266" s="359">
        <f t="shared" ca="1" si="132"/>
        <v>1.3466258845523706</v>
      </c>
      <c r="N266" s="357">
        <f t="shared" ca="1" si="133"/>
        <v>77.155979767922076</v>
      </c>
      <c r="O266" s="343"/>
      <c r="P266" s="363">
        <f t="shared" ca="1" si="134"/>
        <v>9</v>
      </c>
      <c r="Q266" s="357">
        <f t="shared" ca="1" si="135"/>
        <v>807.57500000000243</v>
      </c>
      <c r="R266" s="359">
        <f t="shared" ca="1" si="136"/>
        <v>0.40454037058022019</v>
      </c>
      <c r="S266" s="360">
        <f t="shared" ca="1" si="137"/>
        <v>10.244769604658003</v>
      </c>
      <c r="T266" s="357">
        <f t="shared" ca="1" si="117"/>
        <v>100.50118982169502</v>
      </c>
      <c r="U266" s="364">
        <f t="shared" ca="1" si="118"/>
        <v>0</v>
      </c>
      <c r="V266" s="359">
        <f t="shared" ca="1" si="119"/>
        <v>1.1929849758500322</v>
      </c>
      <c r="W266" s="357">
        <f t="shared" ca="1" si="120"/>
        <v>105.86265762075638</v>
      </c>
      <c r="X266" s="343"/>
      <c r="Y266" s="367" t="str">
        <f t="shared" ca="1" si="138"/>
        <v/>
      </c>
      <c r="Z266" s="368" t="str">
        <f t="shared" ca="1" si="139"/>
        <v/>
      </c>
      <c r="AA266" s="369" t="str">
        <f t="shared" ca="1" si="140"/>
        <v/>
      </c>
      <c r="AB266" s="344"/>
      <c r="AC266" s="363" t="e">
        <f t="shared" ca="1" si="141"/>
        <v>#N/A</v>
      </c>
      <c r="AD266" s="376" t="e">
        <f t="shared" ca="1" si="142"/>
        <v>#N/A</v>
      </c>
      <c r="AE266" s="377">
        <f t="shared" ca="1" si="121"/>
        <v>264.80746960566546</v>
      </c>
      <c r="AF266" s="344"/>
      <c r="AG266" s="359">
        <f t="shared" ca="1" si="143"/>
        <v>58.989409299557501</v>
      </c>
      <c r="AH266" s="357">
        <f t="shared" ca="1" si="144"/>
        <v>68.554191840149812</v>
      </c>
    </row>
    <row r="267" spans="1:34" x14ac:dyDescent="0.25">
      <c r="A267" s="402">
        <f t="shared" ca="1" si="122"/>
        <v>0.01</v>
      </c>
      <c r="B267" s="357">
        <f t="shared" ca="1" si="123"/>
        <v>2.6299999999999879</v>
      </c>
      <c r="C267" s="342"/>
      <c r="D267" s="359">
        <f t="shared" ca="1" si="124"/>
        <v>15.187708086178201</v>
      </c>
      <c r="E267" s="360">
        <f t="shared" ca="1" si="125"/>
        <v>56.802017803085832</v>
      </c>
      <c r="F267" s="357">
        <f t="shared" ca="1" si="126"/>
        <v>58.797412387051885</v>
      </c>
      <c r="G267" s="359">
        <f t="shared" ca="1" si="127"/>
        <v>44.166698815593158</v>
      </c>
      <c r="H267" s="360">
        <f t="shared" ca="1" si="128"/>
        <v>193.61334817335944</v>
      </c>
      <c r="I267" s="357">
        <f t="shared" ca="1" si="129"/>
        <v>198.58707378670402</v>
      </c>
      <c r="J267" s="359">
        <f t="shared" ca="1" si="130"/>
        <v>57.21513648213341</v>
      </c>
      <c r="K267" s="360">
        <f t="shared" ca="1" si="131"/>
        <v>266.74076298650891</v>
      </c>
      <c r="L267" s="357">
        <f t="shared" ca="1" si="116"/>
        <v>272.80800296416174</v>
      </c>
      <c r="M267" s="359">
        <f t="shared" ca="1" si="132"/>
        <v>1.3465160717742213</v>
      </c>
      <c r="N267" s="357">
        <f t="shared" ca="1" si="133"/>
        <v>77.149687959197507</v>
      </c>
      <c r="O267" s="343"/>
      <c r="P267" s="363">
        <f t="shared" ca="1" si="134"/>
        <v>9</v>
      </c>
      <c r="Q267" s="357">
        <f t="shared" ca="1" si="135"/>
        <v>805.52500000000248</v>
      </c>
      <c r="R267" s="359">
        <f t="shared" ca="1" si="136"/>
        <v>0.40351345944541606</v>
      </c>
      <c r="S267" s="360">
        <f t="shared" ca="1" si="137"/>
        <v>10.240734470063549</v>
      </c>
      <c r="T267" s="357">
        <f t="shared" ca="1" si="117"/>
        <v>100.46160515132343</v>
      </c>
      <c r="U267" s="364">
        <f t="shared" ca="1" si="118"/>
        <v>0</v>
      </c>
      <c r="V267" s="359">
        <f t="shared" ca="1" si="119"/>
        <v>1.1927543184195424</v>
      </c>
      <c r="W267" s="357">
        <f t="shared" ca="1" si="120"/>
        <v>106.47130284821012</v>
      </c>
      <c r="X267" s="343"/>
      <c r="Y267" s="367" t="str">
        <f t="shared" ca="1" si="138"/>
        <v/>
      </c>
      <c r="Z267" s="368" t="str">
        <f t="shared" ca="1" si="139"/>
        <v/>
      </c>
      <c r="AA267" s="369" t="str">
        <f t="shared" ca="1" si="140"/>
        <v/>
      </c>
      <c r="AB267" s="344"/>
      <c r="AC267" s="363" t="e">
        <f t="shared" ca="1" si="141"/>
        <v>#N/A</v>
      </c>
      <c r="AD267" s="376" t="e">
        <f t="shared" ca="1" si="142"/>
        <v>#N/A</v>
      </c>
      <c r="AE267" s="377">
        <f t="shared" ca="1" si="121"/>
        <v>266.74076298650891</v>
      </c>
      <c r="AF267" s="344"/>
      <c r="AG267" s="359">
        <f t="shared" ca="1" si="143"/>
        <v>58.756957692140659</v>
      </c>
      <c r="AH267" s="357">
        <f t="shared" ca="1" si="144"/>
        <v>68.321500222913627</v>
      </c>
    </row>
    <row r="268" spans="1:34" x14ac:dyDescent="0.25">
      <c r="A268" s="402">
        <f t="shared" ca="1" si="122"/>
        <v>0.01</v>
      </c>
      <c r="B268" s="357">
        <f t="shared" ca="1" si="123"/>
        <v>2.6399999999999877</v>
      </c>
      <c r="C268" s="342"/>
      <c r="D268" s="359">
        <f t="shared" ca="1" si="124"/>
        <v>15.143234986233312</v>
      </c>
      <c r="E268" s="360">
        <f t="shared" ca="1" si="125"/>
        <v>56.573327404706632</v>
      </c>
      <c r="F268" s="357">
        <f t="shared" ca="1" si="126"/>
        <v>58.564997562438357</v>
      </c>
      <c r="G268" s="359">
        <f t="shared" ca="1" si="127"/>
        <v>44.31813116545549</v>
      </c>
      <c r="H268" s="360">
        <f t="shared" ca="1" si="128"/>
        <v>194.1790814474065</v>
      </c>
      <c r="I268" s="357">
        <f t="shared" ca="1" si="129"/>
        <v>199.17231841236634</v>
      </c>
      <c r="J268" s="359">
        <f t="shared" ca="1" si="130"/>
        <v>57.657560632038653</v>
      </c>
      <c r="K268" s="360">
        <f t="shared" ca="1" si="131"/>
        <v>268.67972513461274</v>
      </c>
      <c r="L268" s="357">
        <f t="shared" ca="1" si="116"/>
        <v>274.7966320689689</v>
      </c>
      <c r="M268" s="359">
        <f t="shared" ca="1" si="132"/>
        <v>1.3464065289350899</v>
      </c>
      <c r="N268" s="357">
        <f t="shared" ca="1" si="133"/>
        <v>77.143411616839401</v>
      </c>
      <c r="O268" s="343"/>
      <c r="P268" s="363">
        <f t="shared" ca="1" si="134"/>
        <v>9</v>
      </c>
      <c r="Q268" s="357">
        <f t="shared" ca="1" si="135"/>
        <v>803.47500000000252</v>
      </c>
      <c r="R268" s="359">
        <f t="shared" ca="1" si="136"/>
        <v>0.40248654831061198</v>
      </c>
      <c r="S268" s="360">
        <f t="shared" ca="1" si="137"/>
        <v>10.236709604580442</v>
      </c>
      <c r="T268" s="357">
        <f t="shared" ca="1" si="117"/>
        <v>100.42212122093414</v>
      </c>
      <c r="U268" s="364">
        <f t="shared" ca="1" si="118"/>
        <v>0</v>
      </c>
      <c r="V268" s="359">
        <f t="shared" ca="1" si="119"/>
        <v>1.1925230288550317</v>
      </c>
      <c r="W268" s="357">
        <f t="shared" ca="1" si="120"/>
        <v>107.07901060286079</v>
      </c>
      <c r="X268" s="343"/>
      <c r="Y268" s="367" t="str">
        <f t="shared" ca="1" si="138"/>
        <v/>
      </c>
      <c r="Z268" s="368" t="str">
        <f t="shared" ca="1" si="139"/>
        <v/>
      </c>
      <c r="AA268" s="369" t="str">
        <f t="shared" ca="1" si="140"/>
        <v/>
      </c>
      <c r="AB268" s="344"/>
      <c r="AC268" s="363" t="e">
        <f t="shared" ca="1" si="141"/>
        <v>#N/A</v>
      </c>
      <c r="AD268" s="376" t="e">
        <f t="shared" ca="1" si="142"/>
        <v>#N/A</v>
      </c>
      <c r="AE268" s="377">
        <f t="shared" ca="1" si="121"/>
        <v>268.67972513461274</v>
      </c>
      <c r="AF268" s="344"/>
      <c r="AG268" s="359">
        <f t="shared" ca="1" si="143"/>
        <v>58.524343066491063</v>
      </c>
      <c r="AH268" s="357">
        <f t="shared" ca="1" si="144"/>
        <v>68.088646066497418</v>
      </c>
    </row>
    <row r="269" spans="1:34" x14ac:dyDescent="0.25">
      <c r="A269" s="402">
        <f t="shared" ca="1" si="122"/>
        <v>0.01</v>
      </c>
      <c r="B269" s="357">
        <f t="shared" ca="1" si="123"/>
        <v>2.6499999999999875</v>
      </c>
      <c r="C269" s="342"/>
      <c r="D269" s="359">
        <f t="shared" ca="1" si="124"/>
        <v>15.098658459741609</v>
      </c>
      <c r="E269" s="360">
        <f t="shared" ca="1" si="125"/>
        <v>56.344495997475946</v>
      </c>
      <c r="F269" s="357">
        <f t="shared" ca="1" si="126"/>
        <v>58.332424229527014</v>
      </c>
      <c r="G269" s="359">
        <f t="shared" ca="1" si="127"/>
        <v>44.469117750052909</v>
      </c>
      <c r="H269" s="360">
        <f t="shared" ca="1" si="128"/>
        <v>194.74252640738126</v>
      </c>
      <c r="I269" s="357">
        <f t="shared" ca="1" si="129"/>
        <v>199.75523528808364</v>
      </c>
      <c r="J269" s="359">
        <f t="shared" ca="1" si="130"/>
        <v>58.101496876616196</v>
      </c>
      <c r="K269" s="360">
        <f t="shared" ca="1" si="131"/>
        <v>270.62433317388667</v>
      </c>
      <c r="L269" s="357">
        <f t="shared" ca="1" si="116"/>
        <v>276.7911010945154</v>
      </c>
      <c r="M269" s="359">
        <f t="shared" ca="1" si="132"/>
        <v>1.34629725331044</v>
      </c>
      <c r="N269" s="357">
        <f t="shared" ca="1" si="133"/>
        <v>77.13715058474331</v>
      </c>
      <c r="O269" s="343"/>
      <c r="P269" s="363">
        <f t="shared" ca="1" si="134"/>
        <v>9</v>
      </c>
      <c r="Q269" s="357">
        <f t="shared" ca="1" si="135"/>
        <v>801.42500000000257</v>
      </c>
      <c r="R269" s="359">
        <f t="shared" ca="1" si="136"/>
        <v>0.40145963717580785</v>
      </c>
      <c r="S269" s="360">
        <f t="shared" ca="1" si="137"/>
        <v>10.232695008208683</v>
      </c>
      <c r="T269" s="357">
        <f t="shared" ca="1" si="117"/>
        <v>100.38273803052719</v>
      </c>
      <c r="U269" s="364">
        <f t="shared" ca="1" si="118"/>
        <v>0</v>
      </c>
      <c r="V269" s="359">
        <f t="shared" ca="1" si="119"/>
        <v>1.1922911102599369</v>
      </c>
      <c r="W269" s="357">
        <f t="shared" ca="1" si="120"/>
        <v>107.68575676624853</v>
      </c>
      <c r="X269" s="343"/>
      <c r="Y269" s="367" t="str">
        <f t="shared" ca="1" si="138"/>
        <v/>
      </c>
      <c r="Z269" s="368" t="str">
        <f t="shared" ca="1" si="139"/>
        <v/>
      </c>
      <c r="AA269" s="369" t="str">
        <f t="shared" ca="1" si="140"/>
        <v/>
      </c>
      <c r="AB269" s="344"/>
      <c r="AC269" s="363" t="e">
        <f t="shared" ca="1" si="141"/>
        <v>#N/A</v>
      </c>
      <c r="AD269" s="376" t="e">
        <f t="shared" ca="1" si="142"/>
        <v>#N/A</v>
      </c>
      <c r="AE269" s="377">
        <f t="shared" ca="1" si="121"/>
        <v>270.62433317388667</v>
      </c>
      <c r="AF269" s="344"/>
      <c r="AG269" s="359">
        <f t="shared" ca="1" si="143"/>
        <v>58.291568306247818</v>
      </c>
      <c r="AH269" s="357">
        <f t="shared" ca="1" si="144"/>
        <v>67.855632249386545</v>
      </c>
    </row>
    <row r="270" spans="1:34" x14ac:dyDescent="0.25">
      <c r="A270" s="402">
        <f t="shared" ca="1" si="122"/>
        <v>0.01</v>
      </c>
      <c r="B270" s="357">
        <f t="shared" ca="1" si="123"/>
        <v>2.6599999999999873</v>
      </c>
      <c r="C270" s="342"/>
      <c r="D270" s="359">
        <f t="shared" ca="1" si="124"/>
        <v>15.053979461555482</v>
      </c>
      <c r="E270" s="360">
        <f t="shared" ca="1" si="125"/>
        <v>56.115526323819509</v>
      </c>
      <c r="F270" s="357">
        <f t="shared" ca="1" si="126"/>
        <v>58.099695285158035</v>
      </c>
      <c r="G270" s="359">
        <f t="shared" ca="1" si="127"/>
        <v>44.619657544668463</v>
      </c>
      <c r="H270" s="360">
        <f t="shared" ca="1" si="128"/>
        <v>195.30368167061945</v>
      </c>
      <c r="I270" s="357">
        <f t="shared" ca="1" si="129"/>
        <v>200.3358228413035</v>
      </c>
      <c r="J270" s="359">
        <f t="shared" ca="1" si="130"/>
        <v>58.5469407530898</v>
      </c>
      <c r="K270" s="360">
        <f t="shared" ca="1" si="131"/>
        <v>272.57456421427668</v>
      </c>
      <c r="L270" s="357">
        <f t="shared" ca="1" si="116"/>
        <v>278.79138675387486</v>
      </c>
      <c r="M270" s="359">
        <f t="shared" ca="1" si="132"/>
        <v>1.3461882422066669</v>
      </c>
      <c r="N270" s="357">
        <f t="shared" ca="1" si="133"/>
        <v>77.130904708577049</v>
      </c>
      <c r="O270" s="343"/>
      <c r="P270" s="363">
        <f t="shared" ca="1" si="134"/>
        <v>9</v>
      </c>
      <c r="Q270" s="357">
        <f t="shared" ca="1" si="135"/>
        <v>799.37500000000261</v>
      </c>
      <c r="R270" s="359">
        <f t="shared" ca="1" si="136"/>
        <v>0.40043272604100372</v>
      </c>
      <c r="S270" s="360">
        <f t="shared" ca="1" si="137"/>
        <v>10.228690680948272</v>
      </c>
      <c r="T270" s="357">
        <f t="shared" ca="1" si="117"/>
        <v>100.34345558010256</v>
      </c>
      <c r="U270" s="364">
        <f t="shared" ca="1" si="118"/>
        <v>0</v>
      </c>
      <c r="V270" s="359">
        <f t="shared" ca="1" si="119"/>
        <v>1.1920585657381768</v>
      </c>
      <c r="W270" s="357">
        <f t="shared" ca="1" si="120"/>
        <v>108.29151734568917</v>
      </c>
      <c r="X270" s="343"/>
      <c r="Y270" s="367" t="str">
        <f t="shared" ca="1" si="138"/>
        <v/>
      </c>
      <c r="Z270" s="368" t="str">
        <f t="shared" ca="1" si="139"/>
        <v/>
      </c>
      <c r="AA270" s="369" t="str">
        <f t="shared" ca="1" si="140"/>
        <v/>
      </c>
      <c r="AB270" s="344"/>
      <c r="AC270" s="363" t="e">
        <f t="shared" ca="1" si="141"/>
        <v>#N/A</v>
      </c>
      <c r="AD270" s="376" t="e">
        <f t="shared" ca="1" si="142"/>
        <v>#N/A</v>
      </c>
      <c r="AE270" s="377">
        <f t="shared" ca="1" si="121"/>
        <v>272.57456421427668</v>
      </c>
      <c r="AF270" s="344"/>
      <c r="AG270" s="359">
        <f t="shared" ca="1" si="143"/>
        <v>58.058636288243278</v>
      </c>
      <c r="AH270" s="357">
        <f t="shared" ca="1" si="144"/>
        <v>67.622461643314594</v>
      </c>
    </row>
    <row r="271" spans="1:34" x14ac:dyDescent="0.25">
      <c r="A271" s="402">
        <f t="shared" ca="1" si="122"/>
        <v>0.01</v>
      </c>
      <c r="B271" s="357">
        <f t="shared" ca="1" si="123"/>
        <v>2.6699999999999871</v>
      </c>
      <c r="C271" s="342"/>
      <c r="D271" s="359">
        <f t="shared" ca="1" si="124"/>
        <v>15.009198941928421</v>
      </c>
      <c r="E271" s="360">
        <f t="shared" ca="1" si="125"/>
        <v>55.886421120014859</v>
      </c>
      <c r="F271" s="357">
        <f t="shared" ca="1" si="126"/>
        <v>57.866813619569797</v>
      </c>
      <c r="G271" s="359">
        <f t="shared" ca="1" si="127"/>
        <v>44.769749534087751</v>
      </c>
      <c r="H271" s="360">
        <f t="shared" ca="1" si="128"/>
        <v>195.86254588181961</v>
      </c>
      <c r="I271" s="357">
        <f t="shared" ca="1" si="129"/>
        <v>200.91407952817255</v>
      </c>
      <c r="J271" s="359">
        <f t="shared" ca="1" si="130"/>
        <v>58.993887788483583</v>
      </c>
      <c r="K271" s="360">
        <f t="shared" ca="1" si="131"/>
        <v>274.53039535203885</v>
      </c>
      <c r="L271" s="357">
        <f t="shared" ca="1" si="116"/>
        <v>280.79746574452366</v>
      </c>
      <c r="M271" s="359">
        <f t="shared" ca="1" si="132"/>
        <v>1.3460794929605902</v>
      </c>
      <c r="N271" s="357">
        <f t="shared" ca="1" si="133"/>
        <v>77.124673835751622</v>
      </c>
      <c r="O271" s="343"/>
      <c r="P271" s="363">
        <f t="shared" ca="1" si="134"/>
        <v>9</v>
      </c>
      <c r="Q271" s="357">
        <f t="shared" ca="1" si="135"/>
        <v>797.32500000000266</v>
      </c>
      <c r="R271" s="359">
        <f t="shared" ca="1" si="136"/>
        <v>0.39940581490619964</v>
      </c>
      <c r="S271" s="360">
        <f t="shared" ca="1" si="137"/>
        <v>10.224696622799211</v>
      </c>
      <c r="T271" s="357">
        <f t="shared" ca="1" si="117"/>
        <v>100.30427386966026</v>
      </c>
      <c r="U271" s="364">
        <f t="shared" ca="1" si="118"/>
        <v>0</v>
      </c>
      <c r="V271" s="359">
        <f t="shared" ca="1" si="119"/>
        <v>1.1918253983941012</v>
      </c>
      <c r="W271" s="357">
        <f t="shared" ca="1" si="120"/>
        <v>108.89626847485744</v>
      </c>
      <c r="X271" s="343"/>
      <c r="Y271" s="367" t="str">
        <f t="shared" ca="1" si="138"/>
        <v/>
      </c>
      <c r="Z271" s="368" t="str">
        <f t="shared" ca="1" si="139"/>
        <v/>
      </c>
      <c r="AA271" s="369" t="str">
        <f t="shared" ca="1" si="140"/>
        <v/>
      </c>
      <c r="AB271" s="344"/>
      <c r="AC271" s="363" t="e">
        <f t="shared" ca="1" si="141"/>
        <v>#N/A</v>
      </c>
      <c r="AD271" s="376" t="e">
        <f t="shared" ca="1" si="142"/>
        <v>#N/A</v>
      </c>
      <c r="AE271" s="377">
        <f t="shared" ca="1" si="121"/>
        <v>274.53039535203885</v>
      </c>
      <c r="AF271" s="344"/>
      <c r="AG271" s="359">
        <f t="shared" ca="1" si="143"/>
        <v>57.825549882403827</v>
      </c>
      <c r="AH271" s="357">
        <f t="shared" ca="1" si="144"/>
        <v>67.389137113163272</v>
      </c>
    </row>
    <row r="272" spans="1:34" x14ac:dyDescent="0.25">
      <c r="A272" s="402">
        <f t="shared" ca="1" si="122"/>
        <v>0.01</v>
      </c>
      <c r="B272" s="357">
        <f t="shared" ca="1" si="123"/>
        <v>2.6799999999999868</v>
      </c>
      <c r="C272" s="342"/>
      <c r="D272" s="359">
        <f t="shared" ca="1" si="124"/>
        <v>14.964317846546692</v>
      </c>
      <c r="E272" s="360">
        <f t="shared" ca="1" si="125"/>
        <v>55.65718311608498</v>
      </c>
      <c r="F272" s="357">
        <f t="shared" ca="1" si="126"/>
        <v>57.633782116306499</v>
      </c>
      <c r="G272" s="359">
        <f t="shared" ca="1" si="127"/>
        <v>44.919392712553218</v>
      </c>
      <c r="H272" s="360">
        <f t="shared" ca="1" si="128"/>
        <v>196.41911771298047</v>
      </c>
      <c r="I272" s="357">
        <f t="shared" ca="1" si="129"/>
        <v>201.49000383346629</v>
      </c>
      <c r="J272" s="359">
        <f t="shared" ca="1" si="130"/>
        <v>59.442333499716788</v>
      </c>
      <c r="K272" s="360">
        <f t="shared" ca="1" si="131"/>
        <v>276.49180367001287</v>
      </c>
      <c r="L272" s="357">
        <f t="shared" ca="1" si="116"/>
        <v>282.80931474862791</v>
      </c>
      <c r="M272" s="359">
        <f t="shared" ca="1" si="132"/>
        <v>1.3459710029389584</v>
      </c>
      <c r="N272" s="357">
        <f t="shared" ca="1" si="133"/>
        <v>77.118457815392844</v>
      </c>
      <c r="O272" s="343"/>
      <c r="P272" s="363">
        <f t="shared" ca="1" si="134"/>
        <v>9</v>
      </c>
      <c r="Q272" s="357">
        <f t="shared" ca="1" si="135"/>
        <v>795.27500000000271</v>
      </c>
      <c r="R272" s="359">
        <f t="shared" ca="1" si="136"/>
        <v>0.39837890377139551</v>
      </c>
      <c r="S272" s="360">
        <f t="shared" ca="1" si="137"/>
        <v>10.220712833761498</v>
      </c>
      <c r="T272" s="357">
        <f t="shared" ca="1" si="117"/>
        <v>100.2651928992003</v>
      </c>
      <c r="U272" s="364">
        <f t="shared" ca="1" si="118"/>
        <v>0</v>
      </c>
      <c r="V272" s="359">
        <f t="shared" ca="1" si="119"/>
        <v>1.1915916113324434</v>
      </c>
      <c r="W272" s="357">
        <f t="shared" ca="1" si="120"/>
        <v>109.49998641435923</v>
      </c>
      <c r="X272" s="343"/>
      <c r="Y272" s="367" t="str">
        <f t="shared" ca="1" si="138"/>
        <v/>
      </c>
      <c r="Z272" s="368" t="str">
        <f t="shared" ca="1" si="139"/>
        <v/>
      </c>
      <c r="AA272" s="369" t="str">
        <f t="shared" ca="1" si="140"/>
        <v/>
      </c>
      <c r="AB272" s="344"/>
      <c r="AC272" s="363" t="e">
        <f t="shared" ca="1" si="141"/>
        <v>#N/A</v>
      </c>
      <c r="AD272" s="376" t="e">
        <f t="shared" ca="1" si="142"/>
        <v>#N/A</v>
      </c>
      <c r="AE272" s="377">
        <f t="shared" ca="1" si="121"/>
        <v>276.49180367001287</v>
      </c>
      <c r="AF272" s="344"/>
      <c r="AG272" s="359">
        <f t="shared" ca="1" si="143"/>
        <v>57.592311951651368</v>
      </c>
      <c r="AH272" s="357">
        <f t="shared" ca="1" si="144"/>
        <v>67.155661516863034</v>
      </c>
    </row>
    <row r="273" spans="1:34" x14ac:dyDescent="0.25">
      <c r="A273" s="402">
        <f t="shared" ca="1" si="122"/>
        <v>0.01</v>
      </c>
      <c r="B273" s="357">
        <f t="shared" ca="1" si="123"/>
        <v>2.6899999999999866</v>
      </c>
      <c r="C273" s="342"/>
      <c r="D273" s="359">
        <f t="shared" ca="1" si="124"/>
        <v>14.919337116559923</v>
      </c>
      <c r="E273" s="360">
        <f t="shared" ca="1" si="125"/>
        <v>55.427815035693442</v>
      </c>
      <c r="F273" s="357">
        <f t="shared" ca="1" si="126"/>
        <v>57.400603652127266</v>
      </c>
      <c r="G273" s="359">
        <f t="shared" ca="1" si="127"/>
        <v>45.06858608371882</v>
      </c>
      <c r="H273" s="360">
        <f t="shared" ca="1" si="128"/>
        <v>196.9733958633374</v>
      </c>
      <c r="I273" s="357">
        <f t="shared" ca="1" si="129"/>
        <v>202.06359427051819</v>
      </c>
      <c r="J273" s="359">
        <f t="shared" ca="1" si="130"/>
        <v>59.892273393698147</v>
      </c>
      <c r="K273" s="360">
        <f t="shared" ca="1" si="131"/>
        <v>278.45876623789445</v>
      </c>
      <c r="L273" s="357">
        <f t="shared" ca="1" si="116"/>
        <v>284.82691043332937</v>
      </c>
      <c r="M273" s="359">
        <f t="shared" ca="1" si="132"/>
        <v>1.345862769537961</v>
      </c>
      <c r="N273" s="357">
        <f t="shared" ca="1" si="133"/>
        <v>77.112256498313343</v>
      </c>
      <c r="O273" s="343"/>
      <c r="P273" s="363">
        <f t="shared" ca="1" si="134"/>
        <v>9</v>
      </c>
      <c r="Q273" s="357">
        <f t="shared" ca="1" si="135"/>
        <v>793.22500000000275</v>
      </c>
      <c r="R273" s="359">
        <f t="shared" ca="1" si="136"/>
        <v>0.39735199263659138</v>
      </c>
      <c r="S273" s="360">
        <f t="shared" ca="1" si="137"/>
        <v>10.216739313835133</v>
      </c>
      <c r="T273" s="357">
        <f t="shared" ca="1" si="117"/>
        <v>100.22621266872265</v>
      </c>
      <c r="U273" s="364">
        <f t="shared" ca="1" si="118"/>
        <v>0</v>
      </c>
      <c r="V273" s="359">
        <f t="shared" ca="1" si="119"/>
        <v>1.1913572076582717</v>
      </c>
      <c r="W273" s="357">
        <f t="shared" ca="1" si="120"/>
        <v>110.1026475522939</v>
      </c>
      <c r="X273" s="343"/>
      <c r="Y273" s="367" t="str">
        <f t="shared" ca="1" si="138"/>
        <v/>
      </c>
      <c r="Z273" s="368" t="str">
        <f t="shared" ca="1" si="139"/>
        <v/>
      </c>
      <c r="AA273" s="369" t="str">
        <f t="shared" ca="1" si="140"/>
        <v/>
      </c>
      <c r="AB273" s="344"/>
      <c r="AC273" s="363" t="e">
        <f t="shared" ca="1" si="141"/>
        <v>#N/A</v>
      </c>
      <c r="AD273" s="376" t="e">
        <f t="shared" ca="1" si="142"/>
        <v>#N/A</v>
      </c>
      <c r="AE273" s="377">
        <f t="shared" ca="1" si="121"/>
        <v>278.45876623789445</v>
      </c>
      <c r="AF273" s="344"/>
      <c r="AG273" s="359">
        <f t="shared" ca="1" si="143"/>
        <v>57.358925351806043</v>
      </c>
      <c r="AH273" s="357">
        <f t="shared" ca="1" si="144"/>
        <v>66.922037705294898</v>
      </c>
    </row>
    <row r="274" spans="1:34" x14ac:dyDescent="0.25">
      <c r="A274" s="402">
        <f t="shared" ca="1" si="122"/>
        <v>0.01</v>
      </c>
      <c r="B274" s="357">
        <f t="shared" ca="1" si="123"/>
        <v>2.6999999999999864</v>
      </c>
      <c r="C274" s="342"/>
      <c r="D274" s="359">
        <f t="shared" ca="1" si="124"/>
        <v>14.87425768861088</v>
      </c>
      <c r="E274" s="360">
        <f t="shared" ca="1" si="125"/>
        <v>55.198319596040136</v>
      </c>
      <c r="F274" s="357">
        <f t="shared" ca="1" si="126"/>
        <v>57.167281096915815</v>
      </c>
      <c r="G274" s="359">
        <f t="shared" ca="1" si="127"/>
        <v>45.217328660604927</v>
      </c>
      <c r="H274" s="360">
        <f t="shared" ca="1" si="128"/>
        <v>197.52537905929779</v>
      </c>
      <c r="I274" s="357">
        <f t="shared" ca="1" si="129"/>
        <v>202.63484938114777</v>
      </c>
      <c r="J274" s="359">
        <f t="shared" ca="1" si="130"/>
        <v>60.343702967419766</v>
      </c>
      <c r="K274" s="360">
        <f t="shared" ca="1" si="131"/>
        <v>280.43126011250763</v>
      </c>
      <c r="L274" s="357">
        <f t="shared" ca="1" si="116"/>
        <v>286.85022945103094</v>
      </c>
      <c r="M274" s="359">
        <f t="shared" ca="1" si="132"/>
        <v>1.3457547901827518</v>
      </c>
      <c r="N274" s="357">
        <f t="shared" ca="1" si="133"/>
        <v>77.106069736985305</v>
      </c>
      <c r="O274" s="343"/>
      <c r="P274" s="363">
        <f t="shared" ca="1" si="134"/>
        <v>9</v>
      </c>
      <c r="Q274" s="357">
        <f t="shared" ca="1" si="135"/>
        <v>791.1750000000028</v>
      </c>
      <c r="R274" s="359">
        <f t="shared" ca="1" si="136"/>
        <v>0.3963250815017873</v>
      </c>
      <c r="S274" s="360">
        <f t="shared" ca="1" si="137"/>
        <v>10.212776063020115</v>
      </c>
      <c r="T274" s="357">
        <f t="shared" ca="1" si="117"/>
        <v>100.18733317822733</v>
      </c>
      <c r="U274" s="364">
        <f t="shared" ca="1" si="118"/>
        <v>0</v>
      </c>
      <c r="V274" s="359">
        <f t="shared" ca="1" si="119"/>
        <v>1.191122190476938</v>
      </c>
      <c r="W274" s="357">
        <f t="shared" ca="1" si="120"/>
        <v>110.70422840480575</v>
      </c>
      <c r="X274" s="343"/>
      <c r="Y274" s="367" t="str">
        <f t="shared" ca="1" si="138"/>
        <v/>
      </c>
      <c r="Z274" s="368" t="str">
        <f t="shared" ca="1" si="139"/>
        <v/>
      </c>
      <c r="AA274" s="369" t="str">
        <f t="shared" ca="1" si="140"/>
        <v/>
      </c>
      <c r="AB274" s="344"/>
      <c r="AC274" s="363" t="e">
        <f t="shared" ca="1" si="141"/>
        <v>#N/A</v>
      </c>
      <c r="AD274" s="376" t="e">
        <f t="shared" ca="1" si="142"/>
        <v>#N/A</v>
      </c>
      <c r="AE274" s="377">
        <f t="shared" ca="1" si="121"/>
        <v>280.43126011250763</v>
      </c>
      <c r="AF274" s="344"/>
      <c r="AG274" s="359">
        <f t="shared" ca="1" si="143"/>
        <v>57.125392931489415</v>
      </c>
      <c r="AH274" s="357">
        <f t="shared" ca="1" si="144"/>
        <v>66.688268522192843</v>
      </c>
    </row>
    <row r="275" spans="1:34" x14ac:dyDescent="0.25">
      <c r="A275" s="402">
        <f t="shared" ca="1" si="122"/>
        <v>0.01</v>
      </c>
      <c r="B275" s="357">
        <f t="shared" ca="1" si="123"/>
        <v>2.7099999999999862</v>
      </c>
      <c r="C275" s="342"/>
      <c r="D275" s="359">
        <f t="shared" ca="1" si="124"/>
        <v>14.829080494864167</v>
      </c>
      <c r="E275" s="360">
        <f t="shared" ca="1" si="125"/>
        <v>54.968699507758501</v>
      </c>
      <c r="F275" s="357">
        <f t="shared" ca="1" si="126"/>
        <v>56.93381731359149</v>
      </c>
      <c r="G275" s="359">
        <f t="shared" ca="1" si="127"/>
        <v>45.365619465553571</v>
      </c>
      <c r="H275" s="360">
        <f t="shared" ca="1" si="128"/>
        <v>198.07506605437538</v>
      </c>
      <c r="I275" s="357">
        <f t="shared" ca="1" si="129"/>
        <v>203.20376773558749</v>
      </c>
      <c r="J275" s="359">
        <f t="shared" ca="1" si="130"/>
        <v>60.796617708050562</v>
      </c>
      <c r="K275" s="360">
        <f t="shared" ca="1" si="131"/>
        <v>282.40926233807602</v>
      </c>
      <c r="L275" s="357">
        <f t="shared" ca="1" si="116"/>
        <v>288.87924843968125</v>
      </c>
      <c r="M275" s="359">
        <f t="shared" ca="1" si="132"/>
        <v>1.3456470623269809</v>
      </c>
      <c r="N275" s="357">
        <f t="shared" ca="1" si="133"/>
        <v>77.099897385513643</v>
      </c>
      <c r="O275" s="343"/>
      <c r="P275" s="363">
        <f t="shared" ca="1" si="134"/>
        <v>9</v>
      </c>
      <c r="Q275" s="357">
        <f t="shared" ca="1" si="135"/>
        <v>789.12500000000284</v>
      </c>
      <c r="R275" s="359">
        <f t="shared" ca="1" si="136"/>
        <v>0.39529817036698317</v>
      </c>
      <c r="S275" s="360">
        <f t="shared" ca="1" si="137"/>
        <v>10.208823081316446</v>
      </c>
      <c r="T275" s="357">
        <f t="shared" ca="1" si="117"/>
        <v>100.14855442771434</v>
      </c>
      <c r="U275" s="364">
        <f t="shared" ca="1" si="118"/>
        <v>0</v>
      </c>
      <c r="V275" s="359">
        <f t="shared" ca="1" si="119"/>
        <v>1.1908865628940315</v>
      </c>
      <c r="W275" s="357">
        <f t="shared" ca="1" si="120"/>
        <v>111.304705616625</v>
      </c>
      <c r="X275" s="343"/>
      <c r="Y275" s="367" t="str">
        <f t="shared" ca="1" si="138"/>
        <v/>
      </c>
      <c r="Z275" s="368" t="str">
        <f t="shared" ca="1" si="139"/>
        <v/>
      </c>
      <c r="AA275" s="369" t="str">
        <f t="shared" ca="1" si="140"/>
        <v/>
      </c>
      <c r="AB275" s="344"/>
      <c r="AC275" s="363" t="e">
        <f t="shared" ca="1" si="141"/>
        <v>#N/A</v>
      </c>
      <c r="AD275" s="376" t="e">
        <f t="shared" ca="1" si="142"/>
        <v>#N/A</v>
      </c>
      <c r="AE275" s="377">
        <f t="shared" ca="1" si="121"/>
        <v>282.40926233807602</v>
      </c>
      <c r="AF275" s="344"/>
      <c r="AG275" s="359">
        <f t="shared" ca="1" si="143"/>
        <v>56.891717532028864</v>
      </c>
      <c r="AH275" s="357">
        <f t="shared" ca="1" si="144"/>
        <v>66.454356804047336</v>
      </c>
    </row>
    <row r="276" spans="1:34" x14ac:dyDescent="0.25">
      <c r="A276" s="402">
        <f t="shared" ca="1" si="122"/>
        <v>0.01</v>
      </c>
      <c r="B276" s="357">
        <f t="shared" ca="1" si="123"/>
        <v>2.719999999999986</v>
      </c>
      <c r="C276" s="342"/>
      <c r="D276" s="359">
        <f t="shared" ca="1" si="124"/>
        <v>14.783806463034162</v>
      </c>
      <c r="E276" s="360">
        <f t="shared" ca="1" si="125"/>
        <v>54.738957474813603</v>
      </c>
      <c r="F276" s="357">
        <f t="shared" ca="1" si="126"/>
        <v>56.700215158021251</v>
      </c>
      <c r="G276" s="359">
        <f t="shared" ca="1" si="127"/>
        <v>45.513457530183913</v>
      </c>
      <c r="H276" s="360">
        <f t="shared" ca="1" si="128"/>
        <v>198.62245562912352</v>
      </c>
      <c r="I276" s="357">
        <f t="shared" ca="1" si="129"/>
        <v>203.77034793240892</v>
      </c>
      <c r="J276" s="359">
        <f t="shared" ca="1" si="130"/>
        <v>61.25101309302925</v>
      </c>
      <c r="K276" s="360">
        <f t="shared" ca="1" si="131"/>
        <v>284.3927499464935</v>
      </c>
      <c r="L276" s="357">
        <f t="shared" ca="1" si="116"/>
        <v>290.91394402305849</v>
      </c>
      <c r="M276" s="359">
        <f t="shared" ca="1" si="132"/>
        <v>1.345539583452336</v>
      </c>
      <c r="N276" s="357">
        <f t="shared" ca="1" si="133"/>
        <v>77.09373929960968</v>
      </c>
      <c r="O276" s="343"/>
      <c r="P276" s="363">
        <f t="shared" ca="1" si="134"/>
        <v>9</v>
      </c>
      <c r="Q276" s="357">
        <f t="shared" ca="1" si="135"/>
        <v>787.07500000000289</v>
      </c>
      <c r="R276" s="359">
        <f t="shared" ca="1" si="136"/>
        <v>0.39427125923217904</v>
      </c>
      <c r="S276" s="360">
        <f t="shared" ca="1" si="137"/>
        <v>10.204880368724124</v>
      </c>
      <c r="T276" s="357">
        <f t="shared" ca="1" si="117"/>
        <v>100.10987641718367</v>
      </c>
      <c r="U276" s="364">
        <f t="shared" ca="1" si="118"/>
        <v>0</v>
      </c>
      <c r="V276" s="359">
        <f t="shared" ca="1" si="119"/>
        <v>1.1906503280153289</v>
      </c>
      <c r="W276" s="357">
        <f t="shared" ca="1" si="120"/>
        <v>111.90405596159874</v>
      </c>
      <c r="X276" s="343"/>
      <c r="Y276" s="367" t="str">
        <f t="shared" ca="1" si="138"/>
        <v/>
      </c>
      <c r="Z276" s="368" t="str">
        <f t="shared" ca="1" si="139"/>
        <v/>
      </c>
      <c r="AA276" s="369" t="str">
        <f t="shared" ca="1" si="140"/>
        <v/>
      </c>
      <c r="AB276" s="344"/>
      <c r="AC276" s="363" t="e">
        <f t="shared" ca="1" si="141"/>
        <v>#N/A</v>
      </c>
      <c r="AD276" s="376" t="e">
        <f t="shared" ca="1" si="142"/>
        <v>#N/A</v>
      </c>
      <c r="AE276" s="377">
        <f t="shared" ca="1" si="121"/>
        <v>284.3927499464935</v>
      </c>
      <c r="AF276" s="344"/>
      <c r="AG276" s="359">
        <f t="shared" ca="1" si="143"/>
        <v>56.657901987362791</v>
      </c>
      <c r="AH276" s="357">
        <f t="shared" ca="1" si="144"/>
        <v>66.220305380009734</v>
      </c>
    </row>
    <row r="277" spans="1:34" x14ac:dyDescent="0.25">
      <c r="A277" s="402">
        <f t="shared" ca="1" si="122"/>
        <v>0.01</v>
      </c>
      <c r="B277" s="357">
        <f t="shared" ca="1" si="123"/>
        <v>2.7299999999999858</v>
      </c>
      <c r="C277" s="342"/>
      <c r="D277" s="359">
        <f t="shared" ca="1" si="124"/>
        <v>14.738436516412023</v>
      </c>
      <c r="E277" s="360">
        <f t="shared" ca="1" si="125"/>
        <v>54.509096194401351</v>
      </c>
      <c r="F277" s="357">
        <f t="shared" ca="1" si="126"/>
        <v>56.466477478932639</v>
      </c>
      <c r="G277" s="359">
        <f t="shared" ca="1" si="127"/>
        <v>45.660841895348035</v>
      </c>
      <c r="H277" s="360">
        <f t="shared" ca="1" si="128"/>
        <v>199.16754659106755</v>
      </c>
      <c r="I277" s="357">
        <f t="shared" ca="1" si="129"/>
        <v>204.33458859844811</v>
      </c>
      <c r="J277" s="359">
        <f t="shared" ca="1" si="130"/>
        <v>61.706884590156911</v>
      </c>
      <c r="K277" s="360">
        <f t="shared" ca="1" si="131"/>
        <v>286.38169995759444</v>
      </c>
      <c r="L277" s="357">
        <f t="shared" ca="1" si="116"/>
        <v>292.95429281105373</v>
      </c>
      <c r="M277" s="359">
        <f t="shared" ca="1" si="132"/>
        <v>1.3454323510680937</v>
      </c>
      <c r="N277" s="357">
        <f t="shared" ca="1" si="133"/>
        <v>77.087595336565471</v>
      </c>
      <c r="O277" s="343"/>
      <c r="P277" s="363">
        <f t="shared" ca="1" si="134"/>
        <v>9</v>
      </c>
      <c r="Q277" s="357">
        <f t="shared" ca="1" si="135"/>
        <v>785.02500000000293</v>
      </c>
      <c r="R277" s="359">
        <f t="shared" ca="1" si="136"/>
        <v>0.39324434809737496</v>
      </c>
      <c r="S277" s="360">
        <f t="shared" ca="1" si="137"/>
        <v>10.200947925243151</v>
      </c>
      <c r="T277" s="357">
        <f t="shared" ca="1" si="117"/>
        <v>100.07129914663531</v>
      </c>
      <c r="U277" s="364">
        <f t="shared" ca="1" si="118"/>
        <v>0</v>
      </c>
      <c r="V277" s="359">
        <f t="shared" ca="1" si="119"/>
        <v>1.1904134889467466</v>
      </c>
      <c r="W277" s="357">
        <f t="shared" ca="1" si="120"/>
        <v>112.50225634321116</v>
      </c>
      <c r="X277" s="343"/>
      <c r="Y277" s="367" t="str">
        <f t="shared" ca="1" si="138"/>
        <v/>
      </c>
      <c r="Z277" s="368" t="str">
        <f t="shared" ca="1" si="139"/>
        <v/>
      </c>
      <c r="AA277" s="369" t="str">
        <f t="shared" ca="1" si="140"/>
        <v/>
      </c>
      <c r="AB277" s="344"/>
      <c r="AC277" s="363" t="e">
        <f t="shared" ca="1" si="141"/>
        <v>#N/A</v>
      </c>
      <c r="AD277" s="376" t="e">
        <f t="shared" ca="1" si="142"/>
        <v>#N/A</v>
      </c>
      <c r="AE277" s="377">
        <f t="shared" ca="1" si="121"/>
        <v>286.38169995759444</v>
      </c>
      <c r="AF277" s="344"/>
      <c r="AG277" s="359">
        <f t="shared" ca="1" si="143"/>
        <v>56.423949123946606</v>
      </c>
      <c r="AH277" s="357">
        <f t="shared" ca="1" si="144"/>
        <v>65.98611707179748</v>
      </c>
    </row>
    <row r="278" spans="1:34" x14ac:dyDescent="0.25">
      <c r="A278" s="402">
        <f t="shared" ca="1" si="122"/>
        <v>0.01</v>
      </c>
      <c r="B278" s="357">
        <f t="shared" ca="1" si="123"/>
        <v>2.7399999999999856</v>
      </c>
      <c r="C278" s="342"/>
      <c r="D278" s="359">
        <f t="shared" ca="1" si="124"/>
        <v>14.692971573891777</v>
      </c>
      <c r="E278" s="360">
        <f t="shared" ca="1" si="125"/>
        <v>54.279118356848841</v>
      </c>
      <c r="F278" s="357">
        <f t="shared" ca="1" si="126"/>
        <v>56.232607117827968</v>
      </c>
      <c r="G278" s="359">
        <f t="shared" ca="1" si="127"/>
        <v>45.807771611086956</v>
      </c>
      <c r="H278" s="360">
        <f t="shared" ca="1" si="128"/>
        <v>199.71033777463603</v>
      </c>
      <c r="I278" s="357">
        <f t="shared" ca="1" si="129"/>
        <v>204.89648838872938</v>
      </c>
      <c r="J278" s="359">
        <f t="shared" ca="1" si="130"/>
        <v>62.164227657689082</v>
      </c>
      <c r="K278" s="360">
        <f t="shared" ca="1" si="131"/>
        <v>288.37608937942298</v>
      </c>
      <c r="L278" s="357">
        <f t="shared" ca="1" si="116"/>
        <v>295.00027139995302</v>
      </c>
      <c r="M278" s="359">
        <f t="shared" ca="1" si="132"/>
        <v>1.3453253627106772</v>
      </c>
      <c r="N278" s="357">
        <f t="shared" ca="1" si="133"/>
        <v>77.08146535522846</v>
      </c>
      <c r="O278" s="343"/>
      <c r="P278" s="363">
        <f t="shared" ca="1" si="134"/>
        <v>9</v>
      </c>
      <c r="Q278" s="357">
        <f t="shared" ca="1" si="135"/>
        <v>782.97500000000298</v>
      </c>
      <c r="R278" s="359">
        <f t="shared" ca="1" si="136"/>
        <v>0.39221743696257083</v>
      </c>
      <c r="S278" s="360">
        <f t="shared" ca="1" si="137"/>
        <v>10.197025750873525</v>
      </c>
      <c r="T278" s="357">
        <f t="shared" ca="1" si="117"/>
        <v>100.03282261606928</v>
      </c>
      <c r="U278" s="364">
        <f t="shared" ca="1" si="118"/>
        <v>0</v>
      </c>
      <c r="V278" s="359">
        <f t="shared" ca="1" si="119"/>
        <v>1.1901760487942927</v>
      </c>
      <c r="W278" s="357">
        <f t="shared" ca="1" si="120"/>
        <v>113.09928379509344</v>
      </c>
      <c r="X278" s="343"/>
      <c r="Y278" s="367" t="str">
        <f t="shared" ca="1" si="138"/>
        <v/>
      </c>
      <c r="Z278" s="368" t="str">
        <f t="shared" ca="1" si="139"/>
        <v/>
      </c>
      <c r="AA278" s="369" t="str">
        <f t="shared" ca="1" si="140"/>
        <v/>
      </c>
      <c r="AB278" s="344"/>
      <c r="AC278" s="363" t="e">
        <f t="shared" ca="1" si="141"/>
        <v>#N/A</v>
      </c>
      <c r="AD278" s="376" t="e">
        <f t="shared" ca="1" si="142"/>
        <v>#N/A</v>
      </c>
      <c r="AE278" s="377">
        <f t="shared" ca="1" si="121"/>
        <v>288.37608937942298</v>
      </c>
      <c r="AF278" s="344"/>
      <c r="AG278" s="359">
        <f t="shared" ca="1" si="143"/>
        <v>56.189861760659731</v>
      </c>
      <c r="AH278" s="357">
        <f t="shared" ca="1" si="144"/>
        <v>65.751794693600345</v>
      </c>
    </row>
    <row r="279" spans="1:34" x14ac:dyDescent="0.25">
      <c r="A279" s="402">
        <f t="shared" ca="1" si="122"/>
        <v>0.01</v>
      </c>
      <c r="B279" s="357">
        <f t="shared" ca="1" si="123"/>
        <v>2.7499999999999853</v>
      </c>
      <c r="C279" s="342"/>
      <c r="D279" s="359">
        <f t="shared" ca="1" si="124"/>
        <v>14.647412549995741</v>
      </c>
      <c r="E279" s="360">
        <f t="shared" ca="1" si="125"/>
        <v>54.049026645515575</v>
      </c>
      <c r="F279" s="357">
        <f t="shared" ca="1" si="126"/>
        <v>55.998606908899312</v>
      </c>
      <c r="G279" s="359">
        <f t="shared" ca="1" si="127"/>
        <v>45.954245736586913</v>
      </c>
      <c r="H279" s="360">
        <f t="shared" ca="1" si="128"/>
        <v>200.25082804109118</v>
      </c>
      <c r="I279" s="357">
        <f t="shared" ca="1" si="129"/>
        <v>205.45604598638923</v>
      </c>
      <c r="J279" s="359">
        <f t="shared" ca="1" si="130"/>
        <v>62.62303774442745</v>
      </c>
      <c r="K279" s="360">
        <f t="shared" ca="1" si="131"/>
        <v>290.37589520850162</v>
      </c>
      <c r="L279" s="357">
        <f t="shared" ca="1" si="116"/>
        <v>297.05185637271939</v>
      </c>
      <c r="M279" s="359">
        <f t="shared" ca="1" si="132"/>
        <v>1.3452186159432253</v>
      </c>
      <c r="N279" s="357">
        <f t="shared" ca="1" si="133"/>
        <v>77.075349215976814</v>
      </c>
      <c r="O279" s="343"/>
      <c r="P279" s="363">
        <f t="shared" ca="1" si="134"/>
        <v>9</v>
      </c>
      <c r="Q279" s="357">
        <f t="shared" ca="1" si="135"/>
        <v>780.92500000000302</v>
      </c>
      <c r="R279" s="359">
        <f t="shared" ca="1" si="136"/>
        <v>0.3911905258277667</v>
      </c>
      <c r="S279" s="360">
        <f t="shared" ca="1" si="137"/>
        <v>10.193113845615247</v>
      </c>
      <c r="T279" s="357">
        <f t="shared" ca="1" si="117"/>
        <v>99.994446825485582</v>
      </c>
      <c r="U279" s="364">
        <f t="shared" ca="1" si="118"/>
        <v>0</v>
      </c>
      <c r="V279" s="359">
        <f t="shared" ca="1" si="119"/>
        <v>1.1899380106640201</v>
      </c>
      <c r="W279" s="357">
        <f t="shared" ca="1" si="120"/>
        <v>113.69511548152362</v>
      </c>
      <c r="X279" s="343"/>
      <c r="Y279" s="367" t="str">
        <f t="shared" ca="1" si="138"/>
        <v/>
      </c>
      <c r="Z279" s="368" t="str">
        <f t="shared" ca="1" si="139"/>
        <v/>
      </c>
      <c r="AA279" s="369" t="str">
        <f t="shared" ca="1" si="140"/>
        <v/>
      </c>
      <c r="AB279" s="344"/>
      <c r="AC279" s="363" t="e">
        <f t="shared" ca="1" si="141"/>
        <v>#N/A</v>
      </c>
      <c r="AD279" s="376" t="e">
        <f t="shared" ca="1" si="142"/>
        <v>#N/A</v>
      </c>
      <c r="AE279" s="377">
        <f t="shared" ca="1" si="121"/>
        <v>290.37589520850162</v>
      </c>
      <c r="AF279" s="344"/>
      <c r="AG279" s="359">
        <f t="shared" ca="1" si="143"/>
        <v>55.955642708713434</v>
      </c>
      <c r="AH279" s="357">
        <f t="shared" ca="1" si="144"/>
        <v>65.517341051987458</v>
      </c>
    </row>
    <row r="280" spans="1:34" x14ac:dyDescent="0.25">
      <c r="A280" s="402">
        <f t="shared" ca="1" si="122"/>
        <v>0.01</v>
      </c>
      <c r="B280" s="357">
        <f t="shared" ca="1" si="123"/>
        <v>2.7599999999999851</v>
      </c>
      <c r="C280" s="342"/>
      <c r="D280" s="359">
        <f t="shared" ca="1" si="124"/>
        <v>14.601760354899019</v>
      </c>
      <c r="E280" s="360">
        <f t="shared" ca="1" si="125"/>
        <v>53.818823736696089</v>
      </c>
      <c r="F280" s="357">
        <f t="shared" ca="1" si="126"/>
        <v>55.764479678944937</v>
      </c>
      <c r="G280" s="359">
        <f t="shared" ca="1" si="127"/>
        <v>46.100263340135903</v>
      </c>
      <c r="H280" s="360">
        <f t="shared" ca="1" si="128"/>
        <v>200.78901627845815</v>
      </c>
      <c r="I280" s="357">
        <f t="shared" ca="1" si="129"/>
        <v>206.01326010259828</v>
      </c>
      <c r="J280" s="359">
        <f t="shared" ca="1" si="130"/>
        <v>63.083310289811067</v>
      </c>
      <c r="K280" s="360">
        <f t="shared" ca="1" si="131"/>
        <v>292.38109443009938</v>
      </c>
      <c r="L280" s="357">
        <f t="shared" ca="1" si="116"/>
        <v>299.1090242992733</v>
      </c>
      <c r="M280" s="359">
        <f t="shared" ca="1" si="132"/>
        <v>1.3451121083551687</v>
      </c>
      <c r="N280" s="357">
        <f t="shared" ca="1" si="133"/>
        <v>77.069246780695039</v>
      </c>
      <c r="O280" s="343"/>
      <c r="P280" s="363">
        <f t="shared" ca="1" si="134"/>
        <v>9</v>
      </c>
      <c r="Q280" s="357">
        <f t="shared" ca="1" si="135"/>
        <v>778.87500000000307</v>
      </c>
      <c r="R280" s="359">
        <f t="shared" ca="1" si="136"/>
        <v>0.39016361469296262</v>
      </c>
      <c r="S280" s="360">
        <f t="shared" ca="1" si="137"/>
        <v>10.189212209468318</v>
      </c>
      <c r="T280" s="357">
        <f t="shared" ca="1" si="117"/>
        <v>99.956171774884197</v>
      </c>
      <c r="U280" s="364">
        <f t="shared" ca="1" si="118"/>
        <v>0</v>
      </c>
      <c r="V280" s="359">
        <f t="shared" ca="1" si="119"/>
        <v>1.1896993776619755</v>
      </c>
      <c r="W280" s="357">
        <f t="shared" ca="1" si="120"/>
        <v>114.28972869791536</v>
      </c>
      <c r="X280" s="343"/>
      <c r="Y280" s="367" t="str">
        <f t="shared" ca="1" si="138"/>
        <v/>
      </c>
      <c r="Z280" s="368" t="str">
        <f t="shared" ca="1" si="139"/>
        <v/>
      </c>
      <c r="AA280" s="369" t="str">
        <f t="shared" ca="1" si="140"/>
        <v/>
      </c>
      <c r="AB280" s="344"/>
      <c r="AC280" s="363" t="e">
        <f t="shared" ca="1" si="141"/>
        <v>#N/A</v>
      </c>
      <c r="AD280" s="376" t="e">
        <f t="shared" ca="1" si="142"/>
        <v>#N/A</v>
      </c>
      <c r="AE280" s="377">
        <f t="shared" ca="1" si="121"/>
        <v>292.38109443009938</v>
      </c>
      <c r="AF280" s="344"/>
      <c r="AG280" s="359">
        <f t="shared" ca="1" si="143"/>
        <v>55.721294771559641</v>
      </c>
      <c r="AH280" s="357">
        <f t="shared" ca="1" si="144"/>
        <v>65.282758945815402</v>
      </c>
    </row>
    <row r="281" spans="1:34" x14ac:dyDescent="0.25">
      <c r="A281" s="402">
        <f t="shared" ca="1" si="122"/>
        <v>0.01</v>
      </c>
      <c r="B281" s="357">
        <f t="shared" ca="1" si="123"/>
        <v>2.7699999999999849</v>
      </c>
      <c r="C281" s="342"/>
      <c r="D281" s="359">
        <f t="shared" ca="1" si="124"/>
        <v>14.556015894453269</v>
      </c>
      <c r="E281" s="360">
        <f t="shared" ca="1" si="125"/>
        <v>53.588512299523401</v>
      </c>
      <c r="F281" s="357">
        <f t="shared" ca="1" si="126"/>
        <v>55.530228247286608</v>
      </c>
      <c r="G281" s="359">
        <f t="shared" ca="1" si="127"/>
        <v>46.245823499080437</v>
      </c>
      <c r="H281" s="360">
        <f t="shared" ca="1" si="128"/>
        <v>201.32490140145339</v>
      </c>
      <c r="I281" s="357">
        <f t="shared" ca="1" si="129"/>
        <v>206.56812947648297</v>
      </c>
      <c r="J281" s="359">
        <f t="shared" ca="1" si="130"/>
        <v>63.545040724007151</v>
      </c>
      <c r="K281" s="360">
        <f t="shared" ca="1" si="131"/>
        <v>294.39166401849894</v>
      </c>
      <c r="L281" s="357">
        <f t="shared" ca="1" si="116"/>
        <v>301.1717517367731</v>
      </c>
      <c r="M281" s="359">
        <f t="shared" ca="1" si="132"/>
        <v>1.345005837561813</v>
      </c>
      <c r="N281" s="357">
        <f t="shared" ca="1" si="133"/>
        <v>77.063157912750256</v>
      </c>
      <c r="O281" s="343"/>
      <c r="P281" s="363">
        <f t="shared" ca="1" si="134"/>
        <v>9</v>
      </c>
      <c r="Q281" s="357">
        <f t="shared" ca="1" si="135"/>
        <v>776.82500000000312</v>
      </c>
      <c r="R281" s="359">
        <f t="shared" ca="1" si="136"/>
        <v>0.38913670355815849</v>
      </c>
      <c r="S281" s="360">
        <f t="shared" ca="1" si="137"/>
        <v>10.185320842432736</v>
      </c>
      <c r="T281" s="357">
        <f t="shared" ca="1" si="117"/>
        <v>99.917997464265142</v>
      </c>
      <c r="U281" s="364">
        <f t="shared" ca="1" si="118"/>
        <v>0</v>
      </c>
      <c r="V281" s="359">
        <f t="shared" ca="1" si="119"/>
        <v>1.1894601528941566</v>
      </c>
      <c r="W281" s="357">
        <f t="shared" ca="1" si="120"/>
        <v>114.88310087129734</v>
      </c>
      <c r="X281" s="343"/>
      <c r="Y281" s="367" t="str">
        <f t="shared" ca="1" si="138"/>
        <v/>
      </c>
      <c r="Z281" s="368" t="str">
        <f t="shared" ca="1" si="139"/>
        <v/>
      </c>
      <c r="AA281" s="369" t="str">
        <f t="shared" ca="1" si="140"/>
        <v/>
      </c>
      <c r="AB281" s="344"/>
      <c r="AC281" s="363" t="e">
        <f t="shared" ca="1" si="141"/>
        <v>#N/A</v>
      </c>
      <c r="AD281" s="376" t="e">
        <f t="shared" ca="1" si="142"/>
        <v>#N/A</v>
      </c>
      <c r="AE281" s="377">
        <f t="shared" ca="1" si="121"/>
        <v>294.39166401849894</v>
      </c>
      <c r="AF281" s="344"/>
      <c r="AG281" s="359">
        <f t="shared" ca="1" si="143"/>
        <v>55.486820744800625</v>
      </c>
      <c r="AH281" s="357">
        <f t="shared" ca="1" si="144"/>
        <v>65.048051166137142</v>
      </c>
    </row>
    <row r="282" spans="1:34" x14ac:dyDescent="0.25">
      <c r="A282" s="402">
        <f t="shared" ca="1" si="122"/>
        <v>0.01</v>
      </c>
      <c r="B282" s="357">
        <f t="shared" ca="1" si="123"/>
        <v>2.7799999999999847</v>
      </c>
      <c r="C282" s="342"/>
      <c r="D282" s="359">
        <f t="shared" ca="1" si="124"/>
        <v>14.510180070209746</v>
      </c>
      <c r="E282" s="360">
        <f t="shared" ca="1" si="125"/>
        <v>53.358094995873479</v>
      </c>
      <c r="F282" s="357">
        <f t="shared" ca="1" si="126"/>
        <v>55.295855425687833</v>
      </c>
      <c r="G282" s="359">
        <f t="shared" ca="1" si="127"/>
        <v>46.390925299782538</v>
      </c>
      <c r="H282" s="360">
        <f t="shared" ca="1" si="128"/>
        <v>201.85848235141214</v>
      </c>
      <c r="I282" s="357">
        <f t="shared" ca="1" si="129"/>
        <v>207.12065287504615</v>
      </c>
      <c r="J282" s="359">
        <f t="shared" ca="1" si="130"/>
        <v>64.008224468001472</v>
      </c>
      <c r="K282" s="360">
        <f t="shared" ca="1" si="131"/>
        <v>296.40758093726328</v>
      </c>
      <c r="L282" s="357">
        <f t="shared" ca="1" si="116"/>
        <v>303.24001522989397</v>
      </c>
      <c r="M282" s="359">
        <f t="shared" ca="1" si="132"/>
        <v>1.3448998012039324</v>
      </c>
      <c r="N282" s="357">
        <f t="shared" ca="1" si="133"/>
        <v>77.057082476968759</v>
      </c>
      <c r="O282" s="343"/>
      <c r="P282" s="363">
        <f t="shared" ca="1" si="134"/>
        <v>9</v>
      </c>
      <c r="Q282" s="357">
        <f t="shared" ca="1" si="135"/>
        <v>774.77500000000316</v>
      </c>
      <c r="R282" s="359">
        <f t="shared" ca="1" si="136"/>
        <v>0.38810979242335442</v>
      </c>
      <c r="S282" s="360">
        <f t="shared" ca="1" si="137"/>
        <v>10.181439744508502</v>
      </c>
      <c r="T282" s="357">
        <f t="shared" ca="1" si="117"/>
        <v>99.879923893628415</v>
      </c>
      <c r="U282" s="364">
        <f t="shared" ca="1" si="118"/>
        <v>0</v>
      </c>
      <c r="V282" s="359">
        <f t="shared" ca="1" si="119"/>
        <v>1.1892203394664604</v>
      </c>
      <c r="W282" s="357">
        <f t="shared" ca="1" si="120"/>
        <v>115.47520956078147</v>
      </c>
      <c r="X282" s="343"/>
      <c r="Y282" s="367" t="str">
        <f t="shared" ca="1" si="138"/>
        <v/>
      </c>
      <c r="Z282" s="368" t="str">
        <f t="shared" ca="1" si="139"/>
        <v/>
      </c>
      <c r="AA282" s="369" t="str">
        <f t="shared" ca="1" si="140"/>
        <v/>
      </c>
      <c r="AB282" s="344"/>
      <c r="AC282" s="363" t="e">
        <f t="shared" ca="1" si="141"/>
        <v>#N/A</v>
      </c>
      <c r="AD282" s="376" t="e">
        <f t="shared" ca="1" si="142"/>
        <v>#N/A</v>
      </c>
      <c r="AE282" s="377">
        <f t="shared" ca="1" si="121"/>
        <v>296.40758093726328</v>
      </c>
      <c r="AF282" s="344"/>
      <c r="AG282" s="359">
        <f t="shared" ca="1" si="143"/>
        <v>55.252223416099504</v>
      </c>
      <c r="AH282" s="357">
        <f t="shared" ca="1" si="144"/>
        <v>64.813220496111811</v>
      </c>
    </row>
    <row r="283" spans="1:34" x14ac:dyDescent="0.25">
      <c r="A283" s="402">
        <f t="shared" ca="1" si="122"/>
        <v>0.01</v>
      </c>
      <c r="B283" s="357">
        <f t="shared" ca="1" si="123"/>
        <v>2.7899999999999845</v>
      </c>
      <c r="C283" s="342"/>
      <c r="D283" s="359">
        <f t="shared" ca="1" si="124"/>
        <v>14.464253779441572</v>
      </c>
      <c r="E283" s="360">
        <f t="shared" ca="1" si="125"/>
        <v>53.127574480271022</v>
      </c>
      <c r="F283" s="357">
        <f t="shared" ca="1" si="126"/>
        <v>55.061364018273601</v>
      </c>
      <c r="G283" s="359">
        <f t="shared" ca="1" si="127"/>
        <v>46.535567837576956</v>
      </c>
      <c r="H283" s="360">
        <f t="shared" ca="1" si="128"/>
        <v>202.38975809621485</v>
      </c>
      <c r="I283" s="357">
        <f t="shared" ca="1" si="129"/>
        <v>207.67082909308684</v>
      </c>
      <c r="J283" s="359">
        <f t="shared" ca="1" si="130"/>
        <v>64.472856933688263</v>
      </c>
      <c r="K283" s="360">
        <f t="shared" ca="1" si="131"/>
        <v>298.42882213950139</v>
      </c>
      <c r="L283" s="357">
        <f t="shared" ca="1" si="116"/>
        <v>305.31379131110668</v>
      </c>
      <c r="M283" s="359">
        <f t="shared" ca="1" si="132"/>
        <v>1.3447939969473686</v>
      </c>
      <c r="N283" s="357">
        <f t="shared" ca="1" si="133"/>
        <v>77.051020339613132</v>
      </c>
      <c r="O283" s="343"/>
      <c r="P283" s="363">
        <f t="shared" ca="1" si="134"/>
        <v>9</v>
      </c>
      <c r="Q283" s="357">
        <f t="shared" ca="1" si="135"/>
        <v>772.72500000000321</v>
      </c>
      <c r="R283" s="359">
        <f t="shared" ca="1" si="136"/>
        <v>0.38708288128855028</v>
      </c>
      <c r="S283" s="360">
        <f t="shared" ca="1" si="137"/>
        <v>10.177568915695616</v>
      </c>
      <c r="T283" s="357">
        <f t="shared" ca="1" si="117"/>
        <v>99.841951062974005</v>
      </c>
      <c r="U283" s="364">
        <f t="shared" ca="1" si="118"/>
        <v>0</v>
      </c>
      <c r="V283" s="359">
        <f t="shared" ca="1" si="119"/>
        <v>1.1889799404846395</v>
      </c>
      <c r="W283" s="357">
        <f t="shared" ca="1" si="120"/>
        <v>116.0660324580215</v>
      </c>
      <c r="X283" s="343"/>
      <c r="Y283" s="367" t="str">
        <f t="shared" ca="1" si="138"/>
        <v/>
      </c>
      <c r="Z283" s="368" t="str">
        <f t="shared" ca="1" si="139"/>
        <v/>
      </c>
      <c r="AA283" s="369" t="str">
        <f t="shared" ca="1" si="140"/>
        <v/>
      </c>
      <c r="AB283" s="344"/>
      <c r="AC283" s="363" t="e">
        <f t="shared" ca="1" si="141"/>
        <v>#N/A</v>
      </c>
      <c r="AD283" s="376" t="e">
        <f t="shared" ca="1" si="142"/>
        <v>#N/A</v>
      </c>
      <c r="AE283" s="377">
        <f t="shared" ca="1" si="121"/>
        <v>298.42882213950139</v>
      </c>
      <c r="AF283" s="344"/>
      <c r="AG283" s="359">
        <f t="shared" ca="1" si="143"/>
        <v>55.017505565091774</v>
      </c>
      <c r="AH283" s="357">
        <f t="shared" ca="1" si="144"/>
        <v>64.578269710915549</v>
      </c>
    </row>
    <row r="284" spans="1:34" x14ac:dyDescent="0.25">
      <c r="A284" s="402">
        <f t="shared" ca="1" si="122"/>
        <v>0.01</v>
      </c>
      <c r="B284" s="357">
        <f t="shared" ca="1" si="123"/>
        <v>2.7999999999999843</v>
      </c>
      <c r="C284" s="342"/>
      <c r="D284" s="359">
        <f t="shared" ca="1" si="124"/>
        <v>14.41823791516536</v>
      </c>
      <c r="E284" s="360">
        <f t="shared" ca="1" si="125"/>
        <v>52.896953399796111</v>
      </c>
      <c r="F284" s="357">
        <f t="shared" ca="1" si="126"/>
        <v>54.826756821450907</v>
      </c>
      <c r="G284" s="359">
        <f t="shared" ca="1" si="127"/>
        <v>46.679750216728607</v>
      </c>
      <c r="H284" s="360">
        <f t="shared" ca="1" si="128"/>
        <v>202.9187276302128</v>
      </c>
      <c r="I284" s="357">
        <f t="shared" ca="1" si="129"/>
        <v>208.21865695311902</v>
      </c>
      <c r="J284" s="359">
        <f t="shared" ca="1" si="130"/>
        <v>64.93893352395979</v>
      </c>
      <c r="K284" s="360">
        <f t="shared" ca="1" si="131"/>
        <v>300.45536456813352</v>
      </c>
      <c r="L284" s="357">
        <f t="shared" ca="1" si="116"/>
        <v>307.39305650095497</v>
      </c>
      <c r="M284" s="359">
        <f t="shared" ca="1" si="132"/>
        <v>1.3446884224826396</v>
      </c>
      <c r="N284" s="357">
        <f t="shared" ca="1" si="133"/>
        <v>77.044971368359811</v>
      </c>
      <c r="O284" s="343"/>
      <c r="P284" s="363">
        <f t="shared" ca="1" si="134"/>
        <v>9</v>
      </c>
      <c r="Q284" s="357">
        <f t="shared" ca="1" si="135"/>
        <v>770.67500000000325</v>
      </c>
      <c r="R284" s="359">
        <f t="shared" ca="1" si="136"/>
        <v>0.38605597015374615</v>
      </c>
      <c r="S284" s="360">
        <f t="shared" ca="1" si="137"/>
        <v>10.173708355994078</v>
      </c>
      <c r="T284" s="357">
        <f t="shared" ca="1" si="117"/>
        <v>99.804078972301909</v>
      </c>
      <c r="U284" s="364">
        <f t="shared" ca="1" si="118"/>
        <v>0</v>
      </c>
      <c r="V284" s="359">
        <f t="shared" ca="1" si="119"/>
        <v>1.1887389590542525</v>
      </c>
      <c r="W284" s="357">
        <f t="shared" ca="1" si="120"/>
        <v>116.65554738766093</v>
      </c>
      <c r="X284" s="343"/>
      <c r="Y284" s="367" t="str">
        <f t="shared" ca="1" si="138"/>
        <v/>
      </c>
      <c r="Z284" s="368" t="str">
        <f t="shared" ca="1" si="139"/>
        <v/>
      </c>
      <c r="AA284" s="369" t="str">
        <f t="shared" ca="1" si="140"/>
        <v/>
      </c>
      <c r="AB284" s="344"/>
      <c r="AC284" s="363" t="e">
        <f t="shared" ca="1" si="141"/>
        <v>#N/A</v>
      </c>
      <c r="AD284" s="376" t="e">
        <f t="shared" ca="1" si="142"/>
        <v>#N/A</v>
      </c>
      <c r="AE284" s="377">
        <f t="shared" ca="1" si="121"/>
        <v>300.45536456813352</v>
      </c>
      <c r="AF284" s="344"/>
      <c r="AG284" s="359">
        <f t="shared" ca="1" si="143"/>
        <v>54.782669963297735</v>
      </c>
      <c r="AH284" s="357">
        <f t="shared" ca="1" si="144"/>
        <v>64.343201577653204</v>
      </c>
    </row>
    <row r="285" spans="1:34" x14ac:dyDescent="0.25">
      <c r="A285" s="402">
        <f t="shared" ca="1" si="122"/>
        <v>0.01</v>
      </c>
      <c r="B285" s="357">
        <f t="shared" ca="1" si="123"/>
        <v>2.8099999999999841</v>
      </c>
      <c r="C285" s="342"/>
      <c r="D285" s="359">
        <f t="shared" ca="1" si="124"/>
        <v>14.372133366162076</v>
      </c>
      <c r="E285" s="360">
        <f t="shared" ca="1" si="125"/>
        <v>52.666234393992028</v>
      </c>
      <c r="F285" s="357">
        <f t="shared" ca="1" si="126"/>
        <v>54.592036623830573</v>
      </c>
      <c r="G285" s="359">
        <f t="shared" ca="1" si="127"/>
        <v>46.823471550390231</v>
      </c>
      <c r="H285" s="360">
        <f t="shared" ca="1" si="128"/>
        <v>203.44538997415273</v>
      </c>
      <c r="I285" s="357">
        <f t="shared" ca="1" si="129"/>
        <v>208.76413530528967</v>
      </c>
      <c r="J285" s="359">
        <f t="shared" ca="1" si="130"/>
        <v>65.406449632795386</v>
      </c>
      <c r="K285" s="360">
        <f t="shared" ca="1" si="131"/>
        <v>302.48718515615536</v>
      </c>
      <c r="L285" s="357">
        <f t="shared" ca="1" si="116"/>
        <v>309.47778730833272</v>
      </c>
      <c r="M285" s="359">
        <f t="shared" ca="1" si="132"/>
        <v>1.3445830755245538</v>
      </c>
      <c r="N285" s="357">
        <f t="shared" ca="1" si="133"/>
        <v>77.038935432276958</v>
      </c>
      <c r="O285" s="343"/>
      <c r="P285" s="363">
        <f t="shared" ca="1" si="134"/>
        <v>9</v>
      </c>
      <c r="Q285" s="357">
        <f t="shared" ca="1" si="135"/>
        <v>768.6250000000033</v>
      </c>
      <c r="R285" s="359">
        <f t="shared" ca="1" si="136"/>
        <v>0.38502905901894208</v>
      </c>
      <c r="S285" s="360">
        <f t="shared" ca="1" si="137"/>
        <v>10.169858065403888</v>
      </c>
      <c r="T285" s="357">
        <f t="shared" ca="1" si="117"/>
        <v>99.766307621612142</v>
      </c>
      <c r="U285" s="364">
        <f t="shared" ca="1" si="118"/>
        <v>0</v>
      </c>
      <c r="V285" s="359">
        <f t="shared" ca="1" si="119"/>
        <v>1.1884973982806197</v>
      </c>
      <c r="W285" s="357">
        <f t="shared" ca="1" si="120"/>
        <v>117.24373230777104</v>
      </c>
      <c r="X285" s="343"/>
      <c r="Y285" s="367" t="str">
        <f t="shared" ca="1" si="138"/>
        <v/>
      </c>
      <c r="Z285" s="368" t="str">
        <f t="shared" ca="1" si="139"/>
        <v/>
      </c>
      <c r="AA285" s="369" t="str">
        <f t="shared" ca="1" si="140"/>
        <v/>
      </c>
      <c r="AB285" s="344"/>
      <c r="AC285" s="363" t="e">
        <f t="shared" ca="1" si="141"/>
        <v>#N/A</v>
      </c>
      <c r="AD285" s="376" t="e">
        <f t="shared" ca="1" si="142"/>
        <v>#N/A</v>
      </c>
      <c r="AE285" s="377">
        <f t="shared" ca="1" si="121"/>
        <v>302.48718515615536</v>
      </c>
      <c r="AF285" s="344"/>
      <c r="AG285" s="359">
        <f t="shared" ca="1" si="143"/>
        <v>54.547719374035829</v>
      </c>
      <c r="AH285" s="357">
        <f t="shared" ca="1" si="144"/>
        <v>64.108018855270998</v>
      </c>
    </row>
    <row r="286" spans="1:34" x14ac:dyDescent="0.25">
      <c r="A286" s="402">
        <f t="shared" ca="1" si="122"/>
        <v>0.01</v>
      </c>
      <c r="B286" s="357">
        <f t="shared" ca="1" si="123"/>
        <v>2.8199999999999839</v>
      </c>
      <c r="C286" s="342"/>
      <c r="D286" s="359">
        <f t="shared" ca="1" si="124"/>
        <v>14.325941016997371</v>
      </c>
      <c r="E286" s="360">
        <f t="shared" ca="1" si="125"/>
        <v>52.435420094774031</v>
      </c>
      <c r="F286" s="357">
        <f t="shared" ca="1" si="126"/>
        <v>54.357206206150074</v>
      </c>
      <c r="G286" s="359">
        <f t="shared" ca="1" si="127"/>
        <v>46.966730960560206</v>
      </c>
      <c r="H286" s="360">
        <f t="shared" ca="1" si="128"/>
        <v>203.96974417510046</v>
      </c>
      <c r="I286" s="357">
        <f t="shared" ca="1" si="129"/>
        <v>209.30726302729576</v>
      </c>
      <c r="J286" s="359">
        <f t="shared" ca="1" si="130"/>
        <v>65.87540064535014</v>
      </c>
      <c r="K286" s="360">
        <f t="shared" ca="1" si="131"/>
        <v>304.52426082690164</v>
      </c>
      <c r="L286" s="357">
        <f t="shared" ca="1" si="116"/>
        <v>311.56796023075964</v>
      </c>
      <c r="M286" s="359">
        <f t="shared" ca="1" si="132"/>
        <v>1.3444779538118332</v>
      </c>
      <c r="N286" s="357">
        <f t="shared" ca="1" si="133"/>
        <v>77.032912401802875</v>
      </c>
      <c r="O286" s="343"/>
      <c r="P286" s="363">
        <f t="shared" ca="1" si="134"/>
        <v>9</v>
      </c>
      <c r="Q286" s="357">
        <f t="shared" ca="1" si="135"/>
        <v>766.57500000000334</v>
      </c>
      <c r="R286" s="359">
        <f t="shared" ca="1" si="136"/>
        <v>0.38400214788413795</v>
      </c>
      <c r="S286" s="360">
        <f t="shared" ca="1" si="137"/>
        <v>10.166018043925046</v>
      </c>
      <c r="T286" s="357">
        <f t="shared" ca="1" si="117"/>
        <v>99.728637010904706</v>
      </c>
      <c r="U286" s="364">
        <f t="shared" ca="1" si="118"/>
        <v>0</v>
      </c>
      <c r="V286" s="359">
        <f t="shared" ca="1" si="119"/>
        <v>1.1882552612687751</v>
      </c>
      <c r="W286" s="357">
        <f t="shared" ca="1" si="120"/>
        <v>117.83056531027819</v>
      </c>
      <c r="X286" s="343"/>
      <c r="Y286" s="367" t="str">
        <f t="shared" ca="1" si="138"/>
        <v/>
      </c>
      <c r="Z286" s="368" t="str">
        <f t="shared" ca="1" si="139"/>
        <v/>
      </c>
      <c r="AA286" s="369" t="str">
        <f t="shared" ca="1" si="140"/>
        <v/>
      </c>
      <c r="AB286" s="344"/>
      <c r="AC286" s="363" t="e">
        <f t="shared" ca="1" si="141"/>
        <v>#N/A</v>
      </c>
      <c r="AD286" s="376" t="e">
        <f t="shared" ca="1" si="142"/>
        <v>#N/A</v>
      </c>
      <c r="AE286" s="377">
        <f t="shared" ca="1" si="121"/>
        <v>304.52426082690164</v>
      </c>
      <c r="AF286" s="344"/>
      <c r="AG286" s="359">
        <f t="shared" ca="1" si="143"/>
        <v>54.312656552336833</v>
      </c>
      <c r="AH286" s="357">
        <f t="shared" ca="1" si="144"/>
        <v>63.872724294470068</v>
      </c>
    </row>
    <row r="287" spans="1:34" x14ac:dyDescent="0.25">
      <c r="A287" s="402">
        <f t="shared" ca="1" si="122"/>
        <v>0.01</v>
      </c>
      <c r="B287" s="357">
        <f t="shared" ca="1" si="123"/>
        <v>2.8299999999999836</v>
      </c>
      <c r="C287" s="342"/>
      <c r="D287" s="359">
        <f t="shared" ca="1" si="124"/>
        <v>14.279661748041073</v>
      </c>
      <c r="E287" s="360">
        <f t="shared" ca="1" si="125"/>
        <v>52.204513126339279</v>
      </c>
      <c r="F287" s="357">
        <f t="shared" ca="1" si="126"/>
        <v>54.122268341197575</v>
      </c>
      <c r="G287" s="359">
        <f t="shared" ca="1" si="127"/>
        <v>47.10952757804062</v>
      </c>
      <c r="H287" s="360">
        <f t="shared" ca="1" si="128"/>
        <v>204.49178930636384</v>
      </c>
      <c r="I287" s="357">
        <f t="shared" ca="1" si="129"/>
        <v>209.84803902430082</v>
      </c>
      <c r="J287" s="359">
        <f t="shared" ca="1" si="130"/>
        <v>66.345781938043146</v>
      </c>
      <c r="K287" s="360">
        <f t="shared" ca="1" si="131"/>
        <v>306.56656849430897</v>
      </c>
      <c r="L287" s="357">
        <f t="shared" ca="1" si="116"/>
        <v>313.66355175465668</v>
      </c>
      <c r="M287" s="359">
        <f t="shared" ca="1" si="132"/>
        <v>1.3443730551067423</v>
      </c>
      <c r="N287" s="357">
        <f t="shared" ca="1" si="133"/>
        <v>77.026902148724773</v>
      </c>
      <c r="O287" s="343"/>
      <c r="P287" s="363">
        <f t="shared" ca="1" si="134"/>
        <v>9</v>
      </c>
      <c r="Q287" s="357">
        <f t="shared" ca="1" si="135"/>
        <v>764.52500000000339</v>
      </c>
      <c r="R287" s="359">
        <f t="shared" ca="1" si="136"/>
        <v>0.38297523674933381</v>
      </c>
      <c r="S287" s="360">
        <f t="shared" ca="1" si="137"/>
        <v>10.162188291557552</v>
      </c>
      <c r="T287" s="357">
        <f t="shared" ca="1" si="117"/>
        <v>99.691067140179584</v>
      </c>
      <c r="U287" s="364">
        <f t="shared" ca="1" si="118"/>
        <v>0</v>
      </c>
      <c r="V287" s="359">
        <f t="shared" ca="1" si="119"/>
        <v>1.1880125511234199</v>
      </c>
      <c r="W287" s="357">
        <f t="shared" ca="1" si="120"/>
        <v>118.41602462138167</v>
      </c>
      <c r="X287" s="343"/>
      <c r="Y287" s="367" t="str">
        <f t="shared" ca="1" si="138"/>
        <v/>
      </c>
      <c r="Z287" s="368" t="str">
        <f t="shared" ca="1" si="139"/>
        <v/>
      </c>
      <c r="AA287" s="369" t="str">
        <f t="shared" ca="1" si="140"/>
        <v/>
      </c>
      <c r="AB287" s="344"/>
      <c r="AC287" s="363" t="e">
        <f t="shared" ca="1" si="141"/>
        <v>#N/A</v>
      </c>
      <c r="AD287" s="376" t="e">
        <f t="shared" ca="1" si="142"/>
        <v>#N/A</v>
      </c>
      <c r="AE287" s="377">
        <f t="shared" ca="1" si="121"/>
        <v>306.56656849430897</v>
      </c>
      <c r="AF287" s="344"/>
      <c r="AG287" s="359">
        <f t="shared" ca="1" si="143"/>
        <v>54.077484244859001</v>
      </c>
      <c r="AH287" s="357">
        <f t="shared" ca="1" si="144"/>
        <v>63.637320637620931</v>
      </c>
    </row>
    <row r="288" spans="1:34" x14ac:dyDescent="0.25">
      <c r="A288" s="402">
        <f t="shared" ca="1" si="122"/>
        <v>0.01</v>
      </c>
      <c r="B288" s="357">
        <f t="shared" ca="1" si="123"/>
        <v>2.8399999999999834</v>
      </c>
      <c r="C288" s="342"/>
      <c r="D288" s="359">
        <f t="shared" ca="1" si="124"/>
        <v>14.241112623665618</v>
      </c>
      <c r="E288" s="360">
        <f t="shared" ca="1" si="125"/>
        <v>52.007444407663755</v>
      </c>
      <c r="F288" s="357">
        <f t="shared" ca="1" si="126"/>
        <v>53.922013710322098</v>
      </c>
      <c r="G288" s="359">
        <f t="shared" ca="1" si="127"/>
        <v>47.251938704277279</v>
      </c>
      <c r="H288" s="360">
        <f t="shared" ca="1" si="128"/>
        <v>205.01186375044048</v>
      </c>
      <c r="I288" s="357">
        <f t="shared" ca="1" si="129"/>
        <v>210.38681039870809</v>
      </c>
      <c r="J288" s="359">
        <f t="shared" ca="1" si="130"/>
        <v>66.817589269454729</v>
      </c>
      <c r="K288" s="360">
        <f t="shared" ca="1" si="131"/>
        <v>308.61408675959296</v>
      </c>
      <c r="L288" s="357">
        <f t="shared" ca="1" si="116"/>
        <v>315.76454009631783</v>
      </c>
      <c r="M288" s="359">
        <f t="shared" ca="1" si="132"/>
        <v>1.3442683773679569</v>
      </c>
      <c r="N288" s="357">
        <f t="shared" ca="1" si="133"/>
        <v>77.020904556083408</v>
      </c>
      <c r="O288" s="343"/>
      <c r="P288" s="363">
        <f t="shared" ca="1" si="134"/>
        <v>10</v>
      </c>
      <c r="Q288" s="357">
        <f t="shared" ca="1" si="135"/>
        <v>762.8285714285737</v>
      </c>
      <c r="R288" s="359">
        <f t="shared" ca="1" si="136"/>
        <v>0.38212544094962603</v>
      </c>
      <c r="S288" s="360">
        <f t="shared" ca="1" si="137"/>
        <v>10.158367037148055</v>
      </c>
      <c r="T288" s="357">
        <f t="shared" ca="1" si="117"/>
        <v>99.653580634422426</v>
      </c>
      <c r="U288" s="364">
        <f t="shared" ca="1" si="118"/>
        <v>0</v>
      </c>
      <c r="V288" s="359">
        <f t="shared" ca="1" si="119"/>
        <v>1.1877692707473353</v>
      </c>
      <c r="W288" s="357">
        <f t="shared" ca="1" si="120"/>
        <v>119.0004824500603</v>
      </c>
      <c r="X288" s="343"/>
      <c r="Y288" s="367" t="str">
        <f t="shared" ca="1" si="138"/>
        <v/>
      </c>
      <c r="Z288" s="368" t="str">
        <f t="shared" ca="1" si="139"/>
        <v/>
      </c>
      <c r="AA288" s="369" t="str">
        <f t="shared" ca="1" si="140"/>
        <v/>
      </c>
      <c r="AB288" s="344"/>
      <c r="AC288" s="363" t="e">
        <f t="shared" ca="1" si="141"/>
        <v>#N/A</v>
      </c>
      <c r="AD288" s="376" t="e">
        <f t="shared" ca="1" si="142"/>
        <v>#N/A</v>
      </c>
      <c r="AE288" s="377">
        <f t="shared" ca="1" si="121"/>
        <v>308.61408675959296</v>
      </c>
      <c r="AF288" s="344"/>
      <c r="AG288" s="359">
        <f t="shared" ca="1" si="143"/>
        <v>53.877022175802708</v>
      </c>
      <c r="AH288" s="357">
        <f t="shared" ca="1" si="144"/>
        <v>63.436627604677469</v>
      </c>
    </row>
    <row r="289" spans="1:34" x14ac:dyDescent="0.25">
      <c r="A289" s="402">
        <f t="shared" ca="1" si="122"/>
        <v>0.01</v>
      </c>
      <c r="B289" s="357">
        <f t="shared" ca="1" si="123"/>
        <v>2.8499999999999832</v>
      </c>
      <c r="C289" s="342"/>
      <c r="D289" s="359">
        <f t="shared" ca="1" si="124"/>
        <v>14.210307707867894</v>
      </c>
      <c r="E289" s="360">
        <f t="shared" ca="1" si="125"/>
        <v>51.844225150206057</v>
      </c>
      <c r="F289" s="357">
        <f t="shared" ca="1" si="126"/>
        <v>53.756455673505371</v>
      </c>
      <c r="G289" s="359">
        <f t="shared" ca="1" si="127"/>
        <v>47.394041781355959</v>
      </c>
      <c r="H289" s="360">
        <f t="shared" ca="1" si="128"/>
        <v>205.53030600194253</v>
      </c>
      <c r="I289" s="357">
        <f t="shared" ca="1" si="129"/>
        <v>210.92392439366628</v>
      </c>
      <c r="J289" s="359">
        <f t="shared" ca="1" si="130"/>
        <v>67.290819171882902</v>
      </c>
      <c r="K289" s="360">
        <f t="shared" ca="1" si="131"/>
        <v>310.6667976083549</v>
      </c>
      <c r="L289" s="357">
        <f t="shared" ca="1" si="116"/>
        <v>317.87090694345335</v>
      </c>
      <c r="M289" s="359">
        <f t="shared" ca="1" si="132"/>
        <v>1.3441639187471337</v>
      </c>
      <c r="N289" s="357">
        <f t="shared" ca="1" si="133"/>
        <v>77.01491951797648</v>
      </c>
      <c r="O289" s="343"/>
      <c r="P289" s="363">
        <f t="shared" ca="1" si="134"/>
        <v>10</v>
      </c>
      <c r="Q289" s="357">
        <f t="shared" ca="1" si="135"/>
        <v>761.48571428571654</v>
      </c>
      <c r="R289" s="359">
        <f t="shared" ca="1" si="136"/>
        <v>0.38145276048501564</v>
      </c>
      <c r="S289" s="360">
        <f t="shared" ca="1" si="137"/>
        <v>10.154552509543205</v>
      </c>
      <c r="T289" s="357">
        <f t="shared" ca="1" si="117"/>
        <v>99.616160118618851</v>
      </c>
      <c r="U289" s="364">
        <f t="shared" ca="1" si="118"/>
        <v>0</v>
      </c>
      <c r="V289" s="359">
        <f t="shared" ca="1" si="119"/>
        <v>1.1875254226399847</v>
      </c>
      <c r="W289" s="357">
        <f t="shared" ca="1" si="120"/>
        <v>119.58431492200765</v>
      </c>
      <c r="X289" s="343"/>
      <c r="Y289" s="367" t="str">
        <f t="shared" ca="1" si="138"/>
        <v/>
      </c>
      <c r="Z289" s="368" t="str">
        <f t="shared" ca="1" si="139"/>
        <v/>
      </c>
      <c r="AA289" s="369" t="str">
        <f t="shared" ca="1" si="140"/>
        <v/>
      </c>
      <c r="AB289" s="344"/>
      <c r="AC289" s="363" t="e">
        <f t="shared" ca="1" si="141"/>
        <v>#N/A</v>
      </c>
      <c r="AD289" s="376" t="e">
        <f t="shared" ca="1" si="142"/>
        <v>#N/A</v>
      </c>
      <c r="AE289" s="377">
        <f t="shared" ca="1" si="121"/>
        <v>310.6667976083549</v>
      </c>
      <c r="AF289" s="344"/>
      <c r="AG289" s="359">
        <f t="shared" ca="1" si="143"/>
        <v>53.711284419908132</v>
      </c>
      <c r="AH289" s="357">
        <f t="shared" ca="1" si="144"/>
        <v>63.270659266555704</v>
      </c>
    </row>
    <row r="290" spans="1:34" x14ac:dyDescent="0.25">
      <c r="A290" s="402">
        <f t="shared" ca="1" si="122"/>
        <v>0.01</v>
      </c>
      <c r="B290" s="357">
        <f t="shared" ca="1" si="123"/>
        <v>2.859999999999983</v>
      </c>
      <c r="C290" s="342"/>
      <c r="D290" s="359">
        <f t="shared" ca="1" si="124"/>
        <v>14.179431721971897</v>
      </c>
      <c r="E290" s="360">
        <f t="shared" ca="1" si="125"/>
        <v>51.680913862024198</v>
      </c>
      <c r="F290" s="357">
        <f t="shared" ca="1" si="126"/>
        <v>53.590793440403807</v>
      </c>
      <c r="G290" s="359">
        <f t="shared" ca="1" si="127"/>
        <v>47.535836098575679</v>
      </c>
      <c r="H290" s="360">
        <f t="shared" ca="1" si="128"/>
        <v>206.04711514056277</v>
      </c>
      <c r="I290" s="357">
        <f t="shared" ca="1" si="129"/>
        <v>211.45937995591251</v>
      </c>
      <c r="J290" s="359">
        <f t="shared" ca="1" si="130"/>
        <v>67.76546856128256</v>
      </c>
      <c r="K290" s="360">
        <f t="shared" ca="1" si="131"/>
        <v>312.72468471406745</v>
      </c>
      <c r="L290" s="357">
        <f t="shared" ca="1" si="116"/>
        <v>319.98263571456977</v>
      </c>
      <c r="M290" s="359">
        <f t="shared" ca="1" si="132"/>
        <v>1.3440596774138047</v>
      </c>
      <c r="N290" s="357">
        <f t="shared" ca="1" si="133"/>
        <v>77.008946929525905</v>
      </c>
      <c r="O290" s="343"/>
      <c r="P290" s="363">
        <f t="shared" ca="1" si="134"/>
        <v>10</v>
      </c>
      <c r="Q290" s="357">
        <f t="shared" ca="1" si="135"/>
        <v>760.14285714285938</v>
      </c>
      <c r="R290" s="359">
        <f t="shared" ca="1" si="136"/>
        <v>0.38078008002040525</v>
      </c>
      <c r="S290" s="360">
        <f t="shared" ca="1" si="137"/>
        <v>10.150744708743</v>
      </c>
      <c r="T290" s="357">
        <f t="shared" ca="1" si="117"/>
        <v>99.57880559276883</v>
      </c>
      <c r="U290" s="364">
        <f t="shared" ca="1" si="118"/>
        <v>0</v>
      </c>
      <c r="V290" s="359">
        <f t="shared" ca="1" si="119"/>
        <v>1.1872810090993833</v>
      </c>
      <c r="W290" s="357">
        <f t="shared" ca="1" si="120"/>
        <v>120.16750604274063</v>
      </c>
      <c r="X290" s="343"/>
      <c r="Y290" s="367" t="str">
        <f t="shared" ca="1" si="138"/>
        <v/>
      </c>
      <c r="Z290" s="368" t="str">
        <f t="shared" ca="1" si="139"/>
        <v/>
      </c>
      <c r="AA290" s="369" t="str">
        <f t="shared" ca="1" si="140"/>
        <v/>
      </c>
      <c r="AB290" s="344"/>
      <c r="AC290" s="363" t="e">
        <f t="shared" ca="1" si="141"/>
        <v>#N/A</v>
      </c>
      <c r="AD290" s="376" t="e">
        <f t="shared" ca="1" si="142"/>
        <v>#N/A</v>
      </c>
      <c r="AE290" s="377">
        <f t="shared" ca="1" si="121"/>
        <v>312.72468471406745</v>
      </c>
      <c r="AF290" s="344"/>
      <c r="AG290" s="359">
        <f t="shared" ca="1" si="143"/>
        <v>53.545441336042344</v>
      </c>
      <c r="AH290" s="357">
        <f t="shared" ca="1" si="144"/>
        <v>63.104585978714283</v>
      </c>
    </row>
    <row r="291" spans="1:34" x14ac:dyDescent="0.25">
      <c r="A291" s="402">
        <f t="shared" ca="1" si="122"/>
        <v>0.01</v>
      </c>
      <c r="B291" s="357">
        <f t="shared" ca="1" si="123"/>
        <v>2.8699999999999828</v>
      </c>
      <c r="C291" s="342"/>
      <c r="D291" s="359">
        <f t="shared" ca="1" si="124"/>
        <v>14.148485256727511</v>
      </c>
      <c r="E291" s="360">
        <f t="shared" ca="1" si="125"/>
        <v>51.517512252274017</v>
      </c>
      <c r="F291" s="357">
        <f t="shared" ca="1" si="126"/>
        <v>53.425028813497512</v>
      </c>
      <c r="G291" s="359">
        <f t="shared" ca="1" si="127"/>
        <v>47.677320951142953</v>
      </c>
      <c r="H291" s="360">
        <f t="shared" ca="1" si="128"/>
        <v>206.56229026308552</v>
      </c>
      <c r="I291" s="357">
        <f t="shared" ca="1" si="129"/>
        <v>211.99317605010188</v>
      </c>
      <c r="J291" s="359">
        <f t="shared" ca="1" si="130"/>
        <v>68.241534346531154</v>
      </c>
      <c r="K291" s="360">
        <f t="shared" ca="1" si="131"/>
        <v>314.78773174108568</v>
      </c>
      <c r="L291" s="357">
        <f t="shared" ca="1" si="116"/>
        <v>322.09970981773097</v>
      </c>
      <c r="M291" s="359">
        <f t="shared" ca="1" si="132"/>
        <v>1.3439556515551316</v>
      </c>
      <c r="N291" s="357">
        <f t="shared" ca="1" si="133"/>
        <v>77.002986686863721</v>
      </c>
      <c r="O291" s="343"/>
      <c r="P291" s="363">
        <f t="shared" ca="1" si="134"/>
        <v>10</v>
      </c>
      <c r="Q291" s="357">
        <f t="shared" ca="1" si="135"/>
        <v>758.80000000000234</v>
      </c>
      <c r="R291" s="359">
        <f t="shared" ca="1" si="136"/>
        <v>0.38010739955579492</v>
      </c>
      <c r="S291" s="360">
        <f t="shared" ca="1" si="137"/>
        <v>10.146943634747442</v>
      </c>
      <c r="T291" s="357">
        <f t="shared" ca="1" si="117"/>
        <v>99.541517056872422</v>
      </c>
      <c r="U291" s="364">
        <f t="shared" ca="1" si="118"/>
        <v>0</v>
      </c>
      <c r="V291" s="359">
        <f t="shared" ca="1" si="119"/>
        <v>1.1870360324237776</v>
      </c>
      <c r="W291" s="357">
        <f t="shared" ca="1" si="120"/>
        <v>120.7500398888627</v>
      </c>
      <c r="X291" s="343"/>
      <c r="Y291" s="367" t="str">
        <f t="shared" ca="1" si="138"/>
        <v/>
      </c>
      <c r="Z291" s="368" t="str">
        <f t="shared" ca="1" si="139"/>
        <v/>
      </c>
      <c r="AA291" s="369" t="str">
        <f t="shared" ca="1" si="140"/>
        <v/>
      </c>
      <c r="AB291" s="344"/>
      <c r="AC291" s="363" t="e">
        <f t="shared" ca="1" si="141"/>
        <v>#N/A</v>
      </c>
      <c r="AD291" s="376" t="e">
        <f t="shared" ca="1" si="142"/>
        <v>#N/A</v>
      </c>
      <c r="AE291" s="377">
        <f t="shared" ca="1" si="121"/>
        <v>314.78773174108568</v>
      </c>
      <c r="AF291" s="344"/>
      <c r="AG291" s="359">
        <f t="shared" ca="1" si="143"/>
        <v>53.379494716006157</v>
      </c>
      <c r="AH291" s="357">
        <f t="shared" ca="1" si="144"/>
        <v>62.938409529576262</v>
      </c>
    </row>
    <row r="292" spans="1:34" x14ac:dyDescent="0.25">
      <c r="A292" s="402">
        <f t="shared" ca="1" si="122"/>
        <v>0.01</v>
      </c>
      <c r="B292" s="357">
        <f t="shared" ca="1" si="123"/>
        <v>2.8799999999999826</v>
      </c>
      <c r="C292" s="342"/>
      <c r="D292" s="359">
        <f t="shared" ca="1" si="124"/>
        <v>14.117468900579262</v>
      </c>
      <c r="E292" s="360">
        <f t="shared" ca="1" si="125"/>
        <v>51.354022026527666</v>
      </c>
      <c r="F292" s="357">
        <f t="shared" ca="1" si="126"/>
        <v>53.259163591441343</v>
      </c>
      <c r="G292" s="359">
        <f t="shared" ca="1" si="127"/>
        <v>47.818495640148747</v>
      </c>
      <c r="H292" s="360">
        <f t="shared" ca="1" si="128"/>
        <v>207.07583048335079</v>
      </c>
      <c r="I292" s="357">
        <f t="shared" ca="1" si="129"/>
        <v>212.52531165876772</v>
      </c>
      <c r="J292" s="359">
        <f t="shared" ca="1" si="130"/>
        <v>68.719013429487617</v>
      </c>
      <c r="K292" s="360">
        <f t="shared" ca="1" si="131"/>
        <v>316.85592234481788</v>
      </c>
      <c r="L292" s="357">
        <f t="shared" ca="1" si="116"/>
        <v>324.22211265073724</v>
      </c>
      <c r="M292" s="359">
        <f t="shared" ca="1" si="132"/>
        <v>1.3438518393756647</v>
      </c>
      <c r="N292" s="357">
        <f t="shared" ca="1" si="133"/>
        <v>76.997038687118206</v>
      </c>
      <c r="O292" s="343"/>
      <c r="P292" s="363">
        <f t="shared" ca="1" si="134"/>
        <v>10</v>
      </c>
      <c r="Q292" s="357">
        <f t="shared" ca="1" si="135"/>
        <v>757.45714285714519</v>
      </c>
      <c r="R292" s="359">
        <f t="shared" ca="1" si="136"/>
        <v>0.37943471909118454</v>
      </c>
      <c r="S292" s="360">
        <f t="shared" ca="1" si="137"/>
        <v>10.143149287556531</v>
      </c>
      <c r="T292" s="357">
        <f t="shared" ca="1" si="117"/>
        <v>99.504294510929569</v>
      </c>
      <c r="U292" s="364">
        <f t="shared" ca="1" si="118"/>
        <v>0</v>
      </c>
      <c r="V292" s="359">
        <f t="shared" ca="1" si="119"/>
        <v>1.1867904949116159</v>
      </c>
      <c r="W292" s="357">
        <f t="shared" ca="1" si="120"/>
        <v>121.33190060837875</v>
      </c>
      <c r="X292" s="343"/>
      <c r="Y292" s="367" t="str">
        <f t="shared" ca="1" si="138"/>
        <v/>
      </c>
      <c r="Z292" s="368" t="str">
        <f t="shared" ca="1" si="139"/>
        <v/>
      </c>
      <c r="AA292" s="369" t="str">
        <f t="shared" ca="1" si="140"/>
        <v/>
      </c>
      <c r="AB292" s="344"/>
      <c r="AC292" s="363" t="e">
        <f t="shared" ca="1" si="141"/>
        <v>#N/A</v>
      </c>
      <c r="AD292" s="376" t="e">
        <f t="shared" ca="1" si="142"/>
        <v>#N/A</v>
      </c>
      <c r="AE292" s="377">
        <f t="shared" ca="1" si="121"/>
        <v>316.85592234481788</v>
      </c>
      <c r="AF292" s="344"/>
      <c r="AG292" s="359">
        <f t="shared" ca="1" si="143"/>
        <v>53.213446347655541</v>
      </c>
      <c r="AH292" s="357">
        <f t="shared" ca="1" si="144"/>
        <v>62.772131703650025</v>
      </c>
    </row>
    <row r="293" spans="1:34" x14ac:dyDescent="0.25">
      <c r="A293" s="402">
        <f t="shared" ca="1" si="122"/>
        <v>0.01</v>
      </c>
      <c r="B293" s="357">
        <f t="shared" ca="1" si="123"/>
        <v>2.8899999999999824</v>
      </c>
      <c r="C293" s="342"/>
      <c r="D293" s="359">
        <f t="shared" ca="1" si="124"/>
        <v>14.086383239676689</v>
      </c>
      <c r="E293" s="360">
        <f t="shared" ca="1" si="125"/>
        <v>51.190444886721011</v>
      </c>
      <c r="F293" s="357">
        <f t="shared" ca="1" si="126"/>
        <v>53.093199569016988</v>
      </c>
      <c r="G293" s="359">
        <f t="shared" ca="1" si="127"/>
        <v>47.959359472545515</v>
      </c>
      <c r="H293" s="360">
        <f t="shared" ca="1" si="128"/>
        <v>207.58773493221798</v>
      </c>
      <c r="I293" s="357">
        <f t="shared" ca="1" si="129"/>
        <v>213.05578578228199</v>
      </c>
      <c r="J293" s="359">
        <f t="shared" ca="1" si="130"/>
        <v>69.197902705051092</v>
      </c>
      <c r="K293" s="360">
        <f t="shared" ca="1" si="131"/>
        <v>318.92924017189574</v>
      </c>
      <c r="L293" s="357">
        <f t="shared" ca="1" si="116"/>
        <v>326.34982760130345</v>
      </c>
      <c r="M293" s="359">
        <f t="shared" ca="1" si="132"/>
        <v>1.3437482390971054</v>
      </c>
      <c r="N293" s="357">
        <f t="shared" ca="1" si="133"/>
        <v>76.991102828400372</v>
      </c>
      <c r="O293" s="343"/>
      <c r="P293" s="363">
        <f t="shared" ca="1" si="134"/>
        <v>10</v>
      </c>
      <c r="Q293" s="357">
        <f t="shared" ca="1" si="135"/>
        <v>756.11428571428803</v>
      </c>
      <c r="R293" s="359">
        <f t="shared" ca="1" si="136"/>
        <v>0.37876203862657415</v>
      </c>
      <c r="S293" s="360">
        <f t="shared" ca="1" si="137"/>
        <v>10.139361667170265</v>
      </c>
      <c r="T293" s="357">
        <f t="shared" ca="1" si="117"/>
        <v>99.467137954940299</v>
      </c>
      <c r="U293" s="364">
        <f t="shared" ca="1" si="118"/>
        <v>0</v>
      </c>
      <c r="V293" s="359">
        <f t="shared" ca="1" si="119"/>
        <v>1.1865443988615154</v>
      </c>
      <c r="W293" s="357">
        <f t="shared" ca="1" si="120"/>
        <v>121.91307242100557</v>
      </c>
      <c r="X293" s="343"/>
      <c r="Y293" s="367" t="str">
        <f t="shared" ca="1" si="138"/>
        <v/>
      </c>
      <c r="Z293" s="368" t="str">
        <f t="shared" ca="1" si="139"/>
        <v/>
      </c>
      <c r="AA293" s="369" t="str">
        <f t="shared" ca="1" si="140"/>
        <v/>
      </c>
      <c r="AB293" s="344"/>
      <c r="AC293" s="363" t="e">
        <f t="shared" ca="1" si="141"/>
        <v>#N/A</v>
      </c>
      <c r="AD293" s="376" t="e">
        <f t="shared" ca="1" si="142"/>
        <v>#N/A</v>
      </c>
      <c r="AE293" s="377">
        <f t="shared" ca="1" si="121"/>
        <v>318.92924017189574</v>
      </c>
      <c r="AF293" s="344"/>
      <c r="AG293" s="359">
        <f t="shared" ca="1" si="143"/>
        <v>53.047298014851734</v>
      </c>
      <c r="AH293" s="357">
        <f t="shared" ca="1" si="144"/>
        <v>62.605754281479044</v>
      </c>
    </row>
    <row r="294" spans="1:34" x14ac:dyDescent="0.25">
      <c r="A294" s="402">
        <f t="shared" ca="1" si="122"/>
        <v>0.01</v>
      </c>
      <c r="B294" s="357">
        <f t="shared" ca="1" si="123"/>
        <v>2.8999999999999821</v>
      </c>
      <c r="C294" s="342"/>
      <c r="D294" s="359">
        <f t="shared" ca="1" si="124"/>
        <v>14.055228857884419</v>
      </c>
      <c r="E294" s="360">
        <f t="shared" ca="1" si="125"/>
        <v>51.026782531101432</v>
      </c>
      <c r="F294" s="357">
        <f t="shared" ca="1" si="126"/>
        <v>52.927138537085355</v>
      </c>
      <c r="G294" s="359">
        <f t="shared" ca="1" si="127"/>
        <v>48.099911761124361</v>
      </c>
      <c r="H294" s="360">
        <f t="shared" ca="1" si="128"/>
        <v>208.098002757529</v>
      </c>
      <c r="I294" s="357">
        <f t="shared" ca="1" si="129"/>
        <v>213.58459743881463</v>
      </c>
      <c r="J294" s="359">
        <f t="shared" ca="1" si="130"/>
        <v>69.678199061219445</v>
      </c>
      <c r="K294" s="360">
        <f t="shared" ca="1" si="131"/>
        <v>321.00766886034449</v>
      </c>
      <c r="L294" s="357">
        <f t="shared" ca="1" si="116"/>
        <v>328.48283804723729</v>
      </c>
      <c r="M294" s="359">
        <f t="shared" ca="1" si="132"/>
        <v>1.3436448489580728</v>
      </c>
      <c r="N294" s="357">
        <f t="shared" ca="1" si="133"/>
        <v>76.985179009790542</v>
      </c>
      <c r="O294" s="343"/>
      <c r="P294" s="363">
        <f t="shared" ca="1" si="134"/>
        <v>10</v>
      </c>
      <c r="Q294" s="357">
        <f t="shared" ca="1" si="135"/>
        <v>754.77142857143099</v>
      </c>
      <c r="R294" s="359">
        <f t="shared" ca="1" si="136"/>
        <v>0.37808935816196387</v>
      </c>
      <c r="S294" s="360">
        <f t="shared" ca="1" si="137"/>
        <v>10.135580773588645</v>
      </c>
      <c r="T294" s="357">
        <f t="shared" ca="1" si="117"/>
        <v>99.430047388904612</v>
      </c>
      <c r="U294" s="364">
        <f t="shared" ca="1" si="118"/>
        <v>0</v>
      </c>
      <c r="V294" s="359">
        <f t="shared" ca="1" si="119"/>
        <v>1.1862977465722324</v>
      </c>
      <c r="W294" s="357">
        <f t="shared" ca="1" si="120"/>
        <v>122.49353961847704</v>
      </c>
      <c r="X294" s="343"/>
      <c r="Y294" s="367" t="str">
        <f t="shared" ca="1" si="138"/>
        <v/>
      </c>
      <c r="Z294" s="368" t="str">
        <f t="shared" ca="1" si="139"/>
        <v/>
      </c>
      <c r="AA294" s="369" t="str">
        <f t="shared" ca="1" si="140"/>
        <v/>
      </c>
      <c r="AB294" s="344"/>
      <c r="AC294" s="363" t="e">
        <f t="shared" ca="1" si="141"/>
        <v>#N/A</v>
      </c>
      <c r="AD294" s="376" t="e">
        <f t="shared" ca="1" si="142"/>
        <v>#N/A</v>
      </c>
      <c r="AE294" s="377">
        <f t="shared" ca="1" si="121"/>
        <v>321.00766886034449</v>
      </c>
      <c r="AF294" s="344"/>
      <c r="AG294" s="359">
        <f t="shared" ca="1" si="143"/>
        <v>52.881051497411789</v>
      </c>
      <c r="AH294" s="357">
        <f t="shared" ca="1" si="144"/>
        <v>62.439279039592023</v>
      </c>
    </row>
    <row r="295" spans="1:34" x14ac:dyDescent="0.25">
      <c r="A295" s="402">
        <f t="shared" ca="1" si="122"/>
        <v>0.01</v>
      </c>
      <c r="B295" s="357">
        <f t="shared" ca="1" si="123"/>
        <v>2.9099999999999819</v>
      </c>
      <c r="C295" s="342"/>
      <c r="D295" s="359">
        <f t="shared" ca="1" si="124"/>
        <v>14.024006336791965</v>
      </c>
      <c r="E295" s="360">
        <f t="shared" ca="1" si="125"/>
        <v>50.863036654176177</v>
      </c>
      <c r="F295" s="357">
        <f t="shared" ca="1" si="126"/>
        <v>52.760982282539537</v>
      </c>
      <c r="G295" s="359">
        <f t="shared" ca="1" si="127"/>
        <v>48.24015182449228</v>
      </c>
      <c r="H295" s="360">
        <f t="shared" ca="1" si="128"/>
        <v>208.60663312407075</v>
      </c>
      <c r="I295" s="357">
        <f t="shared" ca="1" si="129"/>
        <v>214.11174566429258</v>
      </c>
      <c r="J295" s="359">
        <f t="shared" ca="1" si="130"/>
        <v>70.159899379147532</v>
      </c>
      <c r="K295" s="360">
        <f t="shared" ca="1" si="131"/>
        <v>323.09119203975251</v>
      </c>
      <c r="L295" s="357">
        <f t="shared" ca="1" si="116"/>
        <v>330.62112735661697</v>
      </c>
      <c r="M295" s="359">
        <f t="shared" ca="1" si="132"/>
        <v>1.3435416672138745</v>
      </c>
      <c r="N295" s="357">
        <f t="shared" ca="1" si="133"/>
        <v>76.979267131325173</v>
      </c>
      <c r="O295" s="343"/>
      <c r="P295" s="363">
        <f t="shared" ca="1" si="134"/>
        <v>10</v>
      </c>
      <c r="Q295" s="357">
        <f t="shared" ca="1" si="135"/>
        <v>753.42857142857383</v>
      </c>
      <c r="R295" s="359">
        <f t="shared" ca="1" si="136"/>
        <v>0.37741667769735349</v>
      </c>
      <c r="S295" s="360">
        <f t="shared" ca="1" si="137"/>
        <v>10.13180660681167</v>
      </c>
      <c r="T295" s="357">
        <f t="shared" ca="1" si="117"/>
        <v>99.393022812822494</v>
      </c>
      <c r="U295" s="364">
        <f t="shared" ca="1" si="118"/>
        <v>0</v>
      </c>
      <c r="V295" s="359">
        <f t="shared" ca="1" si="119"/>
        <v>1.1860505403426305</v>
      </c>
      <c r="W295" s="357">
        <f t="shared" ca="1" si="120"/>
        <v>123.07328656484403</v>
      </c>
      <c r="X295" s="343"/>
      <c r="Y295" s="367" t="str">
        <f t="shared" ca="1" si="138"/>
        <v/>
      </c>
      <c r="Z295" s="368" t="str">
        <f t="shared" ca="1" si="139"/>
        <v/>
      </c>
      <c r="AA295" s="369" t="str">
        <f t="shared" ca="1" si="140"/>
        <v/>
      </c>
      <c r="AB295" s="344"/>
      <c r="AC295" s="363" t="e">
        <f t="shared" ca="1" si="141"/>
        <v>#N/A</v>
      </c>
      <c r="AD295" s="376" t="e">
        <f t="shared" ca="1" si="142"/>
        <v>#N/A</v>
      </c>
      <c r="AE295" s="377">
        <f t="shared" ca="1" si="121"/>
        <v>323.09119203975251</v>
      </c>
      <c r="AF295" s="344"/>
      <c r="AG295" s="359">
        <f t="shared" ca="1" si="143"/>
        <v>52.714708571059603</v>
      </c>
      <c r="AH295" s="357">
        <f t="shared" ca="1" si="144"/>
        <v>62.272707750453471</v>
      </c>
    </row>
    <row r="296" spans="1:34" x14ac:dyDescent="0.25">
      <c r="A296" s="402">
        <f t="shared" ca="1" si="122"/>
        <v>0.01</v>
      </c>
      <c r="B296" s="357">
        <f t="shared" ca="1" si="123"/>
        <v>2.9199999999999817</v>
      </c>
      <c r="C296" s="342"/>
      <c r="D296" s="359">
        <f t="shared" ca="1" si="124"/>
        <v>13.992716255723156</v>
      </c>
      <c r="E296" s="360">
        <f t="shared" ca="1" si="125"/>
        <v>50.699208946661152</v>
      </c>
      <c r="F296" s="357">
        <f t="shared" ca="1" si="126"/>
        <v>52.594732588258161</v>
      </c>
      <c r="G296" s="359">
        <f t="shared" ca="1" si="127"/>
        <v>48.380078987049508</v>
      </c>
      <c r="H296" s="360">
        <f t="shared" ca="1" si="128"/>
        <v>209.11362521353738</v>
      </c>
      <c r="I296" s="357">
        <f t="shared" ca="1" si="129"/>
        <v>214.63722951235866</v>
      </c>
      <c r="J296" s="359">
        <f t="shared" ca="1" si="130"/>
        <v>70.643000533205239</v>
      </c>
      <c r="K296" s="360">
        <f t="shared" ca="1" si="131"/>
        <v>325.17979333144058</v>
      </c>
      <c r="L296" s="357">
        <f t="shared" ca="1" si="116"/>
        <v>332.76467888796861</v>
      </c>
      <c r="M296" s="359">
        <f t="shared" ca="1" si="132"/>
        <v>1.3434386921362811</v>
      </c>
      <c r="N296" s="357">
        <f t="shared" ca="1" si="133"/>
        <v>76.973367093984038</v>
      </c>
      <c r="O296" s="343"/>
      <c r="P296" s="363">
        <f t="shared" ca="1" si="134"/>
        <v>10</v>
      </c>
      <c r="Q296" s="357">
        <f t="shared" ca="1" si="135"/>
        <v>752.08571428571679</v>
      </c>
      <c r="R296" s="359">
        <f t="shared" ca="1" si="136"/>
        <v>0.37674399723274316</v>
      </c>
      <c r="S296" s="360">
        <f t="shared" ca="1" si="137"/>
        <v>10.128039166839343</v>
      </c>
      <c r="T296" s="357">
        <f t="shared" ca="1" si="117"/>
        <v>99.35606422669396</v>
      </c>
      <c r="U296" s="364">
        <f t="shared" ca="1" si="118"/>
        <v>0</v>
      </c>
      <c r="V296" s="359">
        <f t="shared" ca="1" si="119"/>
        <v>1.1858027824716504</v>
      </c>
      <c r="W296" s="357">
        <f t="shared" ca="1" si="120"/>
        <v>123.65229769677006</v>
      </c>
      <c r="X296" s="343"/>
      <c r="Y296" s="367" t="str">
        <f t="shared" ca="1" si="138"/>
        <v/>
      </c>
      <c r="Z296" s="368" t="str">
        <f t="shared" ca="1" si="139"/>
        <v/>
      </c>
      <c r="AA296" s="369" t="str">
        <f t="shared" ca="1" si="140"/>
        <v/>
      </c>
      <c r="AB296" s="344"/>
      <c r="AC296" s="363" t="e">
        <f t="shared" ca="1" si="141"/>
        <v>#N/A</v>
      </c>
      <c r="AD296" s="376" t="e">
        <f t="shared" ca="1" si="142"/>
        <v>#N/A</v>
      </c>
      <c r="AE296" s="377">
        <f t="shared" ca="1" si="121"/>
        <v>325.17979333144058</v>
      </c>
      <c r="AF296" s="344"/>
      <c r="AG296" s="359">
        <f t="shared" ca="1" si="143"/>
        <v>52.548271007377238</v>
      </c>
      <c r="AH296" s="357">
        <f t="shared" ca="1" si="144"/>
        <v>62.106042182414726</v>
      </c>
    </row>
    <row r="297" spans="1:34" x14ac:dyDescent="0.25">
      <c r="A297" s="402">
        <f t="shared" ca="1" si="122"/>
        <v>0.01</v>
      </c>
      <c r="B297" s="357">
        <f t="shared" ca="1" si="123"/>
        <v>2.9299999999999815</v>
      </c>
      <c r="C297" s="342"/>
      <c r="D297" s="359">
        <f t="shared" ca="1" si="124"/>
        <v>13.961359191745274</v>
      </c>
      <c r="E297" s="360">
        <f t="shared" ca="1" si="125"/>
        <v>50.535301095430171</v>
      </c>
      <c r="F297" s="357">
        <f t="shared" ca="1" si="126"/>
        <v>52.428391233059173</v>
      </c>
      <c r="G297" s="359">
        <f t="shared" ca="1" si="127"/>
        <v>48.519692578966961</v>
      </c>
      <c r="H297" s="360">
        <f t="shared" ca="1" si="128"/>
        <v>209.61897822449168</v>
      </c>
      <c r="I297" s="357">
        <f t="shared" ca="1" si="129"/>
        <v>215.16104805432926</v>
      </c>
      <c r="J297" s="359">
        <f t="shared" ca="1" si="130"/>
        <v>71.127499391035315</v>
      </c>
      <c r="K297" s="360">
        <f t="shared" ca="1" si="131"/>
        <v>327.2734563486307</v>
      </c>
      <c r="L297" s="357">
        <f t="shared" ca="1" si="116"/>
        <v>334.91347599044269</v>
      </c>
      <c r="M297" s="359">
        <f t="shared" ca="1" si="132"/>
        <v>1.3433359220133039</v>
      </c>
      <c r="N297" s="357">
        <f t="shared" ca="1" si="133"/>
        <v>76.967478799677409</v>
      </c>
      <c r="O297" s="343"/>
      <c r="P297" s="363">
        <f t="shared" ca="1" si="134"/>
        <v>10</v>
      </c>
      <c r="Q297" s="357">
        <f t="shared" ca="1" si="135"/>
        <v>750.74285714285963</v>
      </c>
      <c r="R297" s="359">
        <f t="shared" ca="1" si="136"/>
        <v>0.37607131676813277</v>
      </c>
      <c r="S297" s="360">
        <f t="shared" ca="1" si="137"/>
        <v>10.124278453671662</v>
      </c>
      <c r="T297" s="357">
        <f t="shared" ca="1" si="117"/>
        <v>99.319171630519008</v>
      </c>
      <c r="U297" s="364">
        <f t="shared" ca="1" si="118"/>
        <v>0</v>
      </c>
      <c r="V297" s="359">
        <f t="shared" ca="1" si="119"/>
        <v>1.1855544752582783</v>
      </c>
      <c r="W297" s="357">
        <f t="shared" ca="1" si="120"/>
        <v>124.23055752382099</v>
      </c>
      <c r="X297" s="343"/>
      <c r="Y297" s="367" t="str">
        <f t="shared" ca="1" si="138"/>
        <v/>
      </c>
      <c r="Z297" s="368" t="str">
        <f t="shared" ca="1" si="139"/>
        <v/>
      </c>
      <c r="AA297" s="369" t="str">
        <f t="shared" ca="1" si="140"/>
        <v/>
      </c>
      <c r="AB297" s="344"/>
      <c r="AC297" s="363" t="e">
        <f t="shared" ca="1" si="141"/>
        <v>#N/A</v>
      </c>
      <c r="AD297" s="376" t="e">
        <f t="shared" ca="1" si="142"/>
        <v>#N/A</v>
      </c>
      <c r="AE297" s="377">
        <f t="shared" ca="1" si="121"/>
        <v>327.2734563486307</v>
      </c>
      <c r="AF297" s="344"/>
      <c r="AG297" s="359">
        <f t="shared" ca="1" si="143"/>
        <v>52.381740573756744</v>
      </c>
      <c r="AH297" s="357">
        <f t="shared" ca="1" si="144"/>
        <v>61.939284099665343</v>
      </c>
    </row>
    <row r="298" spans="1:34" x14ac:dyDescent="0.25">
      <c r="A298" s="402">
        <f t="shared" ca="1" si="122"/>
        <v>0.01</v>
      </c>
      <c r="B298" s="357">
        <f t="shared" ca="1" si="123"/>
        <v>2.9399999999999813</v>
      </c>
      <c r="C298" s="342"/>
      <c r="D298" s="359">
        <f t="shared" ca="1" si="124"/>
        <v>13.929935719678001</v>
      </c>
      <c r="E298" s="360">
        <f t="shared" ca="1" si="125"/>
        <v>50.371314783464783</v>
      </c>
      <c r="F298" s="357">
        <f t="shared" ca="1" si="126"/>
        <v>52.261959991654145</v>
      </c>
      <c r="G298" s="359">
        <f t="shared" ca="1" si="127"/>
        <v>48.658991936163744</v>
      </c>
      <c r="H298" s="360">
        <f t="shared" ca="1" si="128"/>
        <v>210.12269137232633</v>
      </c>
      <c r="I298" s="357">
        <f t="shared" ca="1" si="129"/>
        <v>215.68320037915228</v>
      </c>
      <c r="J298" s="359">
        <f t="shared" ca="1" si="130"/>
        <v>71.613392813610972</v>
      </c>
      <c r="K298" s="360">
        <f t="shared" ca="1" si="131"/>
        <v>329.37216469661479</v>
      </c>
      <c r="L298" s="357">
        <f t="shared" ca="1" si="116"/>
        <v>337.06750200399097</v>
      </c>
      <c r="M298" s="359">
        <f t="shared" ca="1" si="132"/>
        <v>1.3432333551489777</v>
      </c>
      <c r="N298" s="357">
        <f t="shared" ca="1" si="133"/>
        <v>76.96160215123362</v>
      </c>
      <c r="O298" s="343"/>
      <c r="P298" s="363">
        <f t="shared" ca="1" si="134"/>
        <v>10</v>
      </c>
      <c r="Q298" s="357">
        <f t="shared" ca="1" si="135"/>
        <v>749.40000000000248</v>
      </c>
      <c r="R298" s="359">
        <f t="shared" ca="1" si="136"/>
        <v>0.37539863630352238</v>
      </c>
      <c r="S298" s="360">
        <f t="shared" ca="1" si="137"/>
        <v>10.120524467308627</v>
      </c>
      <c r="T298" s="357">
        <f t="shared" ca="1" si="117"/>
        <v>99.282345024297641</v>
      </c>
      <c r="U298" s="364">
        <f t="shared" ca="1" si="118"/>
        <v>0</v>
      </c>
      <c r="V298" s="359">
        <f t="shared" ca="1" si="119"/>
        <v>1.1853056210015156</v>
      </c>
      <c r="W298" s="357">
        <f t="shared" ca="1" si="120"/>
        <v>124.80805062875046</v>
      </c>
      <c r="X298" s="343"/>
      <c r="Y298" s="367" t="str">
        <f t="shared" ca="1" si="138"/>
        <v/>
      </c>
      <c r="Z298" s="368" t="str">
        <f t="shared" ca="1" si="139"/>
        <v/>
      </c>
      <c r="AA298" s="369" t="str">
        <f t="shared" ca="1" si="140"/>
        <v/>
      </c>
      <c r="AB298" s="344"/>
      <c r="AC298" s="363" t="e">
        <f t="shared" ca="1" si="141"/>
        <v>#N/A</v>
      </c>
      <c r="AD298" s="376" t="e">
        <f t="shared" ca="1" si="142"/>
        <v>#N/A</v>
      </c>
      <c r="AE298" s="377">
        <f t="shared" ca="1" si="121"/>
        <v>329.37216469661479</v>
      </c>
      <c r="AF298" s="344"/>
      <c r="AG298" s="359">
        <f t="shared" ca="1" si="143"/>
        <v>52.215119033352444</v>
      </c>
      <c r="AH298" s="357">
        <f t="shared" ca="1" si="144"/>
        <v>61.772435262185006</v>
      </c>
    </row>
    <row r="299" spans="1:34" x14ac:dyDescent="0.25">
      <c r="A299" s="402">
        <f t="shared" ca="1" si="122"/>
        <v>0.01</v>
      </c>
      <c r="B299" s="357">
        <f t="shared" ca="1" si="123"/>
        <v>2.9499999999999811</v>
      </c>
      <c r="C299" s="342"/>
      <c r="D299" s="359">
        <f t="shared" ca="1" si="124"/>
        <v>13.898446412101915</v>
      </c>
      <c r="E299" s="360">
        <f t="shared" ca="1" si="125"/>
        <v>50.207251689804487</v>
      </c>
      <c r="F299" s="357">
        <f t="shared" ca="1" si="126"/>
        <v>52.095440634602987</v>
      </c>
      <c r="G299" s="359">
        <f t="shared" ca="1" si="127"/>
        <v>48.79797640028476</v>
      </c>
      <c r="H299" s="360">
        <f t="shared" ca="1" si="128"/>
        <v>210.62476388922437</v>
      </c>
      <c r="I299" s="357">
        <f t="shared" ca="1" si="129"/>
        <v>216.20368559336416</v>
      </c>
      <c r="J299" s="359">
        <f t="shared" ca="1" si="130"/>
        <v>72.100677655293211</v>
      </c>
      <c r="K299" s="360">
        <f t="shared" ca="1" si="131"/>
        <v>331.47590197292254</v>
      </c>
      <c r="L299" s="357">
        <f t="shared" ca="1" si="116"/>
        <v>339.2267402595424</v>
      </c>
      <c r="M299" s="359">
        <f t="shared" ca="1" si="132"/>
        <v>1.3431309898631452</v>
      </c>
      <c r="N299" s="357">
        <f t="shared" ca="1" si="133"/>
        <v>76.95573705238678</v>
      </c>
      <c r="O299" s="343"/>
      <c r="P299" s="363">
        <f t="shared" ca="1" si="134"/>
        <v>10</v>
      </c>
      <c r="Q299" s="357">
        <f t="shared" ca="1" si="135"/>
        <v>748.05714285714544</v>
      </c>
      <c r="R299" s="359">
        <f t="shared" ca="1" si="136"/>
        <v>0.37472595583891205</v>
      </c>
      <c r="S299" s="360">
        <f t="shared" ca="1" si="137"/>
        <v>10.116777207750237</v>
      </c>
      <c r="T299" s="357">
        <f t="shared" ca="1" si="117"/>
        <v>99.245584408029828</v>
      </c>
      <c r="U299" s="364">
        <f t="shared" ca="1" si="118"/>
        <v>0</v>
      </c>
      <c r="V299" s="359">
        <f t="shared" ca="1" si="119"/>
        <v>1.1850562220003493</v>
      </c>
      <c r="W299" s="357">
        <f t="shared" ca="1" si="120"/>
        <v>125.38476166778013</v>
      </c>
      <c r="X299" s="343"/>
      <c r="Y299" s="367" t="str">
        <f t="shared" ca="1" si="138"/>
        <v/>
      </c>
      <c r="Z299" s="368" t="str">
        <f t="shared" ca="1" si="139"/>
        <v/>
      </c>
      <c r="AA299" s="369" t="str">
        <f t="shared" ca="1" si="140"/>
        <v/>
      </c>
      <c r="AB299" s="344"/>
      <c r="AC299" s="363" t="e">
        <f t="shared" ca="1" si="141"/>
        <v>#N/A</v>
      </c>
      <c r="AD299" s="376" t="e">
        <f t="shared" ca="1" si="142"/>
        <v>#N/A</v>
      </c>
      <c r="AE299" s="377">
        <f t="shared" ca="1" si="121"/>
        <v>331.47590197292254</v>
      </c>
      <c r="AF299" s="344"/>
      <c r="AG299" s="359">
        <f t="shared" ca="1" si="143"/>
        <v>52.048408145033541</v>
      </c>
      <c r="AH299" s="357">
        <f t="shared" ca="1" si="144"/>
        <v>61.605497425695773</v>
      </c>
    </row>
    <row r="300" spans="1:34" x14ac:dyDescent="0.25">
      <c r="A300" s="402">
        <f t="shared" ca="1" si="122"/>
        <v>0.01</v>
      </c>
      <c r="B300" s="357">
        <f t="shared" ca="1" si="123"/>
        <v>2.9599999999999809</v>
      </c>
      <c r="C300" s="342"/>
      <c r="D300" s="359">
        <f t="shared" ca="1" si="124"/>
        <v>13.866891839366897</v>
      </c>
      <c r="E300" s="360">
        <f t="shared" ca="1" si="125"/>
        <v>50.043113489497486</v>
      </c>
      <c r="F300" s="357">
        <f t="shared" ca="1" si="126"/>
        <v>51.928834928269147</v>
      </c>
      <c r="G300" s="359">
        <f t="shared" ca="1" si="127"/>
        <v>48.93664531867843</v>
      </c>
      <c r="H300" s="360">
        <f t="shared" ca="1" si="128"/>
        <v>211.12519502411934</v>
      </c>
      <c r="I300" s="357">
        <f t="shared" ca="1" si="129"/>
        <v>216.72250282104662</v>
      </c>
      <c r="J300" s="359">
        <f t="shared" ca="1" si="130"/>
        <v>72.589350763888021</v>
      </c>
      <c r="K300" s="360">
        <f t="shared" ca="1" si="131"/>
        <v>333.58465176748928</v>
      </c>
      <c r="L300" s="357">
        <f t="shared" ca="1" si="116"/>
        <v>341.39117407917837</v>
      </c>
      <c r="M300" s="359">
        <f t="shared" ca="1" si="132"/>
        <v>1.3430288244912469</v>
      </c>
      <c r="N300" s="357">
        <f t="shared" ca="1" si="133"/>
        <v>76.949883407764617</v>
      </c>
      <c r="O300" s="343"/>
      <c r="P300" s="363">
        <f t="shared" ca="1" si="134"/>
        <v>10</v>
      </c>
      <c r="Q300" s="357">
        <f t="shared" ca="1" si="135"/>
        <v>746.71428571428828</v>
      </c>
      <c r="R300" s="359">
        <f t="shared" ca="1" si="136"/>
        <v>0.37405327537430166</v>
      </c>
      <c r="S300" s="360">
        <f t="shared" ca="1" si="137"/>
        <v>10.113036674996494</v>
      </c>
      <c r="T300" s="357">
        <f t="shared" ca="1" si="117"/>
        <v>99.208889781715612</v>
      </c>
      <c r="U300" s="364">
        <f t="shared" ca="1" si="118"/>
        <v>0</v>
      </c>
      <c r="V300" s="359">
        <f t="shared" ca="1" si="119"/>
        <v>1.1848062805537189</v>
      </c>
      <c r="W300" s="357">
        <f t="shared" ca="1" si="120"/>
        <v>125.96067537087468</v>
      </c>
      <c r="X300" s="343"/>
      <c r="Y300" s="367" t="str">
        <f t="shared" ca="1" si="138"/>
        <v/>
      </c>
      <c r="Z300" s="368" t="str">
        <f t="shared" ca="1" si="139"/>
        <v/>
      </c>
      <c r="AA300" s="369" t="str">
        <f t="shared" ca="1" si="140"/>
        <v/>
      </c>
      <c r="AB300" s="344"/>
      <c r="AC300" s="363" t="e">
        <f t="shared" ca="1" si="141"/>
        <v>#N/A</v>
      </c>
      <c r="AD300" s="376" t="e">
        <f t="shared" ca="1" si="142"/>
        <v>#N/A</v>
      </c>
      <c r="AE300" s="377">
        <f t="shared" ca="1" si="121"/>
        <v>333.58465176748928</v>
      </c>
      <c r="AF300" s="344"/>
      <c r="AG300" s="359">
        <f t="shared" ca="1" si="143"/>
        <v>51.881609663337173</v>
      </c>
      <c r="AH300" s="357">
        <f t="shared" ca="1" si="144"/>
        <v>61.438472341614798</v>
      </c>
    </row>
    <row r="301" spans="1:34" x14ac:dyDescent="0.25">
      <c r="A301" s="402">
        <f t="shared" ca="1" si="122"/>
        <v>0.01</v>
      </c>
      <c r="B301" s="357">
        <f t="shared" ca="1" si="123"/>
        <v>2.9699999999999807</v>
      </c>
      <c r="C301" s="342"/>
      <c r="D301" s="359">
        <f t="shared" ca="1" si="124"/>
        <v>13.835272569600122</v>
      </c>
      <c r="E301" s="360">
        <f t="shared" ca="1" si="125"/>
        <v>49.878901853551852</v>
      </c>
      <c r="F301" s="357">
        <f t="shared" ca="1" si="126"/>
        <v>51.762144634775204</v>
      </c>
      <c r="G301" s="359">
        <f t="shared" ca="1" si="127"/>
        <v>49.074998044374432</v>
      </c>
      <c r="H301" s="360">
        <f t="shared" ca="1" si="128"/>
        <v>211.62398404265485</v>
      </c>
      <c r="I301" s="357">
        <f t="shared" ca="1" si="129"/>
        <v>217.23965120378276</v>
      </c>
      <c r="J301" s="359">
        <f t="shared" ca="1" si="130"/>
        <v>73.079408980703292</v>
      </c>
      <c r="K301" s="360">
        <f t="shared" ca="1" si="131"/>
        <v>335.69839766282314</v>
      </c>
      <c r="L301" s="357">
        <f t="shared" ca="1" si="116"/>
        <v>343.56078677630808</v>
      </c>
      <c r="M301" s="359">
        <f t="shared" ca="1" si="132"/>
        <v>1.3429268573841129</v>
      </c>
      <c r="N301" s="357">
        <f t="shared" ca="1" si="133"/>
        <v>76.944041122876683</v>
      </c>
      <c r="O301" s="343"/>
      <c r="P301" s="363">
        <f t="shared" ca="1" si="134"/>
        <v>10</v>
      </c>
      <c r="Q301" s="357">
        <f t="shared" ca="1" si="135"/>
        <v>745.37142857143112</v>
      </c>
      <c r="R301" s="359">
        <f t="shared" ca="1" si="136"/>
        <v>0.37338059490969128</v>
      </c>
      <c r="S301" s="360">
        <f t="shared" ca="1" si="137"/>
        <v>10.109302869047397</v>
      </c>
      <c r="T301" s="357">
        <f t="shared" ca="1" si="117"/>
        <v>99.172261145354966</v>
      </c>
      <c r="U301" s="364">
        <f t="shared" ca="1" si="118"/>
        <v>0</v>
      </c>
      <c r="V301" s="359">
        <f t="shared" ca="1" si="119"/>
        <v>1.1845557989604902</v>
      </c>
      <c r="W301" s="357">
        <f t="shared" ca="1" si="120"/>
        <v>126.53577654201236</v>
      </c>
      <c r="X301" s="343"/>
      <c r="Y301" s="367" t="str">
        <f t="shared" ca="1" si="138"/>
        <v/>
      </c>
      <c r="Z301" s="368" t="str">
        <f t="shared" ca="1" si="139"/>
        <v/>
      </c>
      <c r="AA301" s="369" t="str">
        <f t="shared" ca="1" si="140"/>
        <v/>
      </c>
      <c r="AB301" s="344"/>
      <c r="AC301" s="363" t="e">
        <f t="shared" ca="1" si="141"/>
        <v>#N/A</v>
      </c>
      <c r="AD301" s="376" t="e">
        <f t="shared" ca="1" si="142"/>
        <v>#N/A</v>
      </c>
      <c r="AE301" s="377">
        <f t="shared" ca="1" si="121"/>
        <v>335.69839766282314</v>
      </c>
      <c r="AF301" s="344"/>
      <c r="AG301" s="359">
        <f t="shared" ca="1" si="143"/>
        <v>51.714725338421964</v>
      </c>
      <c r="AH301" s="357">
        <f t="shared" ca="1" si="144"/>
        <v>61.271361757007455</v>
      </c>
    </row>
    <row r="302" spans="1:34" x14ac:dyDescent="0.25">
      <c r="A302" s="402">
        <f t="shared" ca="1" si="122"/>
        <v>0.01</v>
      </c>
      <c r="B302" s="357">
        <f t="shared" ca="1" si="123"/>
        <v>2.9799999999999804</v>
      </c>
      <c r="C302" s="342"/>
      <c r="D302" s="359">
        <f t="shared" ca="1" si="124"/>
        <v>13.803589168713922</v>
      </c>
      <c r="E302" s="360">
        <f t="shared" ca="1" si="125"/>
        <v>49.714618448887286</v>
      </c>
      <c r="F302" s="357">
        <f t="shared" ca="1" si="126"/>
        <v>51.595371511959101</v>
      </c>
      <c r="G302" s="359">
        <f t="shared" ca="1" si="127"/>
        <v>49.213033936061571</v>
      </c>
      <c r="H302" s="360">
        <f t="shared" ca="1" si="128"/>
        <v>212.12113022714374</v>
      </c>
      <c r="I302" s="357">
        <f t="shared" ca="1" si="129"/>
        <v>217.75512990061293</v>
      </c>
      <c r="J302" s="359">
        <f t="shared" ca="1" si="130"/>
        <v>73.570849140605475</v>
      </c>
      <c r="K302" s="360">
        <f t="shared" ca="1" si="131"/>
        <v>337.81712323417213</v>
      </c>
      <c r="L302" s="357">
        <f t="shared" ca="1" si="116"/>
        <v>345.73556165584353</v>
      </c>
      <c r="M302" s="359">
        <f t="shared" ca="1" si="132"/>
        <v>1.3428250869077594</v>
      </c>
      <c r="N302" s="357">
        <f t="shared" ca="1" si="133"/>
        <v>76.938210104102595</v>
      </c>
      <c r="O302" s="343"/>
      <c r="P302" s="363">
        <f t="shared" ca="1" si="134"/>
        <v>10</v>
      </c>
      <c r="Q302" s="357">
        <f t="shared" ca="1" si="135"/>
        <v>744.02857142857408</v>
      </c>
      <c r="R302" s="359">
        <f t="shared" ca="1" si="136"/>
        <v>0.372707914445081</v>
      </c>
      <c r="S302" s="360">
        <f t="shared" ca="1" si="137"/>
        <v>10.105575789902947</v>
      </c>
      <c r="T302" s="357">
        <f t="shared" ca="1" si="117"/>
        <v>99.135698498947917</v>
      </c>
      <c r="U302" s="364">
        <f t="shared" ca="1" si="118"/>
        <v>0</v>
      </c>
      <c r="V302" s="359">
        <f t="shared" ca="1" si="119"/>
        <v>1.1843047795194204</v>
      </c>
      <c r="W302" s="357">
        <f t="shared" ca="1" si="120"/>
        <v>127.11005005944986</v>
      </c>
      <c r="X302" s="343"/>
      <c r="Y302" s="367" t="str">
        <f t="shared" ca="1" si="138"/>
        <v/>
      </c>
      <c r="Z302" s="368" t="str">
        <f t="shared" ca="1" si="139"/>
        <v/>
      </c>
      <c r="AA302" s="369" t="str">
        <f t="shared" ca="1" si="140"/>
        <v/>
      </c>
      <c r="AB302" s="344"/>
      <c r="AC302" s="363" t="e">
        <f t="shared" ca="1" si="141"/>
        <v>#N/A</v>
      </c>
      <c r="AD302" s="376" t="e">
        <f t="shared" ca="1" si="142"/>
        <v>#N/A</v>
      </c>
      <c r="AE302" s="377">
        <f t="shared" ca="1" si="121"/>
        <v>337.81712323417213</v>
      </c>
      <c r="AF302" s="344"/>
      <c r="AG302" s="359">
        <f t="shared" ca="1" si="143"/>
        <v>51.547756916021918</v>
      </c>
      <c r="AH302" s="357">
        <f t="shared" ca="1" si="144"/>
        <v>61.10416741454096</v>
      </c>
    </row>
    <row r="303" spans="1:34" x14ac:dyDescent="0.25">
      <c r="A303" s="402">
        <f t="shared" ca="1" si="122"/>
        <v>0.01</v>
      </c>
      <c r="B303" s="357">
        <f t="shared" ca="1" si="123"/>
        <v>2.9899999999999802</v>
      </c>
      <c r="C303" s="342"/>
      <c r="D303" s="359">
        <f t="shared" ca="1" si="124"/>
        <v>13.771842200413266</v>
      </c>
      <c r="E303" s="360">
        <f t="shared" ca="1" si="125"/>
        <v>49.550264938287256</v>
      </c>
      <c r="F303" s="357">
        <f t="shared" ca="1" si="126"/>
        <v>51.42851731333058</v>
      </c>
      <c r="G303" s="359">
        <f t="shared" ca="1" si="127"/>
        <v>49.350752358065705</v>
      </c>
      <c r="H303" s="360">
        <f t="shared" ca="1" si="128"/>
        <v>212.61663287652661</v>
      </c>
      <c r="I303" s="357">
        <f t="shared" ca="1" si="129"/>
        <v>218.26893808799002</v>
      </c>
      <c r="J303" s="359">
        <f t="shared" ca="1" si="130"/>
        <v>74.063668072076112</v>
      </c>
      <c r="K303" s="360">
        <f t="shared" ca="1" si="131"/>
        <v>339.94081204969046</v>
      </c>
      <c r="L303" s="357">
        <f t="shared" ca="1" si="116"/>
        <v>347.9154820143732</v>
      </c>
      <c r="M303" s="359">
        <f t="shared" ca="1" si="132"/>
        <v>1.342723511443187</v>
      </c>
      <c r="N303" s="357">
        <f t="shared" ca="1" si="133"/>
        <v>76.932390258680513</v>
      </c>
      <c r="O303" s="343"/>
      <c r="P303" s="363">
        <f t="shared" ca="1" si="134"/>
        <v>10</v>
      </c>
      <c r="Q303" s="357">
        <f t="shared" ca="1" si="135"/>
        <v>742.68571428571693</v>
      </c>
      <c r="R303" s="359">
        <f t="shared" ca="1" si="136"/>
        <v>0.37203523398047061</v>
      </c>
      <c r="S303" s="360">
        <f t="shared" ca="1" si="137"/>
        <v>10.101855437563142</v>
      </c>
      <c r="T303" s="357">
        <f t="shared" ca="1" si="117"/>
        <v>99.099201842494423</v>
      </c>
      <c r="U303" s="364">
        <f t="shared" ca="1" si="118"/>
        <v>0</v>
      </c>
      <c r="V303" s="359">
        <f t="shared" ca="1" si="119"/>
        <v>1.184053224529132</v>
      </c>
      <c r="W303" s="357">
        <f t="shared" ca="1" si="120"/>
        <v>127.68348087598324</v>
      </c>
      <c r="X303" s="343"/>
      <c r="Y303" s="367" t="str">
        <f t="shared" ca="1" si="138"/>
        <v/>
      </c>
      <c r="Z303" s="368" t="str">
        <f t="shared" ca="1" si="139"/>
        <v/>
      </c>
      <c r="AA303" s="369" t="str">
        <f t="shared" ca="1" si="140"/>
        <v/>
      </c>
      <c r="AB303" s="344"/>
      <c r="AC303" s="363" t="e">
        <f t="shared" ca="1" si="141"/>
        <v>#N/A</v>
      </c>
      <c r="AD303" s="376" t="e">
        <f t="shared" ca="1" si="142"/>
        <v>#N/A</v>
      </c>
      <c r="AE303" s="377">
        <f t="shared" ca="1" si="121"/>
        <v>339.94081204969046</v>
      </c>
      <c r="AF303" s="344"/>
      <c r="AG303" s="359">
        <f t="shared" ca="1" si="143"/>
        <v>51.380706137400793</v>
      </c>
      <c r="AH303" s="357">
        <f t="shared" ca="1" si="144"/>
        <v>60.936891052438341</v>
      </c>
    </row>
    <row r="304" spans="1:34" x14ac:dyDescent="0.25">
      <c r="A304" s="402">
        <f t="shared" ca="1" si="122"/>
        <v>0.01</v>
      </c>
      <c r="B304" s="357">
        <f t="shared" ca="1" si="123"/>
        <v>2.99999999999998</v>
      </c>
      <c r="C304" s="342"/>
      <c r="D304" s="359">
        <f t="shared" ca="1" si="124"/>
        <v>13.740032226203132</v>
      </c>
      <c r="E304" s="360">
        <f t="shared" ca="1" si="125"/>
        <v>49.385842980351669</v>
      </c>
      <c r="F304" s="357">
        <f t="shared" ca="1" si="126"/>
        <v>51.261583788028354</v>
      </c>
      <c r="G304" s="359">
        <f t="shared" ca="1" si="127"/>
        <v>49.488152680327737</v>
      </c>
      <c r="H304" s="360">
        <f t="shared" ca="1" si="128"/>
        <v>213.11049130633012</v>
      </c>
      <c r="I304" s="357">
        <f t="shared" ca="1" si="129"/>
        <v>218.78107495973421</v>
      </c>
      <c r="J304" s="359">
        <f t="shared" ca="1" si="130"/>
        <v>74.557862597268084</v>
      </c>
      <c r="K304" s="360">
        <f t="shared" ca="1" si="131"/>
        <v>342.06944767060475</v>
      </c>
      <c r="L304" s="357">
        <f t="shared" ca="1" si="116"/>
        <v>350.10053114033644</v>
      </c>
      <c r="M304" s="359">
        <f t="shared" ca="1" si="132"/>
        <v>1.342622129386184</v>
      </c>
      <c r="N304" s="357">
        <f t="shared" ca="1" si="133"/>
        <v>76.926581494695881</v>
      </c>
      <c r="O304" s="343"/>
      <c r="P304" s="363">
        <f t="shared" ca="1" si="134"/>
        <v>10</v>
      </c>
      <c r="Q304" s="357">
        <f t="shared" ca="1" si="135"/>
        <v>741.34285714285988</v>
      </c>
      <c r="R304" s="359">
        <f t="shared" ca="1" si="136"/>
        <v>0.37136255351586028</v>
      </c>
      <c r="S304" s="360">
        <f t="shared" ca="1" si="137"/>
        <v>10.098141812027983</v>
      </c>
      <c r="T304" s="357">
        <f t="shared" ca="1" si="117"/>
        <v>99.062771175994513</v>
      </c>
      <c r="U304" s="364">
        <f t="shared" ca="1" si="118"/>
        <v>0</v>
      </c>
      <c r="V304" s="359">
        <f t="shared" ca="1" si="119"/>
        <v>1.1838011362880807</v>
      </c>
      <c r="W304" s="357">
        <f t="shared" ca="1" si="120"/>
        <v>128.25605401920268</v>
      </c>
      <c r="X304" s="343"/>
      <c r="Y304" s="367" t="str">
        <f t="shared" ca="1" si="138"/>
        <v/>
      </c>
      <c r="Z304" s="368" t="str">
        <f t="shared" ca="1" si="139"/>
        <v/>
      </c>
      <c r="AA304" s="369" t="str">
        <f t="shared" ca="1" si="140"/>
        <v/>
      </c>
      <c r="AB304" s="344"/>
      <c r="AC304" s="363">
        <f t="shared" ca="1" si="141"/>
        <v>2.99999999999998</v>
      </c>
      <c r="AD304" s="376">
        <f t="shared" ca="1" si="142"/>
        <v>74.557862597268084</v>
      </c>
      <c r="AE304" s="377">
        <f t="shared" ca="1" si="121"/>
        <v>342.06944767060475</v>
      </c>
      <c r="AF304" s="344"/>
      <c r="AG304" s="359">
        <f t="shared" ca="1" si="143"/>
        <v>51.213574739306836</v>
      </c>
      <c r="AH304" s="357">
        <f t="shared" ca="1" si="144"/>
        <v>60.769534404432875</v>
      </c>
    </row>
    <row r="305" spans="1:34" x14ac:dyDescent="0.25">
      <c r="A305" s="402">
        <f t="shared" ca="1" si="122"/>
        <v>0.01</v>
      </c>
      <c r="B305" s="357">
        <f t="shared" ca="1" si="123"/>
        <v>3.0099999999999798</v>
      </c>
      <c r="C305" s="342"/>
      <c r="D305" s="359">
        <f t="shared" ca="1" si="124"/>
        <v>13.708159805395544</v>
      </c>
      <c r="E305" s="360">
        <f t="shared" ca="1" si="125"/>
        <v>49.221354229449965</v>
      </c>
      <c r="F305" s="357">
        <f t="shared" ca="1" si="126"/>
        <v>51.094572680777496</v>
      </c>
      <c r="G305" s="359">
        <f t="shared" ca="1" si="127"/>
        <v>49.62523427838169</v>
      </c>
      <c r="H305" s="360">
        <f t="shared" ca="1" si="128"/>
        <v>213.60270484862463</v>
      </c>
      <c r="I305" s="357">
        <f t="shared" ca="1" si="129"/>
        <v>219.29153972698745</v>
      </c>
      <c r="J305" s="359">
        <f t="shared" ca="1" si="130"/>
        <v>75.053429532061628</v>
      </c>
      <c r="K305" s="360">
        <f t="shared" ca="1" si="131"/>
        <v>344.20301365137954</v>
      </c>
      <c r="L305" s="357">
        <f t="shared" ca="1" si="116"/>
        <v>352.29069231419658</v>
      </c>
      <c r="M305" s="359">
        <f t="shared" ca="1" si="132"/>
        <v>1.342520939147132</v>
      </c>
      <c r="N305" s="357">
        <f t="shared" ca="1" si="133"/>
        <v>76.920783721070279</v>
      </c>
      <c r="O305" s="343"/>
      <c r="P305" s="363">
        <f t="shared" ca="1" si="134"/>
        <v>10</v>
      </c>
      <c r="Q305" s="357">
        <f t="shared" ca="1" si="135"/>
        <v>740.00000000000273</v>
      </c>
      <c r="R305" s="359">
        <f t="shared" ca="1" si="136"/>
        <v>0.3706898730512499</v>
      </c>
      <c r="S305" s="360">
        <f t="shared" ca="1" si="137"/>
        <v>10.094434913297469</v>
      </c>
      <c r="T305" s="357">
        <f t="shared" ca="1" si="117"/>
        <v>99.026406499448186</v>
      </c>
      <c r="U305" s="364">
        <f t="shared" ca="1" si="118"/>
        <v>0</v>
      </c>
      <c r="V305" s="359">
        <f t="shared" ca="1" si="119"/>
        <v>1.1835485170945252</v>
      </c>
      <c r="W305" s="357">
        <f t="shared" ca="1" si="120"/>
        <v>128.82775459174323</v>
      </c>
      <c r="X305" s="343"/>
      <c r="Y305" s="367" t="str">
        <f t="shared" ca="1" si="138"/>
        <v/>
      </c>
      <c r="Z305" s="368" t="str">
        <f t="shared" ca="1" si="139"/>
        <v/>
      </c>
      <c r="AA305" s="369" t="str">
        <f t="shared" ca="1" si="140"/>
        <v/>
      </c>
      <c r="AB305" s="344"/>
      <c r="AC305" s="363" t="e">
        <f t="shared" ca="1" si="141"/>
        <v>#N/A</v>
      </c>
      <c r="AD305" s="376" t="e">
        <f t="shared" ca="1" si="142"/>
        <v>#N/A</v>
      </c>
      <c r="AE305" s="377">
        <f t="shared" ca="1" si="121"/>
        <v>344.20301365137954</v>
      </c>
      <c r="AF305" s="344"/>
      <c r="AG305" s="359">
        <f t="shared" ca="1" si="143"/>
        <v>51.046364453928021</v>
      </c>
      <c r="AH305" s="357">
        <f t="shared" ca="1" si="144"/>
        <v>60.602099199722957</v>
      </c>
    </row>
    <row r="306" spans="1:34" x14ac:dyDescent="0.25">
      <c r="A306" s="402">
        <f t="shared" ca="1" si="122"/>
        <v>0.01</v>
      </c>
      <c r="B306" s="357">
        <f t="shared" ca="1" si="123"/>
        <v>3.0199999999999796</v>
      </c>
      <c r="C306" s="342"/>
      <c r="D306" s="359">
        <f t="shared" ca="1" si="124"/>
        <v>13.676225495116389</v>
      </c>
      <c r="E306" s="360">
        <f t="shared" ca="1" si="125"/>
        <v>49.056800335674808</v>
      </c>
      <c r="F306" s="357">
        <f t="shared" ca="1" si="126"/>
        <v>50.927485731847547</v>
      </c>
      <c r="G306" s="359">
        <f t="shared" ca="1" si="127"/>
        <v>49.761996533332855</v>
      </c>
      <c r="H306" s="360">
        <f t="shared" ca="1" si="128"/>
        <v>214.09327285198137</v>
      </c>
      <c r="I306" s="357">
        <f t="shared" ca="1" si="129"/>
        <v>219.80033161816743</v>
      </c>
      <c r="J306" s="359">
        <f t="shared" ca="1" si="130"/>
        <v>75.550365686120202</v>
      </c>
      <c r="K306" s="360">
        <f t="shared" ca="1" si="131"/>
        <v>346.34149353988255</v>
      </c>
      <c r="L306" s="357">
        <f t="shared" ca="1" si="116"/>
        <v>354.48594880861356</v>
      </c>
      <c r="M306" s="359">
        <f t="shared" ca="1" si="132"/>
        <v>1.342419939150814</v>
      </c>
      <c r="N306" s="357">
        <f t="shared" ca="1" si="133"/>
        <v>76.914996847550427</v>
      </c>
      <c r="O306" s="343"/>
      <c r="P306" s="363">
        <f t="shared" ca="1" si="134"/>
        <v>10</v>
      </c>
      <c r="Q306" s="357">
        <f t="shared" ca="1" si="135"/>
        <v>738.65714285714557</v>
      </c>
      <c r="R306" s="359">
        <f t="shared" ca="1" si="136"/>
        <v>0.37001719258663951</v>
      </c>
      <c r="S306" s="360">
        <f t="shared" ca="1" si="137"/>
        <v>10.090734741371604</v>
      </c>
      <c r="T306" s="357">
        <f t="shared" ca="1" si="117"/>
        <v>98.990107812855442</v>
      </c>
      <c r="U306" s="364">
        <f t="shared" ca="1" si="118"/>
        <v>0</v>
      </c>
      <c r="V306" s="359">
        <f t="shared" ca="1" si="119"/>
        <v>1.1832953692464994</v>
      </c>
      <c r="W306" s="357">
        <f t="shared" ca="1" si="120"/>
        <v>129.39856777153057</v>
      </c>
      <c r="X306" s="343"/>
      <c r="Y306" s="367" t="str">
        <f t="shared" ca="1" si="138"/>
        <v/>
      </c>
      <c r="Z306" s="368" t="str">
        <f t="shared" ca="1" si="139"/>
        <v/>
      </c>
      <c r="AA306" s="369" t="str">
        <f t="shared" ca="1" si="140"/>
        <v/>
      </c>
      <c r="AB306" s="344"/>
      <c r="AC306" s="363" t="e">
        <f t="shared" ca="1" si="141"/>
        <v>#N/A</v>
      </c>
      <c r="AD306" s="376" t="e">
        <f t="shared" ca="1" si="142"/>
        <v>#N/A</v>
      </c>
      <c r="AE306" s="377">
        <f t="shared" ca="1" si="121"/>
        <v>346.34149353988255</v>
      </c>
      <c r="AF306" s="344"/>
      <c r="AG306" s="359">
        <f t="shared" ca="1" si="143"/>
        <v>50.879077008847716</v>
      </c>
      <c r="AH306" s="357">
        <f t="shared" ca="1" si="144"/>
        <v>60.43458716292745</v>
      </c>
    </row>
    <row r="307" spans="1:34" x14ac:dyDescent="0.25">
      <c r="A307" s="402">
        <f t="shared" ca="1" si="122"/>
        <v>0.01</v>
      </c>
      <c r="B307" s="357">
        <f t="shared" ca="1" si="123"/>
        <v>3.0299999999999794</v>
      </c>
      <c r="C307" s="342"/>
      <c r="D307" s="359">
        <f t="shared" ca="1" si="124"/>
        <v>13.644229850312101</v>
      </c>
      <c r="E307" s="360">
        <f t="shared" ca="1" si="125"/>
        <v>48.892182944796161</v>
      </c>
      <c r="F307" s="357">
        <f t="shared" ca="1" si="126"/>
        <v>50.760324677010928</v>
      </c>
      <c r="G307" s="359">
        <f t="shared" ca="1" si="127"/>
        <v>49.898438831835975</v>
      </c>
      <c r="H307" s="360">
        <f t="shared" ca="1" si="128"/>
        <v>214.58219468142934</v>
      </c>
      <c r="I307" s="357">
        <f t="shared" ca="1" si="129"/>
        <v>220.30744987892106</v>
      </c>
      <c r="J307" s="359">
        <f t="shared" ca="1" si="130"/>
        <v>76.048667862946047</v>
      </c>
      <c r="K307" s="360">
        <f t="shared" ca="1" si="131"/>
        <v>348.48487087754961</v>
      </c>
      <c r="L307" s="357">
        <f t="shared" ca="1" si="116"/>
        <v>356.68628388861703</v>
      </c>
      <c r="M307" s="359">
        <f t="shared" ca="1" si="132"/>
        <v>1.3423191278362268</v>
      </c>
      <c r="N307" s="357">
        <f t="shared" ca="1" si="133"/>
        <v>76.909220784697411</v>
      </c>
      <c r="O307" s="343"/>
      <c r="P307" s="363">
        <f t="shared" ca="1" si="134"/>
        <v>10</v>
      </c>
      <c r="Q307" s="357">
        <f t="shared" ca="1" si="135"/>
        <v>737.31428571428853</v>
      </c>
      <c r="R307" s="359">
        <f t="shared" ca="1" si="136"/>
        <v>0.36934451212202918</v>
      </c>
      <c r="S307" s="360">
        <f t="shared" ca="1" si="137"/>
        <v>10.087041296250383</v>
      </c>
      <c r="T307" s="357">
        <f t="shared" ca="1" si="117"/>
        <v>98.953875116216267</v>
      </c>
      <c r="U307" s="364">
        <f t="shared" ca="1" si="118"/>
        <v>0</v>
      </c>
      <c r="V307" s="359">
        <f t="shared" ca="1" si="119"/>
        <v>1.1830416950417806</v>
      </c>
      <c r="W307" s="357">
        <f t="shared" ca="1" si="120"/>
        <v>129.96847881202115</v>
      </c>
      <c r="X307" s="343"/>
      <c r="Y307" s="367" t="str">
        <f t="shared" ca="1" si="138"/>
        <v/>
      </c>
      <c r="Z307" s="368" t="str">
        <f t="shared" ca="1" si="139"/>
        <v/>
      </c>
      <c r="AA307" s="369" t="str">
        <f t="shared" ca="1" si="140"/>
        <v/>
      </c>
      <c r="AB307" s="344"/>
      <c r="AC307" s="363" t="e">
        <f t="shared" ca="1" si="141"/>
        <v>#N/A</v>
      </c>
      <c r="AD307" s="376" t="e">
        <f t="shared" ca="1" si="142"/>
        <v>#N/A</v>
      </c>
      <c r="AE307" s="377">
        <f t="shared" ca="1" si="121"/>
        <v>348.48487087754961</v>
      </c>
      <c r="AF307" s="344"/>
      <c r="AG307" s="359">
        <f t="shared" ca="1" si="143"/>
        <v>50.711714127000711</v>
      </c>
      <c r="AH307" s="357">
        <f t="shared" ca="1" si="144"/>
        <v>60.267000014041393</v>
      </c>
    </row>
    <row r="308" spans="1:34" x14ac:dyDescent="0.25">
      <c r="A308" s="402">
        <f t="shared" ca="1" si="122"/>
        <v>0.01</v>
      </c>
      <c r="B308" s="357">
        <f t="shared" ca="1" si="123"/>
        <v>3.0399999999999792</v>
      </c>
      <c r="C308" s="342"/>
      <c r="D308" s="359">
        <f t="shared" ca="1" si="124"/>
        <v>13.612173423756026</v>
      </c>
      <c r="E308" s="360">
        <f t="shared" ca="1" si="125"/>
        <v>48.727503698215827</v>
      </c>
      <c r="F308" s="357">
        <f t="shared" ca="1" si="126"/>
        <v>50.593091247501832</v>
      </c>
      <c r="G308" s="359">
        <f t="shared" ca="1" si="127"/>
        <v>50.034560566073537</v>
      </c>
      <c r="H308" s="360">
        <f t="shared" ca="1" si="128"/>
        <v>215.06946971841151</v>
      </c>
      <c r="I308" s="357">
        <f t="shared" ca="1" si="129"/>
        <v>220.81289377207756</v>
      </c>
      <c r="J308" s="359">
        <f t="shared" ca="1" si="130"/>
        <v>76.548332859935599</v>
      </c>
      <c r="K308" s="360">
        <f t="shared" ca="1" si="131"/>
        <v>350.63312919954882</v>
      </c>
      <c r="L308" s="357">
        <f t="shared" ca="1" si="116"/>
        <v>358.8916808117778</v>
      </c>
      <c r="M308" s="359">
        <f t="shared" ca="1" si="132"/>
        <v>1.3422185036563954</v>
      </c>
      <c r="N308" s="357">
        <f t="shared" ca="1" si="133"/>
        <v>76.903455443876112</v>
      </c>
      <c r="O308" s="343"/>
      <c r="P308" s="363">
        <f t="shared" ca="1" si="134"/>
        <v>10</v>
      </c>
      <c r="Q308" s="357">
        <f t="shared" ca="1" si="135"/>
        <v>735.97142857143137</v>
      </c>
      <c r="R308" s="359">
        <f t="shared" ca="1" si="136"/>
        <v>0.36867183165741879</v>
      </c>
      <c r="S308" s="360">
        <f t="shared" ca="1" si="137"/>
        <v>10.083354577933809</v>
      </c>
      <c r="T308" s="357">
        <f t="shared" ca="1" si="117"/>
        <v>98.917708409530675</v>
      </c>
      <c r="U308" s="364">
        <f t="shared" ca="1" si="118"/>
        <v>0</v>
      </c>
      <c r="V308" s="359">
        <f t="shared" ca="1" si="119"/>
        <v>1.1827874967778615</v>
      </c>
      <c r="W308" s="357">
        <f t="shared" ca="1" si="120"/>
        <v>130.53747304243834</v>
      </c>
      <c r="X308" s="343"/>
      <c r="Y308" s="367" t="str">
        <f t="shared" ca="1" si="138"/>
        <v/>
      </c>
      <c r="Z308" s="368" t="str">
        <f t="shared" ca="1" si="139"/>
        <v/>
      </c>
      <c r="AA308" s="369" t="str">
        <f t="shared" ca="1" si="140"/>
        <v/>
      </c>
      <c r="AB308" s="344"/>
      <c r="AC308" s="363" t="e">
        <f t="shared" ca="1" si="141"/>
        <v>#N/A</v>
      </c>
      <c r="AD308" s="376" t="e">
        <f t="shared" ca="1" si="142"/>
        <v>#N/A</v>
      </c>
      <c r="AE308" s="377">
        <f t="shared" ca="1" si="121"/>
        <v>350.63312919954882</v>
      </c>
      <c r="AF308" s="344"/>
      <c r="AG308" s="359">
        <f t="shared" ca="1" si="143"/>
        <v>50.544277526629699</v>
      </c>
      <c r="AH308" s="357">
        <f t="shared" ca="1" si="144"/>
        <v>60.099339468392174</v>
      </c>
    </row>
    <row r="309" spans="1:34" x14ac:dyDescent="0.25">
      <c r="A309" s="402">
        <f t="shared" ca="1" si="122"/>
        <v>0.01</v>
      </c>
      <c r="B309" s="357">
        <f t="shared" ca="1" si="123"/>
        <v>3.049999999999979</v>
      </c>
      <c r="C309" s="342"/>
      <c r="D309" s="359">
        <f t="shared" ca="1" si="124"/>
        <v>13.58005676605462</v>
      </c>
      <c r="E309" s="360">
        <f t="shared" ca="1" si="125"/>
        <v>48.562764232922511</v>
      </c>
      <c r="F309" s="357">
        <f t="shared" ca="1" si="126"/>
        <v>50.425787169975678</v>
      </c>
      <c r="G309" s="359">
        <f t="shared" ca="1" si="127"/>
        <v>50.170361133734083</v>
      </c>
      <c r="H309" s="360">
        <f t="shared" ca="1" si="128"/>
        <v>215.55509736074075</v>
      </c>
      <c r="I309" s="357">
        <f t="shared" ca="1" si="129"/>
        <v>221.31666257760105</v>
      </c>
      <c r="J309" s="359">
        <f t="shared" ca="1" si="130"/>
        <v>77.049357468434636</v>
      </c>
      <c r="K309" s="360">
        <f t="shared" ca="1" si="131"/>
        <v>352.7862520349446</v>
      </c>
      <c r="L309" s="357">
        <f t="shared" ca="1" si="116"/>
        <v>361.10212282837949</v>
      </c>
      <c r="M309" s="359">
        <f t="shared" ca="1" si="132"/>
        <v>1.3421180650781916</v>
      </c>
      <c r="N309" s="357">
        <f t="shared" ca="1" si="133"/>
        <v>76.897700737244747</v>
      </c>
      <c r="O309" s="343"/>
      <c r="P309" s="363">
        <f t="shared" ca="1" si="134"/>
        <v>10</v>
      </c>
      <c r="Q309" s="357">
        <f t="shared" ca="1" si="135"/>
        <v>734.62857142857422</v>
      </c>
      <c r="R309" s="359">
        <f t="shared" ca="1" si="136"/>
        <v>0.3679991511928084</v>
      </c>
      <c r="S309" s="360">
        <f t="shared" ca="1" si="137"/>
        <v>10.079674586421881</v>
      </c>
      <c r="T309" s="357">
        <f t="shared" ca="1" si="117"/>
        <v>98.881607692798653</v>
      </c>
      <c r="U309" s="364">
        <f t="shared" ca="1" si="118"/>
        <v>0</v>
      </c>
      <c r="V309" s="359">
        <f t="shared" ca="1" si="119"/>
        <v>1.1825327767519205</v>
      </c>
      <c r="W309" s="357">
        <f t="shared" ca="1" si="120"/>
        <v>131.10553586800293</v>
      </c>
      <c r="X309" s="343"/>
      <c r="Y309" s="367" t="str">
        <f t="shared" ca="1" si="138"/>
        <v/>
      </c>
      <c r="Z309" s="368" t="str">
        <f t="shared" ca="1" si="139"/>
        <v/>
      </c>
      <c r="AA309" s="369" t="str">
        <f t="shared" ca="1" si="140"/>
        <v/>
      </c>
      <c r="AB309" s="344"/>
      <c r="AC309" s="363" t="e">
        <f t="shared" ca="1" si="141"/>
        <v>#N/A</v>
      </c>
      <c r="AD309" s="376" t="e">
        <f t="shared" ca="1" si="142"/>
        <v>#N/A</v>
      </c>
      <c r="AE309" s="377">
        <f t="shared" ca="1" si="121"/>
        <v>352.7862520349446</v>
      </c>
      <c r="AF309" s="344"/>
      <c r="AG309" s="359">
        <f t="shared" ca="1" si="143"/>
        <v>50.376768921242252</v>
      </c>
      <c r="AH309" s="357">
        <f t="shared" ca="1" si="144"/>
        <v>59.93160723659615</v>
      </c>
    </row>
    <row r="310" spans="1:34" x14ac:dyDescent="0.25">
      <c r="A310" s="402">
        <f t="shared" ca="1" si="122"/>
        <v>0.01</v>
      </c>
      <c r="B310" s="357">
        <f t="shared" ca="1" si="123"/>
        <v>3.0599999999999787</v>
      </c>
      <c r="C310" s="342"/>
      <c r="D310" s="359">
        <f t="shared" ca="1" si="124"/>
        <v>13.547880425653441</v>
      </c>
      <c r="E310" s="360">
        <f t="shared" ca="1" si="125"/>
        <v>48.397966181447458</v>
      </c>
      <c r="F310" s="357">
        <f t="shared" ca="1" si="126"/>
        <v>50.258414166469038</v>
      </c>
      <c r="G310" s="359">
        <f t="shared" ca="1" si="127"/>
        <v>50.305839937990619</v>
      </c>
      <c r="H310" s="360">
        <f t="shared" ca="1" si="128"/>
        <v>216.03907702255523</v>
      </c>
      <c r="I310" s="357">
        <f t="shared" ca="1" si="129"/>
        <v>221.81875559254291</v>
      </c>
      <c r="J310" s="359">
        <f t="shared" ca="1" si="130"/>
        <v>77.551738473793264</v>
      </c>
      <c r="K310" s="360">
        <f t="shared" ca="1" si="131"/>
        <v>354.94422290686106</v>
      </c>
      <c r="L310" s="357">
        <f t="shared" ca="1" si="116"/>
        <v>363.3175931815897</v>
      </c>
      <c r="M310" s="359">
        <f t="shared" ca="1" si="132"/>
        <v>1.3420178105821543</v>
      </c>
      <c r="N310" s="357">
        <f t="shared" ca="1" si="133"/>
        <v>76.891956577744594</v>
      </c>
      <c r="O310" s="343"/>
      <c r="P310" s="363">
        <f t="shared" ca="1" si="134"/>
        <v>10</v>
      </c>
      <c r="Q310" s="357">
        <f t="shared" ca="1" si="135"/>
        <v>733.28571428571718</v>
      </c>
      <c r="R310" s="359">
        <f t="shared" ca="1" si="136"/>
        <v>0.36732647072819813</v>
      </c>
      <c r="S310" s="360">
        <f t="shared" ca="1" si="137"/>
        <v>10.076001321714598</v>
      </c>
      <c r="T310" s="357">
        <f t="shared" ca="1" si="117"/>
        <v>98.845572966020214</v>
      </c>
      <c r="U310" s="364">
        <f t="shared" ca="1" si="118"/>
        <v>0</v>
      </c>
      <c r="V310" s="359">
        <f t="shared" ca="1" si="119"/>
        <v>1.1822775372607912</v>
      </c>
      <c r="W310" s="357">
        <f t="shared" ca="1" si="120"/>
        <v>131.67265277015917</v>
      </c>
      <c r="X310" s="343"/>
      <c r="Y310" s="367" t="str">
        <f t="shared" ca="1" si="138"/>
        <v/>
      </c>
      <c r="Z310" s="368" t="str">
        <f t="shared" ca="1" si="139"/>
        <v/>
      </c>
      <c r="AA310" s="369" t="str">
        <f t="shared" ca="1" si="140"/>
        <v/>
      </c>
      <c r="AB310" s="344"/>
      <c r="AC310" s="363" t="e">
        <f t="shared" ca="1" si="141"/>
        <v>#N/A</v>
      </c>
      <c r="AD310" s="376" t="e">
        <f t="shared" ca="1" si="142"/>
        <v>#N/A</v>
      </c>
      <c r="AE310" s="377">
        <f t="shared" ca="1" si="121"/>
        <v>354.94422290686106</v>
      </c>
      <c r="AF310" s="344"/>
      <c r="AG310" s="359">
        <f t="shared" ca="1" si="143"/>
        <v>50.209190019568176</v>
      </c>
      <c r="AH310" s="357">
        <f t="shared" ca="1" si="144"/>
        <v>59.763805024515754</v>
      </c>
    </row>
    <row r="311" spans="1:34" x14ac:dyDescent="0.25">
      <c r="A311" s="402">
        <f t="shared" ca="1" si="122"/>
        <v>0.01</v>
      </c>
      <c r="B311" s="357">
        <f t="shared" ca="1" si="123"/>
        <v>3.0699999999999785</v>
      </c>
      <c r="C311" s="342"/>
      <c r="D311" s="359">
        <f t="shared" ca="1" si="124"/>
        <v>13.51564494884293</v>
      </c>
      <c r="E311" s="360">
        <f t="shared" ca="1" si="125"/>
        <v>48.233111171820269</v>
      </c>
      <c r="F311" s="357">
        <f t="shared" ca="1" si="126"/>
        <v>50.090973954359846</v>
      </c>
      <c r="G311" s="359">
        <f t="shared" ca="1" si="127"/>
        <v>50.440996387479046</v>
      </c>
      <c r="H311" s="360">
        <f t="shared" ca="1" si="128"/>
        <v>216.52140813427343</v>
      </c>
      <c r="I311" s="357">
        <f t="shared" ca="1" si="129"/>
        <v>222.31917213099342</v>
      </c>
      <c r="J311" s="359">
        <f t="shared" ca="1" si="130"/>
        <v>78.055472655420616</v>
      </c>
      <c r="K311" s="360">
        <f t="shared" ca="1" si="131"/>
        <v>357.10702533264521</v>
      </c>
      <c r="L311" s="357">
        <f t="shared" ca="1" si="116"/>
        <v>365.53807510763039</v>
      </c>
      <c r="M311" s="359">
        <f t="shared" ca="1" si="132"/>
        <v>1.3419177386623125</v>
      </c>
      <c r="N311" s="357">
        <f t="shared" ca="1" si="133"/>
        <v>76.886222879089885</v>
      </c>
      <c r="O311" s="343"/>
      <c r="P311" s="363">
        <f t="shared" ca="1" si="134"/>
        <v>10</v>
      </c>
      <c r="Q311" s="357">
        <f t="shared" ca="1" si="135"/>
        <v>731.94285714286002</v>
      </c>
      <c r="R311" s="359">
        <f t="shared" ca="1" si="136"/>
        <v>0.36665379026358774</v>
      </c>
      <c r="S311" s="360">
        <f t="shared" ca="1" si="137"/>
        <v>10.072334783811963</v>
      </c>
      <c r="T311" s="357">
        <f t="shared" ca="1" si="117"/>
        <v>98.809604229195358</v>
      </c>
      <c r="U311" s="364">
        <f t="shared" ca="1" si="118"/>
        <v>0</v>
      </c>
      <c r="V311" s="359">
        <f t="shared" ca="1" si="119"/>
        <v>1.1820217806009354</v>
      </c>
      <c r="W311" s="357">
        <f t="shared" ca="1" si="120"/>
        <v>132.23880930679601</v>
      </c>
      <c r="X311" s="343"/>
      <c r="Y311" s="367" t="str">
        <f t="shared" ca="1" si="138"/>
        <v/>
      </c>
      <c r="Z311" s="368" t="str">
        <f t="shared" ca="1" si="139"/>
        <v/>
      </c>
      <c r="AA311" s="369" t="str">
        <f t="shared" ca="1" si="140"/>
        <v/>
      </c>
      <c r="AB311" s="344"/>
      <c r="AC311" s="363" t="e">
        <f t="shared" ca="1" si="141"/>
        <v>#N/A</v>
      </c>
      <c r="AD311" s="376" t="e">
        <f t="shared" ca="1" si="142"/>
        <v>#N/A</v>
      </c>
      <c r="AE311" s="377">
        <f t="shared" ca="1" si="121"/>
        <v>357.10702533264521</v>
      </c>
      <c r="AF311" s="344"/>
      <c r="AG311" s="359">
        <f t="shared" ca="1" si="143"/>
        <v>50.041542525517251</v>
      </c>
      <c r="AH311" s="357">
        <f t="shared" ca="1" si="144"/>
        <v>59.59593453321687</v>
      </c>
    </row>
    <row r="312" spans="1:34" x14ac:dyDescent="0.25">
      <c r="A312" s="402">
        <f t="shared" ca="1" si="122"/>
        <v>0.01</v>
      </c>
      <c r="B312" s="357">
        <f t="shared" ca="1" si="123"/>
        <v>3.0799999999999783</v>
      </c>
      <c r="C312" s="342"/>
      <c r="D312" s="359">
        <f t="shared" ca="1" si="124"/>
        <v>13.483350879764055</v>
      </c>
      <c r="E312" s="360">
        <f t="shared" ca="1" si="125"/>
        <v>48.068200827525622</v>
      </c>
      <c r="F312" s="357">
        <f t="shared" ca="1" si="126"/>
        <v>49.92346824632849</v>
      </c>
      <c r="G312" s="359">
        <f t="shared" ca="1" si="127"/>
        <v>50.575829896276687</v>
      </c>
      <c r="H312" s="360">
        <f t="shared" ca="1" si="128"/>
        <v>217.0020901425487</v>
      </c>
      <c r="I312" s="357">
        <f t="shared" ca="1" si="129"/>
        <v>222.81791152403332</v>
      </c>
      <c r="J312" s="359">
        <f t="shared" ca="1" si="130"/>
        <v>78.560556786839399</v>
      </c>
      <c r="K312" s="360">
        <f t="shared" ca="1" si="131"/>
        <v>359.27464282402934</v>
      </c>
      <c r="L312" s="357">
        <f t="shared" ca="1" si="116"/>
        <v>367.76355183594808</v>
      </c>
      <c r="M312" s="359">
        <f t="shared" ca="1" si="132"/>
        <v>1.3418178478260125</v>
      </c>
      <c r="N312" s="357">
        <f t="shared" ca="1" si="133"/>
        <v>76.880499555757865</v>
      </c>
      <c r="O312" s="343"/>
      <c r="P312" s="363">
        <f t="shared" ca="1" si="134"/>
        <v>10</v>
      </c>
      <c r="Q312" s="357">
        <f t="shared" ca="1" si="135"/>
        <v>730.60000000000286</v>
      </c>
      <c r="R312" s="359">
        <f t="shared" ca="1" si="136"/>
        <v>0.36598110979897736</v>
      </c>
      <c r="S312" s="360">
        <f t="shared" ca="1" si="137"/>
        <v>10.068674972713973</v>
      </c>
      <c r="T312" s="357">
        <f t="shared" ca="1" si="117"/>
        <v>98.773701482324086</v>
      </c>
      <c r="U312" s="364">
        <f t="shared" ca="1" si="118"/>
        <v>0</v>
      </c>
      <c r="V312" s="359">
        <f t="shared" ca="1" si="119"/>
        <v>1.1817655090684129</v>
      </c>
      <c r="W312" s="357">
        <f t="shared" ca="1" si="120"/>
        <v>132.80399111246317</v>
      </c>
      <c r="X312" s="343"/>
      <c r="Y312" s="367" t="str">
        <f t="shared" ca="1" si="138"/>
        <v/>
      </c>
      <c r="Z312" s="368" t="str">
        <f t="shared" ca="1" si="139"/>
        <v/>
      </c>
      <c r="AA312" s="369" t="str">
        <f t="shared" ca="1" si="140"/>
        <v/>
      </c>
      <c r="AB312" s="344"/>
      <c r="AC312" s="363" t="e">
        <f t="shared" ca="1" si="141"/>
        <v>#N/A</v>
      </c>
      <c r="AD312" s="376" t="e">
        <f t="shared" ca="1" si="142"/>
        <v>#N/A</v>
      </c>
      <c r="AE312" s="377">
        <f t="shared" ca="1" si="121"/>
        <v>359.27464282402934</v>
      </c>
      <c r="AF312" s="344"/>
      <c r="AG312" s="359">
        <f t="shared" ca="1" si="143"/>
        <v>49.873828138137554</v>
      </c>
      <c r="AH312" s="357">
        <f t="shared" ca="1" si="144"/>
        <v>59.427997458926896</v>
      </c>
    </row>
    <row r="313" spans="1:34" x14ac:dyDescent="0.25">
      <c r="A313" s="402">
        <f t="shared" ca="1" si="122"/>
        <v>0.01</v>
      </c>
      <c r="B313" s="357">
        <f t="shared" ca="1" si="123"/>
        <v>3.0899999999999781</v>
      </c>
      <c r="C313" s="342"/>
      <c r="D313" s="359">
        <f t="shared" ca="1" si="124"/>
        <v>13.450998760413679</v>
      </c>
      <c r="E313" s="360">
        <f t="shared" ca="1" si="125"/>
        <v>47.903236767460051</v>
      </c>
      <c r="F313" s="357">
        <f t="shared" ca="1" si="126"/>
        <v>49.755898750318906</v>
      </c>
      <c r="G313" s="359">
        <f t="shared" ca="1" si="127"/>
        <v>50.710339883880827</v>
      </c>
      <c r="H313" s="360">
        <f t="shared" ca="1" si="128"/>
        <v>217.48112251022329</v>
      </c>
      <c r="I313" s="357">
        <f t="shared" ca="1" si="129"/>
        <v>223.31497311968462</v>
      </c>
      <c r="J313" s="359">
        <f t="shared" ca="1" si="130"/>
        <v>79.06698763574019</v>
      </c>
      <c r="K313" s="360">
        <f t="shared" ca="1" si="131"/>
        <v>361.44705888729322</v>
      </c>
      <c r="L313" s="357">
        <f t="shared" ca="1" si="116"/>
        <v>369.99400658938339</v>
      </c>
      <c r="M313" s="359">
        <f t="shared" ca="1" si="132"/>
        <v>1.3417181365937463</v>
      </c>
      <c r="N313" s="357">
        <f t="shared" ca="1" si="133"/>
        <v>76.874786522978951</v>
      </c>
      <c r="O313" s="343"/>
      <c r="P313" s="363">
        <f t="shared" ca="1" si="134"/>
        <v>10</v>
      </c>
      <c r="Q313" s="357">
        <f t="shared" ca="1" si="135"/>
        <v>729.25714285714582</v>
      </c>
      <c r="R313" s="359">
        <f t="shared" ca="1" si="136"/>
        <v>0.36530842933436702</v>
      </c>
      <c r="S313" s="360">
        <f t="shared" ca="1" si="137"/>
        <v>10.065021888420629</v>
      </c>
      <c r="T313" s="357">
        <f t="shared" ca="1" si="117"/>
        <v>98.737864725406382</v>
      </c>
      <c r="U313" s="364">
        <f t="shared" ca="1" si="118"/>
        <v>0</v>
      </c>
      <c r="V313" s="359">
        <f t="shared" ca="1" si="119"/>
        <v>1.1815087249588507</v>
      </c>
      <c r="W313" s="357">
        <f t="shared" ca="1" si="120"/>
        <v>133.36818389858229</v>
      </c>
      <c r="X313" s="343"/>
      <c r="Y313" s="367" t="str">
        <f t="shared" ca="1" si="138"/>
        <v/>
      </c>
      <c r="Z313" s="368" t="str">
        <f t="shared" ca="1" si="139"/>
        <v/>
      </c>
      <c r="AA313" s="369" t="str">
        <f t="shared" ca="1" si="140"/>
        <v/>
      </c>
      <c r="AB313" s="344"/>
      <c r="AC313" s="363" t="e">
        <f t="shared" ca="1" si="141"/>
        <v>#N/A</v>
      </c>
      <c r="AD313" s="376" t="e">
        <f t="shared" ca="1" si="142"/>
        <v>#N/A</v>
      </c>
      <c r="AE313" s="377">
        <f t="shared" ca="1" si="121"/>
        <v>361.44705888729322</v>
      </c>
      <c r="AF313" s="344"/>
      <c r="AG313" s="359">
        <f t="shared" ca="1" si="143"/>
        <v>49.706048551574042</v>
      </c>
      <c r="AH313" s="357">
        <f t="shared" ca="1" si="144"/>
        <v>59.259995492993021</v>
      </c>
    </row>
    <row r="314" spans="1:34" x14ac:dyDescent="0.25">
      <c r="A314" s="402">
        <f t="shared" ca="1" si="122"/>
        <v>0.01</v>
      </c>
      <c r="B314" s="357">
        <f t="shared" ca="1" si="123"/>
        <v>3.0999999999999779</v>
      </c>
      <c r="C314" s="342"/>
      <c r="D314" s="359">
        <f t="shared" ca="1" si="124"/>
        <v>13.418589130649856</v>
      </c>
      <c r="E314" s="360">
        <f t="shared" ca="1" si="125"/>
        <v>47.738220605889502</v>
      </c>
      <c r="F314" s="357">
        <f t="shared" ca="1" si="126"/>
        <v>49.588267169500561</v>
      </c>
      <c r="G314" s="359">
        <f t="shared" ca="1" si="127"/>
        <v>50.844525775187329</v>
      </c>
      <c r="H314" s="360">
        <f t="shared" ca="1" si="128"/>
        <v>217.95850471628219</v>
      </c>
      <c r="I314" s="357">
        <f t="shared" ca="1" si="129"/>
        <v>223.81035628286125</v>
      </c>
      <c r="J314" s="359">
        <f t="shared" ca="1" si="130"/>
        <v>79.574761964035531</v>
      </c>
      <c r="K314" s="360">
        <f t="shared" ca="1" si="131"/>
        <v>363.62425702342574</v>
      </c>
      <c r="L314" s="357">
        <f t="shared" ca="1" si="116"/>
        <v>372.22942258434017</v>
      </c>
      <c r="M314" s="359">
        <f t="shared" ca="1" si="132"/>
        <v>1.3416186034989843</v>
      </c>
      <c r="N314" s="357">
        <f t="shared" ca="1" si="133"/>
        <v>76.869083696727216</v>
      </c>
      <c r="O314" s="343"/>
      <c r="P314" s="363">
        <f t="shared" ca="1" si="134"/>
        <v>10</v>
      </c>
      <c r="Q314" s="357">
        <f t="shared" ca="1" si="135"/>
        <v>727.91428571428867</v>
      </c>
      <c r="R314" s="359">
        <f t="shared" ca="1" si="136"/>
        <v>0.36463574886975664</v>
      </c>
      <c r="S314" s="360">
        <f t="shared" ca="1" si="137"/>
        <v>10.061375530931931</v>
      </c>
      <c r="T314" s="357">
        <f t="shared" ca="1" si="117"/>
        <v>98.702093958442248</v>
      </c>
      <c r="U314" s="364">
        <f t="shared" ca="1" si="118"/>
        <v>0</v>
      </c>
      <c r="V314" s="359">
        <f t="shared" ca="1" si="119"/>
        <v>1.1812514305674187</v>
      </c>
      <c r="W314" s="357">
        <f t="shared" ca="1" si="120"/>
        <v>133.93137345365398</v>
      </c>
      <c r="X314" s="343"/>
      <c r="Y314" s="367" t="str">
        <f t="shared" ca="1" si="138"/>
        <v/>
      </c>
      <c r="Z314" s="368" t="str">
        <f t="shared" ca="1" si="139"/>
        <v/>
      </c>
      <c r="AA314" s="369" t="str">
        <f t="shared" ca="1" si="140"/>
        <v/>
      </c>
      <c r="AB314" s="344"/>
      <c r="AC314" s="363" t="e">
        <f t="shared" ca="1" si="141"/>
        <v>#N/A</v>
      </c>
      <c r="AD314" s="376" t="e">
        <f t="shared" ca="1" si="142"/>
        <v>#N/A</v>
      </c>
      <c r="AE314" s="377">
        <f t="shared" ca="1" si="121"/>
        <v>363.62425702342574</v>
      </c>
      <c r="AF314" s="344"/>
      <c r="AG314" s="359">
        <f t="shared" ca="1" si="143"/>
        <v>49.5382054550277</v>
      </c>
      <c r="AH314" s="357">
        <f t="shared" ca="1" si="144"/>
        <v>59.091930321841069</v>
      </c>
    </row>
    <row r="315" spans="1:34" x14ac:dyDescent="0.25">
      <c r="A315" s="402">
        <f t="shared" ca="1" si="122"/>
        <v>0.01</v>
      </c>
      <c r="B315" s="357">
        <f t="shared" ca="1" si="123"/>
        <v>3.1099999999999777</v>
      </c>
      <c r="C315" s="342"/>
      <c r="D315" s="359">
        <f t="shared" ca="1" si="124"/>
        <v>13.386122528196788</v>
      </c>
      <c r="E315" s="360">
        <f t="shared" ca="1" si="125"/>
        <v>47.573153952407225</v>
      </c>
      <c r="F315" s="357">
        <f t="shared" ca="1" si="126"/>
        <v>49.420575202230665</v>
      </c>
      <c r="G315" s="359">
        <f t="shared" ca="1" si="127"/>
        <v>50.978387000469297</v>
      </c>
      <c r="H315" s="360">
        <f t="shared" ca="1" si="128"/>
        <v>218.43423625580627</v>
      </c>
      <c r="I315" s="357">
        <f t="shared" ca="1" si="129"/>
        <v>224.3040603953192</v>
      </c>
      <c r="J315" s="359">
        <f t="shared" ca="1" si="130"/>
        <v>80.083876527913816</v>
      </c>
      <c r="K315" s="360">
        <f t="shared" ca="1" si="131"/>
        <v>365.80622072828618</v>
      </c>
      <c r="L315" s="357">
        <f t="shared" ca="1" si="116"/>
        <v>374.46978303095403</v>
      </c>
      <c r="M315" s="359">
        <f t="shared" ca="1" si="132"/>
        <v>1.3415192470880084</v>
      </c>
      <c r="N315" s="357">
        <f t="shared" ca="1" si="133"/>
        <v>76.863390993710738</v>
      </c>
      <c r="O315" s="343"/>
      <c r="P315" s="363">
        <f t="shared" ca="1" si="134"/>
        <v>10</v>
      </c>
      <c r="Q315" s="357">
        <f t="shared" ca="1" si="135"/>
        <v>726.57142857143162</v>
      </c>
      <c r="R315" s="359">
        <f t="shared" ca="1" si="136"/>
        <v>0.36396306840514631</v>
      </c>
      <c r="S315" s="360">
        <f t="shared" ca="1" si="137"/>
        <v>10.057735900247879</v>
      </c>
      <c r="T315" s="357">
        <f t="shared" ca="1" si="117"/>
        <v>98.666389181431697</v>
      </c>
      <c r="U315" s="364">
        <f t="shared" ca="1" si="118"/>
        <v>0</v>
      </c>
      <c r="V315" s="359">
        <f t="shared" ca="1" si="119"/>
        <v>1.1809936281887961</v>
      </c>
      <c r="W315" s="357">
        <f t="shared" ca="1" si="120"/>
        <v>134.49354564345893</v>
      </c>
      <c r="X315" s="343"/>
      <c r="Y315" s="367" t="str">
        <f t="shared" ca="1" si="138"/>
        <v/>
      </c>
      <c r="Z315" s="368" t="str">
        <f t="shared" ca="1" si="139"/>
        <v/>
      </c>
      <c r="AA315" s="369" t="str">
        <f t="shared" ca="1" si="140"/>
        <v/>
      </c>
      <c r="AB315" s="344"/>
      <c r="AC315" s="363" t="e">
        <f t="shared" ca="1" si="141"/>
        <v>#N/A</v>
      </c>
      <c r="AD315" s="376" t="e">
        <f t="shared" ca="1" si="142"/>
        <v>#N/A</v>
      </c>
      <c r="AE315" s="377">
        <f t="shared" ca="1" si="121"/>
        <v>365.80622072828618</v>
      </c>
      <c r="AF315" s="344"/>
      <c r="AG315" s="359">
        <f t="shared" ca="1" si="143"/>
        <v>49.370300532715028</v>
      </c>
      <c r="AH315" s="357">
        <f t="shared" ca="1" si="144"/>
        <v>58.923803626934728</v>
      </c>
    </row>
    <row r="316" spans="1:34" x14ac:dyDescent="0.25">
      <c r="A316" s="402">
        <f t="shared" ca="1" si="122"/>
        <v>0.01</v>
      </c>
      <c r="B316" s="357">
        <f t="shared" ca="1" si="123"/>
        <v>3.1199999999999775</v>
      </c>
      <c r="C316" s="342"/>
      <c r="D316" s="359">
        <f t="shared" ca="1" si="124"/>
        <v>13.353599488649854</v>
      </c>
      <c r="E316" s="360">
        <f t="shared" ca="1" si="125"/>
        <v>47.40803841189215</v>
      </c>
      <c r="F316" s="357">
        <f t="shared" ca="1" si="126"/>
        <v>49.252824542016995</v>
      </c>
      <c r="G316" s="359">
        <f t="shared" ca="1" si="127"/>
        <v>51.111922995355798</v>
      </c>
      <c r="H316" s="360">
        <f t="shared" ca="1" si="128"/>
        <v>218.9083166399252</v>
      </c>
      <c r="I316" s="357">
        <f t="shared" ca="1" si="129"/>
        <v>224.79608485560627</v>
      </c>
      <c r="J316" s="359">
        <f t="shared" ca="1" si="130"/>
        <v>80.594328077892939</v>
      </c>
      <c r="K316" s="360">
        <f t="shared" ca="1" si="131"/>
        <v>367.99293349276485</v>
      </c>
      <c r="L316" s="357">
        <f t="shared" ca="1" si="116"/>
        <v>376.71507113326049</v>
      </c>
      <c r="M316" s="359">
        <f t="shared" ca="1" si="132"/>
        <v>1.3414200659197502</v>
      </c>
      <c r="N316" s="357">
        <f t="shared" ca="1" si="133"/>
        <v>76.85770833136236</v>
      </c>
      <c r="O316" s="343"/>
      <c r="P316" s="363">
        <f t="shared" ca="1" si="134"/>
        <v>10</v>
      </c>
      <c r="Q316" s="357">
        <f t="shared" ca="1" si="135"/>
        <v>725.22857142857447</v>
      </c>
      <c r="R316" s="359">
        <f t="shared" ca="1" si="136"/>
        <v>0.36329038794053592</v>
      </c>
      <c r="S316" s="360">
        <f t="shared" ca="1" si="137"/>
        <v>10.054102996368474</v>
      </c>
      <c r="T316" s="357">
        <f t="shared" ca="1" si="117"/>
        <v>98.630750394374743</v>
      </c>
      <c r="U316" s="364">
        <f t="shared" ca="1" si="118"/>
        <v>0</v>
      </c>
      <c r="V316" s="359">
        <f t="shared" ca="1" si="119"/>
        <v>1.1807353201171469</v>
      </c>
      <c r="W316" s="357">
        <f t="shared" ca="1" si="120"/>
        <v>135.05468641125552</v>
      </c>
      <c r="X316" s="343"/>
      <c r="Y316" s="367" t="str">
        <f t="shared" ca="1" si="138"/>
        <v/>
      </c>
      <c r="Z316" s="368" t="str">
        <f t="shared" ca="1" si="139"/>
        <v/>
      </c>
      <c r="AA316" s="369" t="str">
        <f t="shared" ca="1" si="140"/>
        <v/>
      </c>
      <c r="AB316" s="344"/>
      <c r="AC316" s="363" t="e">
        <f t="shared" ca="1" si="141"/>
        <v>#N/A</v>
      </c>
      <c r="AD316" s="376" t="e">
        <f t="shared" ca="1" si="142"/>
        <v>#N/A</v>
      </c>
      <c r="AE316" s="377">
        <f t="shared" ca="1" si="121"/>
        <v>367.99293349276485</v>
      </c>
      <c r="AF316" s="344"/>
      <c r="AG316" s="359">
        <f t="shared" ca="1" si="143"/>
        <v>49.202335463828078</v>
      </c>
      <c r="AH316" s="357">
        <f t="shared" ca="1" si="144"/>
        <v>58.75561708473527</v>
      </c>
    </row>
    <row r="317" spans="1:34" x14ac:dyDescent="0.25">
      <c r="A317" s="402">
        <f t="shared" ca="1" si="122"/>
        <v>0.01</v>
      </c>
      <c r="B317" s="357">
        <f t="shared" ca="1" si="123"/>
        <v>3.1299999999999772</v>
      </c>
      <c r="C317" s="342"/>
      <c r="D317" s="359">
        <f t="shared" ca="1" si="124"/>
        <v>13.321020545480218</v>
      </c>
      <c r="E317" s="360">
        <f t="shared" ca="1" si="125"/>
        <v>47.242875584467782</v>
      </c>
      <c r="F317" s="357">
        <f t="shared" ca="1" si="126"/>
        <v>49.085016877481138</v>
      </c>
      <c r="G317" s="359">
        <f t="shared" ca="1" si="127"/>
        <v>51.245133200810599</v>
      </c>
      <c r="H317" s="360">
        <f t="shared" ca="1" si="128"/>
        <v>219.38074539576988</v>
      </c>
      <c r="I317" s="357">
        <f t="shared" ca="1" si="129"/>
        <v>225.28642907901138</v>
      </c>
      <c r="J317" s="359">
        <f t="shared" ca="1" si="130"/>
        <v>81.10611335887377</v>
      </c>
      <c r="K317" s="360">
        <f t="shared" ca="1" si="131"/>
        <v>370.18437880294334</v>
      </c>
      <c r="L317" s="357">
        <f t="shared" ca="1" si="116"/>
        <v>378.9652700893626</v>
      </c>
      <c r="M317" s="359">
        <f t="shared" ca="1" si="132"/>
        <v>1.3413210585656297</v>
      </c>
      <c r="N317" s="357">
        <f t="shared" ca="1" si="133"/>
        <v>76.852035627830503</v>
      </c>
      <c r="O317" s="343"/>
      <c r="P317" s="363">
        <f t="shared" ca="1" si="134"/>
        <v>10</v>
      </c>
      <c r="Q317" s="357">
        <f t="shared" ca="1" si="135"/>
        <v>723.88571428571731</v>
      </c>
      <c r="R317" s="359">
        <f t="shared" ca="1" si="136"/>
        <v>0.36261770747592553</v>
      </c>
      <c r="S317" s="360">
        <f t="shared" ca="1" si="137"/>
        <v>10.050476819293715</v>
      </c>
      <c r="T317" s="357">
        <f t="shared" ca="1" si="117"/>
        <v>98.595177597271345</v>
      </c>
      <c r="U317" s="364">
        <f t="shared" ca="1" si="118"/>
        <v>0</v>
      </c>
      <c r="V317" s="359">
        <f t="shared" ca="1" si="119"/>
        <v>1.1804765086460889</v>
      </c>
      <c r="W317" s="357">
        <f t="shared" ca="1" si="120"/>
        <v>135.61478177797116</v>
      </c>
      <c r="X317" s="343"/>
      <c r="Y317" s="367" t="str">
        <f t="shared" ca="1" si="138"/>
        <v/>
      </c>
      <c r="Z317" s="368" t="str">
        <f t="shared" ca="1" si="139"/>
        <v/>
      </c>
      <c r="AA317" s="369" t="str">
        <f t="shared" ca="1" si="140"/>
        <v/>
      </c>
      <c r="AB317" s="344"/>
      <c r="AC317" s="363" t="e">
        <f t="shared" ca="1" si="141"/>
        <v>#N/A</v>
      </c>
      <c r="AD317" s="376" t="e">
        <f t="shared" ca="1" si="142"/>
        <v>#N/A</v>
      </c>
      <c r="AE317" s="377">
        <f t="shared" ca="1" si="121"/>
        <v>370.18437880294334</v>
      </c>
      <c r="AF317" s="344"/>
      <c r="AG317" s="359">
        <f t="shared" ca="1" si="143"/>
        <v>49.03431192249478</v>
      </c>
      <c r="AH317" s="357">
        <f t="shared" ca="1" si="144"/>
        <v>58.587372366661626</v>
      </c>
    </row>
    <row r="318" spans="1:34" x14ac:dyDescent="0.25">
      <c r="A318" s="402">
        <f t="shared" ca="1" si="122"/>
        <v>0.01</v>
      </c>
      <c r="B318" s="357">
        <f t="shared" ca="1" si="123"/>
        <v>3.139999999999977</v>
      </c>
      <c r="C318" s="342"/>
      <c r="D318" s="359">
        <f t="shared" ca="1" si="124"/>
        <v>13.288386230039482</v>
      </c>
      <c r="E318" s="360">
        <f t="shared" ca="1" si="125"/>
        <v>47.077667065461597</v>
      </c>
      <c r="F318" s="357">
        <f t="shared" ca="1" si="126"/>
        <v>48.917153892322382</v>
      </c>
      <c r="G318" s="359">
        <f t="shared" ca="1" si="127"/>
        <v>51.378017063110995</v>
      </c>
      <c r="H318" s="360">
        <f t="shared" ca="1" si="128"/>
        <v>219.85152206642451</v>
      </c>
      <c r="I318" s="357">
        <f t="shared" ca="1" si="129"/>
        <v>225.7750924975137</v>
      </c>
      <c r="J318" s="359">
        <f t="shared" ca="1" si="130"/>
        <v>81.619229110193373</v>
      </c>
      <c r="K318" s="360">
        <f t="shared" ca="1" si="131"/>
        <v>372.38054014025431</v>
      </c>
      <c r="L318" s="357">
        <f t="shared" ca="1" si="116"/>
        <v>381.22036309159796</v>
      </c>
      <c r="M318" s="359">
        <f t="shared" ca="1" si="132"/>
        <v>1.3412222236093974</v>
      </c>
      <c r="N318" s="357">
        <f t="shared" ca="1" si="133"/>
        <v>76.846372801970034</v>
      </c>
      <c r="O318" s="343"/>
      <c r="P318" s="363">
        <f t="shared" ca="1" si="134"/>
        <v>10</v>
      </c>
      <c r="Q318" s="357">
        <f t="shared" ca="1" si="135"/>
        <v>722.54285714286027</v>
      </c>
      <c r="R318" s="359">
        <f t="shared" ca="1" si="136"/>
        <v>0.36194502701131526</v>
      </c>
      <c r="S318" s="360">
        <f t="shared" ca="1" si="137"/>
        <v>10.046857369023602</v>
      </c>
      <c r="T318" s="357">
        <f t="shared" ca="1" si="117"/>
        <v>98.559670790121544</v>
      </c>
      <c r="U318" s="364">
        <f t="shared" ca="1" si="118"/>
        <v>0</v>
      </c>
      <c r="V318" s="359">
        <f t="shared" ca="1" si="119"/>
        <v>1.1802171960686663</v>
      </c>
      <c r="W318" s="357">
        <f t="shared" ca="1" si="120"/>
        <v>136.17381784239035</v>
      </c>
      <c r="X318" s="343"/>
      <c r="Y318" s="367" t="str">
        <f t="shared" ca="1" si="138"/>
        <v/>
      </c>
      <c r="Z318" s="368" t="str">
        <f t="shared" ca="1" si="139"/>
        <v/>
      </c>
      <c r="AA318" s="369" t="str">
        <f t="shared" ca="1" si="140"/>
        <v/>
      </c>
      <c r="AB318" s="344"/>
      <c r="AC318" s="363" t="e">
        <f t="shared" ca="1" si="141"/>
        <v>#N/A</v>
      </c>
      <c r="AD318" s="376" t="e">
        <f t="shared" ca="1" si="142"/>
        <v>#N/A</v>
      </c>
      <c r="AE318" s="377">
        <f t="shared" ca="1" si="121"/>
        <v>372.38054014025431</v>
      </c>
      <c r="AF318" s="344"/>
      <c r="AG318" s="359">
        <f t="shared" ca="1" si="143"/>
        <v>48.866231577739882</v>
      </c>
      <c r="AH318" s="357">
        <f t="shared" ca="1" si="144"/>
        <v>58.419071139051049</v>
      </c>
    </row>
    <row r="319" spans="1:34" x14ac:dyDescent="0.25">
      <c r="A319" s="402">
        <f t="shared" ca="1" si="122"/>
        <v>0.01</v>
      </c>
      <c r="B319" s="357">
        <f t="shared" ca="1" si="123"/>
        <v>3.1499999999999768</v>
      </c>
      <c r="C319" s="342"/>
      <c r="D319" s="359">
        <f t="shared" ca="1" si="124"/>
        <v>13.255697071564066</v>
      </c>
      <c r="E319" s="360">
        <f t="shared" ca="1" si="125"/>
        <v>46.912414445364767</v>
      </c>
      <c r="F319" s="357">
        <f t="shared" ca="1" si="126"/>
        <v>48.749237265281813</v>
      </c>
      <c r="G319" s="359">
        <f t="shared" ca="1" si="127"/>
        <v>51.510574033826636</v>
      </c>
      <c r="H319" s="360">
        <f t="shared" ca="1" si="128"/>
        <v>220.32064621087815</v>
      </c>
      <c r="I319" s="357">
        <f t="shared" ca="1" si="129"/>
        <v>226.26207455973102</v>
      </c>
      <c r="J319" s="359">
        <f t="shared" ca="1" si="130"/>
        <v>82.133672065678056</v>
      </c>
      <c r="K319" s="360">
        <f t="shared" ca="1" si="131"/>
        <v>374.5814009816408</v>
      </c>
      <c r="L319" s="357">
        <f t="shared" ca="1" si="116"/>
        <v>383.48033332670542</v>
      </c>
      <c r="M319" s="359">
        <f t="shared" ca="1" si="132"/>
        <v>1.3411235596469793</v>
      </c>
      <c r="N319" s="357">
        <f t="shared" ca="1" si="133"/>
        <v>76.840719773333433</v>
      </c>
      <c r="O319" s="343"/>
      <c r="P319" s="363">
        <f t="shared" ca="1" si="134"/>
        <v>10</v>
      </c>
      <c r="Q319" s="357">
        <f t="shared" ca="1" si="135"/>
        <v>721.20000000000312</v>
      </c>
      <c r="R319" s="359">
        <f t="shared" ca="1" si="136"/>
        <v>0.36127234654670487</v>
      </c>
      <c r="S319" s="360">
        <f t="shared" ca="1" si="137"/>
        <v>10.043244645558135</v>
      </c>
      <c r="T319" s="357">
        <f t="shared" ca="1" si="117"/>
        <v>98.524229972925312</v>
      </c>
      <c r="U319" s="364">
        <f t="shared" ca="1" si="118"/>
        <v>0</v>
      </c>
      <c r="V319" s="359">
        <f t="shared" ca="1" si="119"/>
        <v>1.1799573846773213</v>
      </c>
      <c r="W319" s="357">
        <f t="shared" ca="1" si="120"/>
        <v>136.73178078133671</v>
      </c>
      <c r="X319" s="343"/>
      <c r="Y319" s="367" t="str">
        <f t="shared" ca="1" si="138"/>
        <v/>
      </c>
      <c r="Z319" s="368" t="str">
        <f t="shared" ca="1" si="139"/>
        <v/>
      </c>
      <c r="AA319" s="369" t="str">
        <f t="shared" ca="1" si="140"/>
        <v/>
      </c>
      <c r="AB319" s="344"/>
      <c r="AC319" s="363" t="e">
        <f t="shared" ca="1" si="141"/>
        <v>#N/A</v>
      </c>
      <c r="AD319" s="376" t="e">
        <f t="shared" ca="1" si="142"/>
        <v>#N/A</v>
      </c>
      <c r="AE319" s="377">
        <f t="shared" ca="1" si="121"/>
        <v>374.5814009816408</v>
      </c>
      <c r="AF319" s="344"/>
      <c r="AG319" s="359">
        <f t="shared" ca="1" si="143"/>
        <v>48.698096093446146</v>
      </c>
      <c r="AH319" s="357">
        <f t="shared" ca="1" si="144"/>
        <v>58.250715063120026</v>
      </c>
    </row>
    <row r="320" spans="1:34" x14ac:dyDescent="0.25">
      <c r="A320" s="402">
        <f t="shared" ca="1" si="122"/>
        <v>0.01</v>
      </c>
      <c r="B320" s="357">
        <f t="shared" ca="1" si="123"/>
        <v>3.1599999999999766</v>
      </c>
      <c r="C320" s="342"/>
      <c r="D320" s="359">
        <f t="shared" ca="1" si="124"/>
        <v>13.222953597179464</v>
      </c>
      <c r="E320" s="360">
        <f t="shared" ca="1" si="125"/>
        <v>46.747119309792531</v>
      </c>
      <c r="F320" s="357">
        <f t="shared" ca="1" si="126"/>
        <v>48.581268670107193</v>
      </c>
      <c r="G320" s="359">
        <f t="shared" ca="1" si="127"/>
        <v>51.642803569798431</v>
      </c>
      <c r="H320" s="360">
        <f t="shared" ca="1" si="128"/>
        <v>220.78811740397609</v>
      </c>
      <c r="I320" s="357">
        <f t="shared" ca="1" si="129"/>
        <v>226.74737473086807</v>
      </c>
      <c r="J320" s="359">
        <f t="shared" ca="1" si="130"/>
        <v>82.649438953696176</v>
      </c>
      <c r="K320" s="360">
        <f t="shared" ca="1" si="131"/>
        <v>376.78694479971506</v>
      </c>
      <c r="L320" s="357">
        <f t="shared" ca="1" si="116"/>
        <v>385.74516397599115</v>
      </c>
      <c r="M320" s="359">
        <f t="shared" ca="1" si="132"/>
        <v>1.3410250652863229</v>
      </c>
      <c r="N320" s="357">
        <f t="shared" ca="1" si="133"/>
        <v>76.835076462161979</v>
      </c>
      <c r="O320" s="343"/>
      <c r="P320" s="363">
        <f t="shared" ca="1" si="134"/>
        <v>10</v>
      </c>
      <c r="Q320" s="357">
        <f t="shared" ca="1" si="135"/>
        <v>719.85714285714596</v>
      </c>
      <c r="R320" s="359">
        <f t="shared" ca="1" si="136"/>
        <v>0.36059966608209448</v>
      </c>
      <c r="S320" s="360">
        <f t="shared" ca="1" si="137"/>
        <v>10.039638648897313</v>
      </c>
      <c r="T320" s="357">
        <f t="shared" ca="1" si="117"/>
        <v>98.488855145682649</v>
      </c>
      <c r="U320" s="364">
        <f t="shared" ca="1" si="118"/>
        <v>0</v>
      </c>
      <c r="V320" s="359">
        <f t="shared" ca="1" si="119"/>
        <v>1.179697076763867</v>
      </c>
      <c r="W320" s="357">
        <f t="shared" ca="1" si="120"/>
        <v>137.28865684985115</v>
      </c>
      <c r="X320" s="343"/>
      <c r="Y320" s="367" t="str">
        <f t="shared" ca="1" si="138"/>
        <v/>
      </c>
      <c r="Z320" s="368" t="str">
        <f t="shared" ca="1" si="139"/>
        <v/>
      </c>
      <c r="AA320" s="369" t="str">
        <f t="shared" ca="1" si="140"/>
        <v/>
      </c>
      <c r="AB320" s="344"/>
      <c r="AC320" s="363" t="e">
        <f t="shared" ca="1" si="141"/>
        <v>#N/A</v>
      </c>
      <c r="AD320" s="376" t="e">
        <f t="shared" ca="1" si="142"/>
        <v>#N/A</v>
      </c>
      <c r="AE320" s="377">
        <f t="shared" ca="1" si="121"/>
        <v>376.78694479971506</v>
      </c>
      <c r="AF320" s="344"/>
      <c r="AG320" s="359">
        <f t="shared" ca="1" si="143"/>
        <v>48.529907128316097</v>
      </c>
      <c r="AH320" s="357">
        <f t="shared" ca="1" si="144"/>
        <v>58.08230579492578</v>
      </c>
    </row>
    <row r="321" spans="1:34" x14ac:dyDescent="0.25">
      <c r="A321" s="402">
        <f t="shared" ca="1" si="122"/>
        <v>0.01</v>
      </c>
      <c r="B321" s="357">
        <f t="shared" ca="1" si="123"/>
        <v>3.1699999999999764</v>
      </c>
      <c r="C321" s="342"/>
      <c r="D321" s="359">
        <f t="shared" ca="1" si="124"/>
        <v>13.190156331904406</v>
      </c>
      <c r="E321" s="360">
        <f t="shared" ca="1" si="125"/>
        <v>46.581783239444952</v>
      </c>
      <c r="F321" s="357">
        <f t="shared" ca="1" si="126"/>
        <v>48.413249775518196</v>
      </c>
      <c r="G321" s="359">
        <f t="shared" ca="1" si="127"/>
        <v>51.774705133117479</v>
      </c>
      <c r="H321" s="360">
        <f t="shared" ca="1" si="128"/>
        <v>221.25393523637052</v>
      </c>
      <c r="I321" s="357">
        <f t="shared" ca="1" si="129"/>
        <v>227.2309924926644</v>
      </c>
      <c r="J321" s="359">
        <f t="shared" ca="1" si="130"/>
        <v>83.166526497210754</v>
      </c>
      <c r="K321" s="360">
        <f t="shared" ca="1" si="131"/>
        <v>378.99715506291682</v>
      </c>
      <c r="L321" s="357">
        <f t="shared" ca="1" si="116"/>
        <v>388.01483821549385</v>
      </c>
      <c r="M321" s="359">
        <f t="shared" ca="1" si="132"/>
        <v>1.3409267391472472</v>
      </c>
      <c r="N321" s="357">
        <f t="shared" ca="1" si="133"/>
        <v>76.82944278937714</v>
      </c>
      <c r="O321" s="343"/>
      <c r="P321" s="363">
        <f t="shared" ca="1" si="134"/>
        <v>10</v>
      </c>
      <c r="Q321" s="357">
        <f t="shared" ca="1" si="135"/>
        <v>718.51428571428892</v>
      </c>
      <c r="R321" s="359">
        <f t="shared" ca="1" si="136"/>
        <v>0.35992698561748415</v>
      </c>
      <c r="S321" s="360">
        <f t="shared" ca="1" si="137"/>
        <v>10.036039379041139</v>
      </c>
      <c r="T321" s="357">
        <f t="shared" ca="1" si="117"/>
        <v>98.45354630839357</v>
      </c>
      <c r="U321" s="364">
        <f t="shared" ca="1" si="118"/>
        <v>0</v>
      </c>
      <c r="V321" s="359">
        <f t="shared" ca="1" si="119"/>
        <v>1.1794362746194575</v>
      </c>
      <c r="W321" s="357">
        <f t="shared" ca="1" si="120"/>
        <v>137.84443238136484</v>
      </c>
      <c r="X321" s="343"/>
      <c r="Y321" s="367" t="str">
        <f t="shared" ca="1" si="138"/>
        <v/>
      </c>
      <c r="Z321" s="368" t="str">
        <f t="shared" ca="1" si="139"/>
        <v/>
      </c>
      <c r="AA321" s="369" t="str">
        <f t="shared" ca="1" si="140"/>
        <v/>
      </c>
      <c r="AB321" s="344"/>
      <c r="AC321" s="363" t="e">
        <f t="shared" ca="1" si="141"/>
        <v>#N/A</v>
      </c>
      <c r="AD321" s="376" t="e">
        <f t="shared" ca="1" si="142"/>
        <v>#N/A</v>
      </c>
      <c r="AE321" s="377">
        <f t="shared" ca="1" si="121"/>
        <v>378.99715506291682</v>
      </c>
      <c r="AF321" s="344"/>
      <c r="AG321" s="359">
        <f t="shared" ca="1" si="143"/>
        <v>48.361666335834215</v>
      </c>
      <c r="AH321" s="357">
        <f t="shared" ca="1" si="144"/>
        <v>57.913844985328183</v>
      </c>
    </row>
    <row r="322" spans="1:34" x14ac:dyDescent="0.25">
      <c r="A322" s="402">
        <f t="shared" ca="1" si="122"/>
        <v>0.01</v>
      </c>
      <c r="B322" s="357">
        <f t="shared" ca="1" si="123"/>
        <v>3.1799999999999762</v>
      </c>
      <c r="C322" s="342"/>
      <c r="D322" s="359">
        <f t="shared" ca="1" si="124"/>
        <v>13.157305798654788</v>
      </c>
      <c r="E322" s="360">
        <f t="shared" ca="1" si="125"/>
        <v>46.41640781006808</v>
      </c>
      <c r="F322" s="357">
        <f t="shared" ca="1" si="126"/>
        <v>48.245182245172046</v>
      </c>
      <c r="G322" s="359">
        <f t="shared" ca="1" si="127"/>
        <v>51.906278191104029</v>
      </c>
      <c r="H322" s="360">
        <f t="shared" ca="1" si="128"/>
        <v>221.7180993144712</v>
      </c>
      <c r="I322" s="357">
        <f t="shared" ca="1" si="129"/>
        <v>227.71292734334168</v>
      </c>
      <c r="J322" s="359">
        <f t="shared" ca="1" si="130"/>
        <v>83.684931413831862</v>
      </c>
      <c r="K322" s="360">
        <f t="shared" ca="1" si="131"/>
        <v>381.212015235671</v>
      </c>
      <c r="L322" s="357">
        <f t="shared" ca="1" si="116"/>
        <v>390.28933921615027</v>
      </c>
      <c r="M322" s="359">
        <f t="shared" ca="1" si="132"/>
        <v>1.3408285798612933</v>
      </c>
      <c r="N322" s="357">
        <f t="shared" ca="1" si="133"/>
        <v>76.82381867657196</v>
      </c>
      <c r="O322" s="343"/>
      <c r="P322" s="363">
        <f t="shared" ca="1" si="134"/>
        <v>10</v>
      </c>
      <c r="Q322" s="357">
        <f t="shared" ca="1" si="135"/>
        <v>717.17142857143176</v>
      </c>
      <c r="R322" s="359">
        <f t="shared" ca="1" si="136"/>
        <v>0.35925430515287377</v>
      </c>
      <c r="S322" s="360">
        <f t="shared" ca="1" si="137"/>
        <v>10.03244683598961</v>
      </c>
      <c r="T322" s="357">
        <f t="shared" ca="1" si="117"/>
        <v>98.418303461058088</v>
      </c>
      <c r="U322" s="364">
        <f t="shared" ca="1" si="118"/>
        <v>0</v>
      </c>
      <c r="V322" s="359">
        <f t="shared" ca="1" si="119"/>
        <v>1.1791749805345622</v>
      </c>
      <c r="W322" s="357">
        <f t="shared" ca="1" si="120"/>
        <v>138.39909378786766</v>
      </c>
      <c r="X322" s="343"/>
      <c r="Y322" s="367" t="str">
        <f t="shared" ca="1" si="138"/>
        <v/>
      </c>
      <c r="Z322" s="368" t="str">
        <f t="shared" ca="1" si="139"/>
        <v/>
      </c>
      <c r="AA322" s="369" t="str">
        <f t="shared" ca="1" si="140"/>
        <v/>
      </c>
      <c r="AB322" s="344"/>
      <c r="AC322" s="363" t="e">
        <f t="shared" ca="1" si="141"/>
        <v>#N/A</v>
      </c>
      <c r="AD322" s="376" t="e">
        <f t="shared" ca="1" si="142"/>
        <v>#N/A</v>
      </c>
      <c r="AE322" s="377">
        <f t="shared" ca="1" si="121"/>
        <v>381.212015235671</v>
      </c>
      <c r="AF322" s="344"/>
      <c r="AG322" s="359">
        <f t="shared" ca="1" si="143"/>
        <v>48.193375364229425</v>
      </c>
      <c r="AH322" s="357">
        <f t="shared" ca="1" si="144"/>
        <v>57.745334279952004</v>
      </c>
    </row>
    <row r="323" spans="1:34" x14ac:dyDescent="0.25">
      <c r="A323" s="402">
        <f t="shared" ca="1" si="122"/>
        <v>0.01</v>
      </c>
      <c r="B323" s="357">
        <f t="shared" ca="1" si="123"/>
        <v>3.189999999999976</v>
      </c>
      <c r="C323" s="342"/>
      <c r="D323" s="359">
        <f t="shared" ca="1" si="124"/>
        <v>13.124402518247592</v>
      </c>
      <c r="E323" s="360">
        <f t="shared" ca="1" si="125"/>
        <v>46.250994592415836</v>
      </c>
      <c r="F323" s="357">
        <f t="shared" ca="1" si="126"/>
        <v>48.077067737629996</v>
      </c>
      <c r="G323" s="359">
        <f t="shared" ca="1" si="127"/>
        <v>52.037522216286504</v>
      </c>
      <c r="H323" s="360">
        <f t="shared" ca="1" si="128"/>
        <v>222.18060926039536</v>
      </c>
      <c r="I323" s="357">
        <f t="shared" ca="1" si="129"/>
        <v>228.19317879755079</v>
      </c>
      <c r="J323" s="359">
        <f t="shared" ca="1" si="130"/>
        <v>84.204650415868812</v>
      </c>
      <c r="K323" s="360">
        <f t="shared" ca="1" si="131"/>
        <v>383.43150877854532</v>
      </c>
      <c r="L323" s="357">
        <f t="shared" ca="1" si="116"/>
        <v>392.56865014395936</v>
      </c>
      <c r="M323" s="359">
        <f t="shared" ca="1" si="132"/>
        <v>1.340730586071579</v>
      </c>
      <c r="N323" s="357">
        <f t="shared" ca="1" si="133"/>
        <v>76.818204046002833</v>
      </c>
      <c r="O323" s="343"/>
      <c r="P323" s="363">
        <f t="shared" ca="1" si="134"/>
        <v>10</v>
      </c>
      <c r="Q323" s="357">
        <f t="shared" ca="1" si="135"/>
        <v>715.82857142857461</v>
      </c>
      <c r="R323" s="359">
        <f t="shared" ca="1" si="136"/>
        <v>0.35858162468826338</v>
      </c>
      <c r="S323" s="360">
        <f t="shared" ca="1" si="137"/>
        <v>10.028861019742727</v>
      </c>
      <c r="T323" s="357">
        <f t="shared" ca="1" si="117"/>
        <v>98.38312660367616</v>
      </c>
      <c r="U323" s="364">
        <f t="shared" ca="1" si="118"/>
        <v>0</v>
      </c>
      <c r="V323" s="359">
        <f t="shared" ca="1" si="119"/>
        <v>1.1789131967989368</v>
      </c>
      <c r="W323" s="357">
        <f t="shared" ca="1" si="120"/>
        <v>138.95262756007162</v>
      </c>
      <c r="X323" s="343"/>
      <c r="Y323" s="367" t="str">
        <f t="shared" ca="1" si="138"/>
        <v/>
      </c>
      <c r="Z323" s="368" t="str">
        <f t="shared" ca="1" si="139"/>
        <v/>
      </c>
      <c r="AA323" s="369" t="str">
        <f t="shared" ca="1" si="140"/>
        <v/>
      </c>
      <c r="AB323" s="344"/>
      <c r="AC323" s="363" t="e">
        <f t="shared" ca="1" si="141"/>
        <v>#N/A</v>
      </c>
      <c r="AD323" s="376" t="e">
        <f t="shared" ca="1" si="142"/>
        <v>#N/A</v>
      </c>
      <c r="AE323" s="377">
        <f t="shared" ca="1" si="121"/>
        <v>383.43150877854532</v>
      </c>
      <c r="AF323" s="344"/>
      <c r="AG323" s="359">
        <f t="shared" ca="1" si="143"/>
        <v>48.025035856438294</v>
      </c>
      <c r="AH323" s="357">
        <f t="shared" ca="1" si="144"/>
        <v>57.576775319149839</v>
      </c>
    </row>
    <row r="324" spans="1:34" x14ac:dyDescent="0.25">
      <c r="A324" s="402">
        <f t="shared" ca="1" si="122"/>
        <v>0.01</v>
      </c>
      <c r="B324" s="357">
        <f t="shared" ca="1" si="123"/>
        <v>3.1999999999999758</v>
      </c>
      <c r="C324" s="342"/>
      <c r="D324" s="359">
        <f t="shared" ca="1" si="124"/>
        <v>13.091447009404529</v>
      </c>
      <c r="E324" s="360">
        <f t="shared" ca="1" si="125"/>
        <v>46.085545152212049</v>
      </c>
      <c r="F324" s="357">
        <f t="shared" ca="1" si="126"/>
        <v>47.908907906323876</v>
      </c>
      <c r="G324" s="359">
        <f t="shared" ca="1" si="127"/>
        <v>52.168436686380552</v>
      </c>
      <c r="H324" s="360">
        <f t="shared" ca="1" si="128"/>
        <v>222.64146471191748</v>
      </c>
      <c r="I324" s="357">
        <f t="shared" ca="1" si="129"/>
        <v>228.67174638631877</v>
      </c>
      <c r="J324" s="359">
        <f t="shared" ca="1" si="130"/>
        <v>84.725680210382151</v>
      </c>
      <c r="K324" s="360">
        <f t="shared" ca="1" si="131"/>
        <v>385.65561914840691</v>
      </c>
      <c r="L324" s="357">
        <f t="shared" ref="L324:L387" ca="1" si="145">SQRT(pos_x^2+pos_z^2)</f>
        <v>394.85275416014639</v>
      </c>
      <c r="M324" s="359">
        <f t="shared" ca="1" si="132"/>
        <v>1.3406327564326539</v>
      </c>
      <c r="N324" s="357">
        <f t="shared" ca="1" si="133"/>
        <v>76.81259882058113</v>
      </c>
      <c r="O324" s="343"/>
      <c r="P324" s="363">
        <f t="shared" ca="1" si="134"/>
        <v>10</v>
      </c>
      <c r="Q324" s="357">
        <f t="shared" ca="1" si="135"/>
        <v>714.48571428571756</v>
      </c>
      <c r="R324" s="359">
        <f t="shared" ca="1" si="136"/>
        <v>0.35790894422365305</v>
      </c>
      <c r="S324" s="360">
        <f t="shared" ca="1" si="137"/>
        <v>10.025281930300491</v>
      </c>
      <c r="T324" s="357">
        <f t="shared" ref="T324:T387" ca="1" si="146">m*g</f>
        <v>98.348015736247817</v>
      </c>
      <c r="U324" s="364">
        <f t="shared" ref="U324:U387" ca="1" si="147">IF(pos_xz&lt;L_rampe,Poids*COS(Beta),0)</f>
        <v>0</v>
      </c>
      <c r="V324" s="359">
        <f t="shared" ref="V324:V387" ca="1" si="148">Rho_moyen*(20000-Alt_rampe-pos_z)/(20000+Alt_rampe+pos_z)</f>
        <v>1.1786509257015958</v>
      </c>
      <c r="W324" s="357">
        <f t="shared" ref="W324:W387" ca="1" si="149">1/2*Rho*Sref*Cx*vit_xz^2</f>
        <v>139.50502026757039</v>
      </c>
      <c r="X324" s="343"/>
      <c r="Y324" s="367" t="str">
        <f t="shared" ca="1" si="138"/>
        <v/>
      </c>
      <c r="Z324" s="368" t="str">
        <f t="shared" ca="1" si="139"/>
        <v/>
      </c>
      <c r="AA324" s="369" t="str">
        <f t="shared" ca="1" si="140"/>
        <v/>
      </c>
      <c r="AB324" s="344"/>
      <c r="AC324" s="363" t="e">
        <f t="shared" ca="1" si="141"/>
        <v>#N/A</v>
      </c>
      <c r="AD324" s="376" t="e">
        <f t="shared" ca="1" si="142"/>
        <v>#N/A</v>
      </c>
      <c r="AE324" s="377">
        <f t="shared" ref="AE324:AE387" ca="1" si="150">IF(t&lt;T_para, pos_z, NA())</f>
        <v>385.65561914840691</v>
      </c>
      <c r="AF324" s="344"/>
      <c r="AG324" s="359">
        <f t="shared" ca="1" si="143"/>
        <v>47.856649450068346</v>
      </c>
      <c r="AH324" s="357">
        <f t="shared" ca="1" si="144"/>
        <v>57.408169737965196</v>
      </c>
    </row>
    <row r="325" spans="1:34" x14ac:dyDescent="0.25">
      <c r="A325" s="402">
        <f t="shared" ref="A325:A388" ca="1" si="151">IF(B324+0.01&lt;=T_ini+ROUNDUP(Temps_fin_propu,0), 0.01, IF(K324&gt;0, 0.1, 0.0001))</f>
        <v>0.01</v>
      </c>
      <c r="B325" s="357">
        <f t="shared" ref="B325:B388" ca="1" si="152">B324+pas</f>
        <v>3.2099999999999755</v>
      </c>
      <c r="C325" s="342"/>
      <c r="D325" s="359">
        <f t="shared" ref="D325:D388" ca="1" si="153">IF(AND(L324&lt;L_rampe,Poussee&lt;Poids*SIN(M324)),0,(-W324+Poussee)/m*COS(M324)-U324/m*SIN(M324))</f>
        <v>13.058439788755685</v>
      </c>
      <c r="E325" s="360">
        <f t="shared" ref="E325:E388" ca="1" si="154">IF(AND(L324&lt;L_rampe,Poussee&lt;Poids*SIN(M324)),0,(-W324+Poussee)/m*SIN(M324)+U324/m*COS(M324)-Poids/m)</f>
        <v>45.920061050113112</v>
      </c>
      <c r="F325" s="357">
        <f t="shared" ref="F325:F388" ca="1" si="155">SQRT(acc_x^2+acc_z^2)</f>
        <v>47.740704399523402</v>
      </c>
      <c r="G325" s="359">
        <f t="shared" ref="G325:G388" ca="1" si="156">G324+acc_x*pas</f>
        <v>52.299021084268112</v>
      </c>
      <c r="H325" s="360">
        <f t="shared" ref="H325:H388" ca="1" si="157">H324+acc_z*pas</f>
        <v>223.10066532241862</v>
      </c>
      <c r="I325" s="357">
        <f t="shared" ref="I325:I388" ca="1" si="158">SQRT(vit_x^2+vit_z^2)</f>
        <v>229.14862965699481</v>
      </c>
      <c r="J325" s="359">
        <f t="shared" ref="J325:J388" ca="1" si="159">J324+0.5*(vit_x+G324)*pas*(K324&gt;=0)</f>
        <v>85.248017499235388</v>
      </c>
      <c r="K325" s="360">
        <f t="shared" ref="K325:K388" ca="1" si="160">K324+0.5*(vit_z+H324)*pas</f>
        <v>387.88432979857862</v>
      </c>
      <c r="L325" s="357">
        <f t="shared" ca="1" si="145"/>
        <v>397.14163442132639</v>
      </c>
      <c r="M325" s="359">
        <f t="shared" ref="M325:M388" ca="1" si="161">IF(AND(L324&gt;L_rampe,G325&gt;0),ATAN2(G325,H325),$M$4)</f>
        <v>1.3405350896103583</v>
      </c>
      <c r="N325" s="357">
        <f t="shared" ref="N325:N388" ca="1" si="162">DEGREES(Beta)</f>
        <v>76.807002923865141</v>
      </c>
      <c r="O325" s="343"/>
      <c r="P325" s="363">
        <f t="shared" ref="P325:P388" ca="1" si="163">MATCH(t-pas/2-T_ini,CdP_t)</f>
        <v>10</v>
      </c>
      <c r="Q325" s="357">
        <f t="shared" ref="Q325:Q388" ca="1" si="164">(INDEX(CdP,2,i_P+1)-INDEX(CdP,2,i_P+0))/(INDEX(CdP,1,i_P+1)-INDEX(CdP,1,i_P+0))*(t-pas/2-T_ini-INDEX(CdP,1,i_P+0))+INDEX(CdP,2,i_P+0)</f>
        <v>713.14285714286041</v>
      </c>
      <c r="R325" s="359">
        <f t="shared" ref="R325:R388" ca="1" si="165">Poussee/(g*ISP)</f>
        <v>0.35723626375904266</v>
      </c>
      <c r="S325" s="360">
        <f t="shared" ref="S325:S388" ca="1" si="166">S324-Débit*pas</f>
        <v>10.021709567662899</v>
      </c>
      <c r="T325" s="357">
        <f t="shared" ca="1" si="146"/>
        <v>98.312970858773042</v>
      </c>
      <c r="U325" s="364">
        <f t="shared" ca="1" si="147"/>
        <v>0</v>
      </c>
      <c r="V325" s="359">
        <f t="shared" ca="1" si="148"/>
        <v>1.1783881695307858</v>
      </c>
      <c r="W325" s="357">
        <f t="shared" ca="1" si="149"/>
        <v>140.05625855899297</v>
      </c>
      <c r="X325" s="343"/>
      <c r="Y325" s="367" t="str">
        <f t="shared" ref="Y325:Y388" ca="1" si="167">IF(AND(pos_z&lt;=0,K324&gt;0),"Impact balistique","") &amp; IF(AND(H326&lt;0,vit_z&gt;=0),"Apogée","") &amp; IF(AND(Poussee=0,Q324&gt;0),"Fin de propulsion","") &amp; IF(AND(L326&gt;L_rampe,pos_xz&lt;=L_rampe),"Sortie de rampe","")</f>
        <v/>
      </c>
      <c r="Z325" s="368" t="str">
        <f t="shared" ref="Z325:Z388" ca="1" si="168">IF(ABS(t-T_para)&lt;pas/2,"Para","")</f>
        <v/>
      </c>
      <c r="AA325" s="369" t="str">
        <f t="shared" ref="AA325:AA388" ca="1" si="169">IF(ABS(t-T_satellite)&lt;pas/2,"Satellite","")</f>
        <v/>
      </c>
      <c r="AB325" s="344"/>
      <c r="AC325" s="363" t="e">
        <f t="shared" ref="AC325:AC388" ca="1" si="170">IF(ABS(t-ROUND(t,0))&lt;0.001,t,NA())</f>
        <v>#N/A</v>
      </c>
      <c r="AD325" s="376" t="e">
        <f t="shared" ref="AD325:AD388" ca="1" si="171">IF(ABS(t-ROUND(t,0))&lt;0.001,pos_x,NA())</f>
        <v>#N/A</v>
      </c>
      <c r="AE325" s="377">
        <f t="shared" ca="1" si="150"/>
        <v>387.88432979857862</v>
      </c>
      <c r="AF325" s="344"/>
      <c r="AG325" s="359">
        <f t="shared" ref="AG325:AG388" ca="1" si="172">IF(AND(L324&lt;L_rampe,Poussee&lt;Poids*SIN(M324)),0,(-W324+Poussee)/m-Poids*SIN(M324)/m)</f>
        <v>47.688217777362034</v>
      </c>
      <c r="AH325" s="357">
        <f t="shared" ref="AH325:AH388" ca="1" si="173">IF(AND(L324&lt;L_rampe,Poussee&lt;Poids*SIN(M324)), g*SIN(M324), (-W324+Poussee)/m)</f>
        <v>57.239519166096187</v>
      </c>
    </row>
    <row r="326" spans="1:34" x14ac:dyDescent="0.25">
      <c r="A326" s="402">
        <f t="shared" ca="1" si="151"/>
        <v>0.01</v>
      </c>
      <c r="B326" s="357">
        <f t="shared" ca="1" si="152"/>
        <v>3.2199999999999753</v>
      </c>
      <c r="C326" s="342"/>
      <c r="D326" s="359">
        <f t="shared" ca="1" si="153"/>
        <v>13.025381370842961</v>
      </c>
      <c r="E326" s="360">
        <f t="shared" ca="1" si="154"/>
        <v>45.7545438416712</v>
      </c>
      <c r="F326" s="357">
        <f t="shared" ca="1" si="155"/>
        <v>47.572458860303982</v>
      </c>
      <c r="G326" s="359">
        <f t="shared" ca="1" si="156"/>
        <v>52.429274897976541</v>
      </c>
      <c r="H326" s="360">
        <f t="shared" ca="1" si="157"/>
        <v>223.55821076083532</v>
      </c>
      <c r="I326" s="357">
        <f t="shared" ca="1" si="158"/>
        <v>229.62382817319647</v>
      </c>
      <c r="J326" s="359">
        <f t="shared" ca="1" si="159"/>
        <v>85.771658979146608</v>
      </c>
      <c r="K326" s="360">
        <f t="shared" ca="1" si="160"/>
        <v>390.1176241789949</v>
      </c>
      <c r="L326" s="357">
        <f t="shared" ca="1" si="145"/>
        <v>399.43527407966678</v>
      </c>
      <c r="M326" s="359">
        <f t="shared" ca="1" si="161"/>
        <v>1.3404375842816831</v>
      </c>
      <c r="N326" s="357">
        <f t="shared" ca="1" si="162"/>
        <v>76.801416280052024</v>
      </c>
      <c r="O326" s="343"/>
      <c r="P326" s="363">
        <f t="shared" ca="1" si="163"/>
        <v>10</v>
      </c>
      <c r="Q326" s="357">
        <f t="shared" ca="1" si="164"/>
        <v>711.80000000000337</v>
      </c>
      <c r="R326" s="359">
        <f t="shared" ca="1" si="165"/>
        <v>0.35656358329443238</v>
      </c>
      <c r="S326" s="360">
        <f t="shared" ca="1" si="166"/>
        <v>10.018143931829956</v>
      </c>
      <c r="T326" s="357">
        <f t="shared" ca="1" si="146"/>
        <v>98.277991971251865</v>
      </c>
      <c r="U326" s="364">
        <f t="shared" ca="1" si="147"/>
        <v>0</v>
      </c>
      <c r="V326" s="359">
        <f t="shared" ca="1" si="148"/>
        <v>1.178124930573959</v>
      </c>
      <c r="W326" s="357">
        <f t="shared" ca="1" si="149"/>
        <v>140.60632916215394</v>
      </c>
      <c r="X326" s="343"/>
      <c r="Y326" s="367" t="str">
        <f t="shared" ca="1" si="167"/>
        <v/>
      </c>
      <c r="Z326" s="368" t="str">
        <f t="shared" ca="1" si="168"/>
        <v/>
      </c>
      <c r="AA326" s="369" t="str">
        <f t="shared" ca="1" si="169"/>
        <v/>
      </c>
      <c r="AB326" s="344"/>
      <c r="AC326" s="363" t="e">
        <f t="shared" ca="1" si="170"/>
        <v>#N/A</v>
      </c>
      <c r="AD326" s="376" t="e">
        <f t="shared" ca="1" si="171"/>
        <v>#N/A</v>
      </c>
      <c r="AE326" s="377">
        <f t="shared" ca="1" si="150"/>
        <v>390.1176241789949</v>
      </c>
      <c r="AF326" s="344"/>
      <c r="AG326" s="359">
        <f t="shared" ca="1" si="172"/>
        <v>47.51974246516108</v>
      </c>
      <c r="AH326" s="357">
        <f t="shared" ca="1" si="173"/>
        <v>57.070825227859672</v>
      </c>
    </row>
    <row r="327" spans="1:34" x14ac:dyDescent="0.25">
      <c r="A327" s="402">
        <f t="shared" ca="1" si="151"/>
        <v>0.01</v>
      </c>
      <c r="B327" s="357">
        <f t="shared" ca="1" si="152"/>
        <v>3.2299999999999751</v>
      </c>
      <c r="C327" s="342"/>
      <c r="D327" s="359">
        <f t="shared" ca="1" si="153"/>
        <v>12.992272268123433</v>
      </c>
      <c r="E327" s="360">
        <f t="shared" ca="1" si="154"/>
        <v>45.588995077297803</v>
      </c>
      <c r="F327" s="357">
        <f t="shared" ca="1" si="155"/>
        <v>47.404172926514946</v>
      </c>
      <c r="G327" s="359">
        <f t="shared" ca="1" si="156"/>
        <v>52.559197620657777</v>
      </c>
      <c r="H327" s="360">
        <f t="shared" ca="1" si="157"/>
        <v>224.01410071160831</v>
      </c>
      <c r="I327" s="357">
        <f t="shared" ca="1" si="158"/>
        <v>230.09734151475533</v>
      </c>
      <c r="J327" s="359">
        <f t="shared" ca="1" si="159"/>
        <v>86.296601341739773</v>
      </c>
      <c r="K327" s="360">
        <f t="shared" ca="1" si="160"/>
        <v>392.35548573635714</v>
      </c>
      <c r="L327" s="357">
        <f t="shared" ca="1" si="145"/>
        <v>401.73365628305021</v>
      </c>
      <c r="M327" s="359">
        <f t="shared" ca="1" si="161"/>
        <v>1.3403402391346322</v>
      </c>
      <c r="N327" s="357">
        <f t="shared" ca="1" si="162"/>
        <v>76.795838813969922</v>
      </c>
      <c r="O327" s="343"/>
      <c r="P327" s="363">
        <f t="shared" ca="1" si="163"/>
        <v>10</v>
      </c>
      <c r="Q327" s="357">
        <f t="shared" ca="1" si="164"/>
        <v>710.45714285714621</v>
      </c>
      <c r="R327" s="359">
        <f t="shared" ca="1" si="165"/>
        <v>0.355890902829822</v>
      </c>
      <c r="S327" s="360">
        <f t="shared" ca="1" si="166"/>
        <v>10.014585022801658</v>
      </c>
      <c r="T327" s="357">
        <f t="shared" ca="1" si="146"/>
        <v>98.243079073684271</v>
      </c>
      <c r="U327" s="364">
        <f t="shared" ca="1" si="147"/>
        <v>0</v>
      </c>
      <c r="V327" s="359">
        <f t="shared" ca="1" si="148"/>
        <v>1.1778612111177424</v>
      </c>
      <c r="W327" s="357">
        <f t="shared" ca="1" si="149"/>
        <v>141.15521888419806</v>
      </c>
      <c r="X327" s="343"/>
      <c r="Y327" s="367" t="str">
        <f t="shared" ca="1" si="167"/>
        <v/>
      </c>
      <c r="Z327" s="368" t="str">
        <f t="shared" ca="1" si="168"/>
        <v/>
      </c>
      <c r="AA327" s="369" t="str">
        <f t="shared" ca="1" si="169"/>
        <v/>
      </c>
      <c r="AB327" s="344"/>
      <c r="AC327" s="363" t="e">
        <f t="shared" ca="1" si="170"/>
        <v>#N/A</v>
      </c>
      <c r="AD327" s="376" t="e">
        <f t="shared" ca="1" si="171"/>
        <v>#N/A</v>
      </c>
      <c r="AE327" s="377">
        <f t="shared" ca="1" si="150"/>
        <v>392.35548573635714</v>
      </c>
      <c r="AF327" s="344"/>
      <c r="AG327" s="359">
        <f t="shared" ca="1" si="172"/>
        <v>47.351225134871285</v>
      </c>
      <c r="AH327" s="357">
        <f t="shared" ca="1" si="173"/>
        <v>56.902089542155792</v>
      </c>
    </row>
    <row r="328" spans="1:34" x14ac:dyDescent="0.25">
      <c r="A328" s="402">
        <f t="shared" ca="1" si="151"/>
        <v>0.01</v>
      </c>
      <c r="B328" s="357">
        <f t="shared" ca="1" si="152"/>
        <v>3.2399999999999749</v>
      </c>
      <c r="C328" s="342"/>
      <c r="D328" s="359">
        <f t="shared" ca="1" si="153"/>
        <v>12.959112990972612</v>
      </c>
      <c r="E328" s="360">
        <f t="shared" ca="1" si="154"/>
        <v>45.423416302227778</v>
      </c>
      <c r="F328" s="357">
        <f t="shared" ca="1" si="155"/>
        <v>47.235848230748303</v>
      </c>
      <c r="G328" s="359">
        <f t="shared" ca="1" si="156"/>
        <v>52.688788750567504</v>
      </c>
      <c r="H328" s="360">
        <f t="shared" ca="1" si="157"/>
        <v>224.46833487463059</v>
      </c>
      <c r="I328" s="357">
        <f t="shared" ca="1" si="158"/>
        <v>230.56916927766216</v>
      </c>
      <c r="J328" s="359">
        <f t="shared" ca="1" si="159"/>
        <v>86.822841273595898</v>
      </c>
      <c r="K328" s="360">
        <f t="shared" ca="1" si="160"/>
        <v>394.59789791428835</v>
      </c>
      <c r="L328" s="357">
        <f t="shared" ca="1" si="145"/>
        <v>404.03676417523587</v>
      </c>
      <c r="M328" s="359">
        <f t="shared" ca="1" si="161"/>
        <v>1.3402430528680869</v>
      </c>
      <c r="N328" s="357">
        <f t="shared" ca="1" si="162"/>
        <v>76.790270451070242</v>
      </c>
      <c r="O328" s="343"/>
      <c r="P328" s="363">
        <f t="shared" ca="1" si="163"/>
        <v>10</v>
      </c>
      <c r="Q328" s="357">
        <f t="shared" ca="1" si="164"/>
        <v>709.11428571428905</v>
      </c>
      <c r="R328" s="359">
        <f t="shared" ca="1" si="165"/>
        <v>0.35521822236521161</v>
      </c>
      <c r="S328" s="360">
        <f t="shared" ca="1" si="166"/>
        <v>10.011032840578006</v>
      </c>
      <c r="T328" s="357">
        <f t="shared" ca="1" si="146"/>
        <v>98.208232166070246</v>
      </c>
      <c r="U328" s="364">
        <f t="shared" ca="1" si="147"/>
        <v>0</v>
      </c>
      <c r="V328" s="359">
        <f t="shared" ca="1" si="148"/>
        <v>1.1775970134479152</v>
      </c>
      <c r="W328" s="357">
        <f t="shared" ca="1" si="149"/>
        <v>141.70291461174091</v>
      </c>
      <c r="X328" s="343"/>
      <c r="Y328" s="367" t="str">
        <f t="shared" ca="1" si="167"/>
        <v/>
      </c>
      <c r="Z328" s="368" t="str">
        <f t="shared" ca="1" si="168"/>
        <v/>
      </c>
      <c r="AA328" s="369" t="str">
        <f t="shared" ca="1" si="169"/>
        <v/>
      </c>
      <c r="AB328" s="344"/>
      <c r="AC328" s="363" t="e">
        <f t="shared" ca="1" si="170"/>
        <v>#N/A</v>
      </c>
      <c r="AD328" s="376" t="e">
        <f t="shared" ca="1" si="171"/>
        <v>#N/A</v>
      </c>
      <c r="AE328" s="377">
        <f t="shared" ca="1" si="150"/>
        <v>394.59789791428835</v>
      </c>
      <c r="AF328" s="344"/>
      <c r="AG328" s="359">
        <f t="shared" ca="1" si="172"/>
        <v>47.182667402427732</v>
      </c>
      <c r="AH328" s="357">
        <f t="shared" ca="1" si="173"/>
        <v>56.733313722432932</v>
      </c>
    </row>
    <row r="329" spans="1:34" x14ac:dyDescent="0.25">
      <c r="A329" s="402">
        <f t="shared" ca="1" si="151"/>
        <v>0.01</v>
      </c>
      <c r="B329" s="357">
        <f t="shared" ca="1" si="152"/>
        <v>3.2499999999999747</v>
      </c>
      <c r="C329" s="342"/>
      <c r="D329" s="359">
        <f t="shared" ca="1" si="153"/>
        <v>12.925904047687547</v>
      </c>
      <c r="E329" s="360">
        <f t="shared" ca="1" si="154"/>
        <v>45.257809056483957</v>
      </c>
      <c r="F329" s="357">
        <f t="shared" ca="1" si="155"/>
        <v>47.067486400308084</v>
      </c>
      <c r="G329" s="359">
        <f t="shared" ca="1" si="156"/>
        <v>52.818047791044378</v>
      </c>
      <c r="H329" s="360">
        <f t="shared" ca="1" si="157"/>
        <v>224.92091296519541</v>
      </c>
      <c r="I329" s="357">
        <f t="shared" ca="1" si="158"/>
        <v>231.03931107401195</v>
      </c>
      <c r="J329" s="359">
        <f t="shared" ca="1" si="159"/>
        <v>87.350375456303951</v>
      </c>
      <c r="K329" s="360">
        <f t="shared" ca="1" si="160"/>
        <v>396.84484415348749</v>
      </c>
      <c r="L329" s="357">
        <f t="shared" ca="1" si="145"/>
        <v>406.34458089602111</v>
      </c>
      <c r="M329" s="359">
        <f t="shared" ca="1" si="161"/>
        <v>1.3401460241916725</v>
      </c>
      <c r="N329" s="357">
        <f t="shared" ca="1" si="162"/>
        <v>76.78471111741996</v>
      </c>
      <c r="O329" s="343"/>
      <c r="P329" s="363">
        <f t="shared" ca="1" si="163"/>
        <v>10</v>
      </c>
      <c r="Q329" s="357">
        <f t="shared" ca="1" si="164"/>
        <v>707.77142857143201</v>
      </c>
      <c r="R329" s="359">
        <f t="shared" ca="1" si="165"/>
        <v>0.35454554190060128</v>
      </c>
      <c r="S329" s="360">
        <f t="shared" ca="1" si="166"/>
        <v>10.007487385158999</v>
      </c>
      <c r="T329" s="357">
        <f t="shared" ca="1" si="146"/>
        <v>98.173451248409791</v>
      </c>
      <c r="U329" s="364">
        <f t="shared" ca="1" si="147"/>
        <v>0</v>
      </c>
      <c r="V329" s="359">
        <f t="shared" ca="1" si="148"/>
        <v>1.1773323398493794</v>
      </c>
      <c r="W329" s="357">
        <f t="shared" ca="1" si="149"/>
        <v>142.2494033110047</v>
      </c>
      <c r="X329" s="343"/>
      <c r="Y329" s="367" t="str">
        <f t="shared" ca="1" si="167"/>
        <v/>
      </c>
      <c r="Z329" s="368" t="str">
        <f t="shared" ca="1" si="168"/>
        <v/>
      </c>
      <c r="AA329" s="369" t="str">
        <f t="shared" ca="1" si="169"/>
        <v/>
      </c>
      <c r="AB329" s="344"/>
      <c r="AC329" s="363" t="e">
        <f t="shared" ca="1" si="170"/>
        <v>#N/A</v>
      </c>
      <c r="AD329" s="376" t="e">
        <f t="shared" ca="1" si="171"/>
        <v>#N/A</v>
      </c>
      <c r="AE329" s="377">
        <f t="shared" ca="1" si="150"/>
        <v>396.84484415348749</v>
      </c>
      <c r="AF329" s="344"/>
      <c r="AG329" s="359">
        <f t="shared" ca="1" si="172"/>
        <v>47.014070878260469</v>
      </c>
      <c r="AH329" s="357">
        <f t="shared" ca="1" si="173"/>
        <v>56.564499376653217</v>
      </c>
    </row>
    <row r="330" spans="1:34" x14ac:dyDescent="0.25">
      <c r="A330" s="402">
        <f t="shared" ca="1" si="151"/>
        <v>0.01</v>
      </c>
      <c r="B330" s="357">
        <f t="shared" ca="1" si="152"/>
        <v>3.2599999999999745</v>
      </c>
      <c r="C330" s="342"/>
      <c r="D330" s="359">
        <f t="shared" ca="1" si="153"/>
        <v>12.893135769443976</v>
      </c>
      <c r="E330" s="360">
        <f t="shared" ca="1" si="154"/>
        <v>45.094260750418293</v>
      </c>
      <c r="F330" s="357">
        <f t="shared" ca="1" si="155"/>
        <v>46.90122922265504</v>
      </c>
      <c r="G330" s="359">
        <f t="shared" ca="1" si="156"/>
        <v>52.946979148738819</v>
      </c>
      <c r="H330" s="360">
        <f t="shared" ca="1" si="157"/>
        <v>225.37185557269959</v>
      </c>
      <c r="I330" s="357">
        <f t="shared" ca="1" si="158"/>
        <v>231.50778795811328</v>
      </c>
      <c r="J330" s="359">
        <f t="shared" ca="1" si="159"/>
        <v>87.879200591002871</v>
      </c>
      <c r="K330" s="360">
        <f t="shared" ca="1" si="160"/>
        <v>399.09630799617696</v>
      </c>
      <c r="L330" s="357">
        <f t="shared" ca="1" si="145"/>
        <v>408.65708968852243</v>
      </c>
      <c r="M330" s="359">
        <f t="shared" ca="1" si="161"/>
        <v>1.3400491518345925</v>
      </c>
      <c r="N330" s="357">
        <f t="shared" ca="1" si="162"/>
        <v>76.779160740207786</v>
      </c>
      <c r="O330" s="343"/>
      <c r="P330" s="363">
        <f t="shared" ca="1" si="163"/>
        <v>11</v>
      </c>
      <c r="Q330" s="357">
        <f t="shared" ca="1" si="164"/>
        <v>706.45000000000334</v>
      </c>
      <c r="R330" s="359">
        <f t="shared" ca="1" si="165"/>
        <v>0.35388359569872402</v>
      </c>
      <c r="S330" s="360">
        <f t="shared" ca="1" si="166"/>
        <v>10.003948549202011</v>
      </c>
      <c r="T330" s="357">
        <f t="shared" ca="1" si="146"/>
        <v>98.138735267671734</v>
      </c>
      <c r="U330" s="364">
        <f t="shared" ca="1" si="147"/>
        <v>0</v>
      </c>
      <c r="V330" s="359">
        <f t="shared" ca="1" si="148"/>
        <v>1.1770671925938527</v>
      </c>
      <c r="W330" s="357">
        <f t="shared" ca="1" si="149"/>
        <v>142.79469845790388</v>
      </c>
      <c r="X330" s="343"/>
      <c r="Y330" s="367" t="str">
        <f t="shared" ca="1" si="167"/>
        <v/>
      </c>
      <c r="Z330" s="368" t="str">
        <f t="shared" ca="1" si="168"/>
        <v/>
      </c>
      <c r="AA330" s="369" t="str">
        <f t="shared" ca="1" si="169"/>
        <v/>
      </c>
      <c r="AB330" s="344"/>
      <c r="AC330" s="363" t="e">
        <f t="shared" ca="1" si="170"/>
        <v>#N/A</v>
      </c>
      <c r="AD330" s="376" t="e">
        <f t="shared" ca="1" si="171"/>
        <v>#N/A</v>
      </c>
      <c r="AE330" s="377">
        <f t="shared" ca="1" si="150"/>
        <v>399.09630799617696</v>
      </c>
      <c r="AF330" s="344"/>
      <c r="AG330" s="359">
        <f t="shared" ca="1" si="172"/>
        <v>46.847579783746397</v>
      </c>
      <c r="AH330" s="357">
        <f t="shared" ca="1" si="173"/>
        <v>56.397790723744123</v>
      </c>
    </row>
    <row r="331" spans="1:34" x14ac:dyDescent="0.25">
      <c r="A331" s="402">
        <f t="shared" ca="1" si="151"/>
        <v>0.01</v>
      </c>
      <c r="B331" s="357">
        <f t="shared" ca="1" si="152"/>
        <v>3.2699999999999743</v>
      </c>
      <c r="C331" s="342"/>
      <c r="D331" s="359">
        <f t="shared" ca="1" si="153"/>
        <v>12.860809317688021</v>
      </c>
      <c r="E331" s="360">
        <f t="shared" ca="1" si="154"/>
        <v>44.932772990913037</v>
      </c>
      <c r="F331" s="357">
        <f t="shared" ca="1" si="155"/>
        <v>46.737078481210773</v>
      </c>
      <c r="G331" s="359">
        <f t="shared" ca="1" si="156"/>
        <v>53.075587241915699</v>
      </c>
      <c r="H331" s="360">
        <f t="shared" ca="1" si="157"/>
        <v>225.82118330260872</v>
      </c>
      <c r="I331" s="357">
        <f t="shared" ca="1" si="158"/>
        <v>231.97462100252392</v>
      </c>
      <c r="J331" s="359">
        <f t="shared" ca="1" si="159"/>
        <v>88.409313422956146</v>
      </c>
      <c r="K331" s="360">
        <f t="shared" ca="1" si="160"/>
        <v>401.35227319055349</v>
      </c>
      <c r="L331" s="357">
        <f t="shared" ca="1" si="145"/>
        <v>410.97427400646768</v>
      </c>
      <c r="M331" s="359">
        <f t="shared" ca="1" si="161"/>
        <v>1.3399524345453733</v>
      </c>
      <c r="N331" s="357">
        <f t="shared" ca="1" si="162"/>
        <v>76.773619247729584</v>
      </c>
      <c r="O331" s="343"/>
      <c r="P331" s="363">
        <f t="shared" ca="1" si="163"/>
        <v>11</v>
      </c>
      <c r="Q331" s="357">
        <f t="shared" ca="1" si="164"/>
        <v>705.15000000000339</v>
      </c>
      <c r="R331" s="359">
        <f t="shared" ca="1" si="165"/>
        <v>0.35323238375957994</v>
      </c>
      <c r="S331" s="360">
        <f t="shared" ca="1" si="166"/>
        <v>10.000416225364415</v>
      </c>
      <c r="T331" s="357">
        <f t="shared" ca="1" si="146"/>
        <v>98.104083170824907</v>
      </c>
      <c r="U331" s="364">
        <f t="shared" ca="1" si="147"/>
        <v>0</v>
      </c>
      <c r="V331" s="359">
        <f t="shared" ca="1" si="148"/>
        <v>1.1768015739275759</v>
      </c>
      <c r="W331" s="357">
        <f t="shared" ca="1" si="149"/>
        <v>143.33881379726532</v>
      </c>
      <c r="X331" s="343"/>
      <c r="Y331" s="367" t="str">
        <f t="shared" ca="1" si="167"/>
        <v/>
      </c>
      <c r="Z331" s="368" t="str">
        <f t="shared" ca="1" si="168"/>
        <v/>
      </c>
      <c r="AA331" s="369" t="str">
        <f t="shared" ca="1" si="169"/>
        <v/>
      </c>
      <c r="AB331" s="344"/>
      <c r="AC331" s="363" t="e">
        <f t="shared" ca="1" si="170"/>
        <v>#N/A</v>
      </c>
      <c r="AD331" s="376" t="e">
        <f t="shared" ca="1" si="171"/>
        <v>#N/A</v>
      </c>
      <c r="AE331" s="377">
        <f t="shared" ca="1" si="150"/>
        <v>401.35227319055349</v>
      </c>
      <c r="AF331" s="344"/>
      <c r="AG331" s="359">
        <f t="shared" ca="1" si="172"/>
        <v>46.683195943818049</v>
      </c>
      <c r="AH331" s="357">
        <f t="shared" ca="1" si="173"/>
        <v>56.233189586227176</v>
      </c>
    </row>
    <row r="332" spans="1:34" x14ac:dyDescent="0.25">
      <c r="A332" s="402">
        <f t="shared" ca="1" si="151"/>
        <v>0.01</v>
      </c>
      <c r="B332" s="357">
        <f t="shared" ca="1" si="152"/>
        <v>3.279999999999974</v>
      </c>
      <c r="C332" s="342"/>
      <c r="D332" s="359">
        <f t="shared" ca="1" si="153"/>
        <v>12.828435267569263</v>
      </c>
      <c r="E332" s="360">
        <f t="shared" ca="1" si="154"/>
        <v>44.771260096837842</v>
      </c>
      <c r="F332" s="357">
        <f t="shared" ca="1" si="155"/>
        <v>46.572894284904812</v>
      </c>
      <c r="G332" s="359">
        <f t="shared" ca="1" si="156"/>
        <v>53.203871594591391</v>
      </c>
      <c r="H332" s="360">
        <f t="shared" ca="1" si="157"/>
        <v>226.26889590357709</v>
      </c>
      <c r="I332" s="357">
        <f t="shared" ca="1" si="158"/>
        <v>232.4398098563961</v>
      </c>
      <c r="J332" s="359">
        <f t="shared" ca="1" si="159"/>
        <v>88.940710717138685</v>
      </c>
      <c r="K332" s="360">
        <f t="shared" ca="1" si="160"/>
        <v>403.61272358658442</v>
      </c>
      <c r="L332" s="357">
        <f t="shared" ca="1" si="145"/>
        <v>413.29611740718099</v>
      </c>
      <c r="M332" s="359">
        <f t="shared" ca="1" si="161"/>
        <v>1.3398558710827082</v>
      </c>
      <c r="N332" s="357">
        <f t="shared" ca="1" si="162"/>
        <v>76.768086568863708</v>
      </c>
      <c r="O332" s="343"/>
      <c r="P332" s="363">
        <f t="shared" ca="1" si="163"/>
        <v>11</v>
      </c>
      <c r="Q332" s="357">
        <f t="shared" ca="1" si="164"/>
        <v>703.85000000000343</v>
      </c>
      <c r="R332" s="359">
        <f t="shared" ca="1" si="165"/>
        <v>0.35258117182043586</v>
      </c>
      <c r="S332" s="360">
        <f t="shared" ca="1" si="166"/>
        <v>9.9968904136462111</v>
      </c>
      <c r="T332" s="357">
        <f t="shared" ca="1" si="146"/>
        <v>98.069494957869338</v>
      </c>
      <c r="U332" s="364">
        <f t="shared" ca="1" si="147"/>
        <v>0</v>
      </c>
      <c r="V332" s="359">
        <f t="shared" ca="1" si="148"/>
        <v>1.1765354860835984</v>
      </c>
      <c r="W332" s="357">
        <f t="shared" ca="1" si="149"/>
        <v>143.88173679721029</v>
      </c>
      <c r="X332" s="343"/>
      <c r="Y332" s="367" t="str">
        <f t="shared" ca="1" si="167"/>
        <v/>
      </c>
      <c r="Z332" s="368" t="str">
        <f t="shared" ca="1" si="168"/>
        <v/>
      </c>
      <c r="AA332" s="369" t="str">
        <f t="shared" ca="1" si="169"/>
        <v/>
      </c>
      <c r="AB332" s="344"/>
      <c r="AC332" s="363" t="e">
        <f t="shared" ca="1" si="170"/>
        <v>#N/A</v>
      </c>
      <c r="AD332" s="376" t="e">
        <f t="shared" ca="1" si="171"/>
        <v>#N/A</v>
      </c>
      <c r="AE332" s="377">
        <f t="shared" ca="1" si="150"/>
        <v>403.61272358658442</v>
      </c>
      <c r="AF332" s="344"/>
      <c r="AG332" s="359">
        <f t="shared" ca="1" si="172"/>
        <v>46.518777017941638</v>
      </c>
      <c r="AH332" s="357">
        <f t="shared" ca="1" si="173"/>
        <v>56.068553621195527</v>
      </c>
    </row>
    <row r="333" spans="1:34" x14ac:dyDescent="0.25">
      <c r="A333" s="402">
        <f t="shared" ca="1" si="151"/>
        <v>0.01</v>
      </c>
      <c r="B333" s="357">
        <f t="shared" ca="1" si="152"/>
        <v>3.2899999999999738</v>
      </c>
      <c r="C333" s="342"/>
      <c r="D333" s="359">
        <f t="shared" ca="1" si="153"/>
        <v>12.796014105214097</v>
      </c>
      <c r="E333" s="360">
        <f t="shared" ca="1" si="154"/>
        <v>44.6097235422192</v>
      </c>
      <c r="F333" s="357">
        <f t="shared" ca="1" si="155"/>
        <v>46.408678191627743</v>
      </c>
      <c r="G333" s="359">
        <f t="shared" ca="1" si="156"/>
        <v>53.331831735643533</v>
      </c>
      <c r="H333" s="360">
        <f t="shared" ca="1" si="157"/>
        <v>226.71499313899929</v>
      </c>
      <c r="I333" s="357">
        <f t="shared" ca="1" si="158"/>
        <v>232.90335418429572</v>
      </c>
      <c r="J333" s="359">
        <f t="shared" ca="1" si="159"/>
        <v>89.47338923378986</v>
      </c>
      <c r="K333" s="360">
        <f t="shared" ca="1" si="160"/>
        <v>405.87764303179728</v>
      </c>
      <c r="L333" s="357">
        <f t="shared" ca="1" si="145"/>
        <v>415.62260344455319</v>
      </c>
      <c r="M333" s="359">
        <f t="shared" ca="1" si="161"/>
        <v>1.3397594602153344</v>
      </c>
      <c r="N333" s="357">
        <f t="shared" ca="1" si="162"/>
        <v>76.762562633063993</v>
      </c>
      <c r="O333" s="343"/>
      <c r="P333" s="363">
        <f t="shared" ca="1" si="163"/>
        <v>11</v>
      </c>
      <c r="Q333" s="357">
        <f t="shared" ca="1" si="164"/>
        <v>702.55000000000337</v>
      </c>
      <c r="R333" s="359">
        <f t="shared" ca="1" si="165"/>
        <v>0.35192995988129178</v>
      </c>
      <c r="S333" s="360">
        <f t="shared" ca="1" si="166"/>
        <v>9.9933711140473989</v>
      </c>
      <c r="T333" s="357">
        <f t="shared" ca="1" si="146"/>
        <v>98.034970628804984</v>
      </c>
      <c r="U333" s="364">
        <f t="shared" ca="1" si="147"/>
        <v>0</v>
      </c>
      <c r="V333" s="359">
        <f t="shared" ca="1" si="148"/>
        <v>1.1762689312940449</v>
      </c>
      <c r="W333" s="357">
        <f t="shared" ca="1" si="149"/>
        <v>144.42345500250573</v>
      </c>
      <c r="X333" s="343"/>
      <c r="Y333" s="367" t="str">
        <f t="shared" ca="1" si="167"/>
        <v/>
      </c>
      <c r="Z333" s="368" t="str">
        <f t="shared" ca="1" si="168"/>
        <v/>
      </c>
      <c r="AA333" s="369" t="str">
        <f t="shared" ca="1" si="169"/>
        <v/>
      </c>
      <c r="AB333" s="344"/>
      <c r="AC333" s="363" t="e">
        <f t="shared" ca="1" si="170"/>
        <v>#N/A</v>
      </c>
      <c r="AD333" s="376" t="e">
        <f t="shared" ca="1" si="171"/>
        <v>#N/A</v>
      </c>
      <c r="AE333" s="377">
        <f t="shared" ca="1" si="150"/>
        <v>405.87764303179728</v>
      </c>
      <c r="AF333" s="344"/>
      <c r="AG333" s="359">
        <f t="shared" ca="1" si="172"/>
        <v>46.354324547480928</v>
      </c>
      <c r="AH333" s="357">
        <f t="shared" ca="1" si="173"/>
        <v>55.903884367657362</v>
      </c>
    </row>
    <row r="334" spans="1:34" x14ac:dyDescent="0.25">
      <c r="A334" s="402">
        <f t="shared" ca="1" si="151"/>
        <v>0.01</v>
      </c>
      <c r="B334" s="357">
        <f t="shared" ca="1" si="152"/>
        <v>3.2999999999999736</v>
      </c>
      <c r="C334" s="342"/>
      <c r="D334" s="359">
        <f t="shared" ca="1" si="153"/>
        <v>12.76354631477488</v>
      </c>
      <c r="E334" s="360">
        <f t="shared" ca="1" si="154"/>
        <v>44.448164795969916</v>
      </c>
      <c r="F334" s="357">
        <f t="shared" ca="1" si="155"/>
        <v>46.244431754094492</v>
      </c>
      <c r="G334" s="359">
        <f t="shared" ca="1" si="156"/>
        <v>53.45946719879128</v>
      </c>
      <c r="H334" s="360">
        <f t="shared" ca="1" si="157"/>
        <v>227.15947478695898</v>
      </c>
      <c r="I334" s="357">
        <f t="shared" ca="1" si="158"/>
        <v>233.36525366614819</v>
      </c>
      <c r="J334" s="359">
        <f t="shared" ca="1" si="159"/>
        <v>90.007345728462028</v>
      </c>
      <c r="K334" s="360">
        <f t="shared" ca="1" si="160"/>
        <v>408.14701537142707</v>
      </c>
      <c r="L334" s="357">
        <f t="shared" ca="1" si="145"/>
        <v>417.95371566919562</v>
      </c>
      <c r="M334" s="359">
        <f t="shared" ca="1" si="161"/>
        <v>1.3396632007219127</v>
      </c>
      <c r="N334" s="357">
        <f t="shared" ca="1" si="162"/>
        <v>76.757047370352851</v>
      </c>
      <c r="O334" s="343"/>
      <c r="P334" s="363">
        <f t="shared" ca="1" si="163"/>
        <v>11</v>
      </c>
      <c r="Q334" s="357">
        <f t="shared" ca="1" si="164"/>
        <v>701.25000000000341</v>
      </c>
      <c r="R334" s="359">
        <f t="shared" ca="1" si="165"/>
        <v>0.3512787479421477</v>
      </c>
      <c r="S334" s="360">
        <f t="shared" ca="1" si="166"/>
        <v>9.9898583265679779</v>
      </c>
      <c r="T334" s="357">
        <f t="shared" ca="1" si="146"/>
        <v>98.000510183631874</v>
      </c>
      <c r="U334" s="364">
        <f t="shared" ca="1" si="147"/>
        <v>0</v>
      </c>
      <c r="V334" s="359">
        <f t="shared" ca="1" si="148"/>
        <v>1.1760019117900895</v>
      </c>
      <c r="W334" s="357">
        <f t="shared" ca="1" si="149"/>
        <v>144.96395603467869</v>
      </c>
      <c r="X334" s="343"/>
      <c r="Y334" s="367" t="str">
        <f t="shared" ca="1" si="167"/>
        <v/>
      </c>
      <c r="Z334" s="368" t="str">
        <f t="shared" ca="1" si="168"/>
        <v/>
      </c>
      <c r="AA334" s="369" t="str">
        <f t="shared" ca="1" si="169"/>
        <v/>
      </c>
      <c r="AB334" s="344"/>
      <c r="AC334" s="363" t="e">
        <f t="shared" ca="1" si="170"/>
        <v>#N/A</v>
      </c>
      <c r="AD334" s="376" t="e">
        <f t="shared" ca="1" si="171"/>
        <v>#N/A</v>
      </c>
      <c r="AE334" s="377">
        <f t="shared" ca="1" si="150"/>
        <v>408.14701537142707</v>
      </c>
      <c r="AF334" s="344"/>
      <c r="AG334" s="359">
        <f t="shared" ca="1" si="172"/>
        <v>46.189840068410987</v>
      </c>
      <c r="AH334" s="357">
        <f t="shared" ca="1" si="173"/>
        <v>55.739183359249473</v>
      </c>
    </row>
    <row r="335" spans="1:34" x14ac:dyDescent="0.25">
      <c r="A335" s="402">
        <f t="shared" ca="1" si="151"/>
        <v>0.01</v>
      </c>
      <c r="B335" s="357">
        <f t="shared" ca="1" si="152"/>
        <v>3.3099999999999734</v>
      </c>
      <c r="C335" s="342"/>
      <c r="D335" s="359">
        <f t="shared" ca="1" si="153"/>
        <v>12.731032378432305</v>
      </c>
      <c r="E335" s="360">
        <f t="shared" ca="1" si="154"/>
        <v>44.286585321857409</v>
      </c>
      <c r="F335" s="357">
        <f t="shared" ca="1" si="155"/>
        <v>46.080156519817159</v>
      </c>
      <c r="G335" s="359">
        <f t="shared" ca="1" si="156"/>
        <v>53.586777522575602</v>
      </c>
      <c r="H335" s="360">
        <f t="shared" ca="1" si="157"/>
        <v>227.60234064017754</v>
      </c>
      <c r="I335" s="357">
        <f t="shared" ca="1" si="158"/>
        <v>233.82550799718456</v>
      </c>
      <c r="J335" s="359">
        <f t="shared" ca="1" si="159"/>
        <v>90.542576952068856</v>
      </c>
      <c r="K335" s="360">
        <f t="shared" ca="1" si="160"/>
        <v>410.42082444856277</v>
      </c>
      <c r="L335" s="357">
        <f t="shared" ca="1" si="145"/>
        <v>420.28943762859342</v>
      </c>
      <c r="M335" s="359">
        <f t="shared" ca="1" si="161"/>
        <v>1.3395670913909081</v>
      </c>
      <c r="N335" s="357">
        <f t="shared" ca="1" si="162"/>
        <v>76.751540711314476</v>
      </c>
      <c r="O335" s="343"/>
      <c r="P335" s="363">
        <f t="shared" ca="1" si="163"/>
        <v>11</v>
      </c>
      <c r="Q335" s="357">
        <f t="shared" ca="1" si="164"/>
        <v>699.95000000000346</v>
      </c>
      <c r="R335" s="359">
        <f t="shared" ca="1" si="165"/>
        <v>0.35062753600300361</v>
      </c>
      <c r="S335" s="360">
        <f t="shared" ca="1" si="166"/>
        <v>9.9863520512079482</v>
      </c>
      <c r="T335" s="357">
        <f t="shared" ca="1" si="146"/>
        <v>97.96611362234998</v>
      </c>
      <c r="U335" s="364">
        <f t="shared" ca="1" si="147"/>
        <v>0</v>
      </c>
      <c r="V335" s="359">
        <f t="shared" ca="1" si="148"/>
        <v>1.1757344298019321</v>
      </c>
      <c r="W335" s="357">
        <f t="shared" ca="1" si="149"/>
        <v>145.50322759212764</v>
      </c>
      <c r="X335" s="343"/>
      <c r="Y335" s="367" t="str">
        <f t="shared" ca="1" si="167"/>
        <v/>
      </c>
      <c r="Z335" s="368" t="str">
        <f t="shared" ca="1" si="168"/>
        <v/>
      </c>
      <c r="AA335" s="369" t="str">
        <f t="shared" ca="1" si="169"/>
        <v/>
      </c>
      <c r="AB335" s="344"/>
      <c r="AC335" s="363" t="e">
        <f t="shared" ca="1" si="170"/>
        <v>#N/A</v>
      </c>
      <c r="AD335" s="376" t="e">
        <f t="shared" ca="1" si="171"/>
        <v>#N/A</v>
      </c>
      <c r="AE335" s="377">
        <f t="shared" ca="1" si="150"/>
        <v>410.42082444856277</v>
      </c>
      <c r="AF335" s="344"/>
      <c r="AG335" s="359">
        <f t="shared" ca="1" si="172"/>
        <v>46.025325111287415</v>
      </c>
      <c r="AH335" s="357">
        <f t="shared" ca="1" si="173"/>
        <v>55.574452124206232</v>
      </c>
    </row>
    <row r="336" spans="1:34" x14ac:dyDescent="0.25">
      <c r="A336" s="402">
        <f t="shared" ca="1" si="151"/>
        <v>0.01</v>
      </c>
      <c r="B336" s="357">
        <f t="shared" ca="1" si="152"/>
        <v>3.3199999999999732</v>
      </c>
      <c r="C336" s="342"/>
      <c r="D336" s="359">
        <f t="shared" ca="1" si="153"/>
        <v>12.698472776397741</v>
      </c>
      <c r="E336" s="360">
        <f t="shared" ca="1" si="154"/>
        <v>44.12498657847236</v>
      </c>
      <c r="F336" s="357">
        <f t="shared" ca="1" si="155"/>
        <v>45.915854031078204</v>
      </c>
      <c r="G336" s="359">
        <f t="shared" ca="1" si="156"/>
        <v>53.713762250339578</v>
      </c>
      <c r="H336" s="360">
        <f t="shared" ca="1" si="157"/>
        <v>228.04359050596227</v>
      </c>
      <c r="I336" s="357">
        <f t="shared" ca="1" si="158"/>
        <v>234.2841168878868</v>
      </c>
      <c r="J336" s="359">
        <f t="shared" ca="1" si="159"/>
        <v>91.079079650933437</v>
      </c>
      <c r="K336" s="360">
        <f t="shared" ca="1" si="160"/>
        <v>412.69905410429345</v>
      </c>
      <c r="L336" s="357">
        <f t="shared" ca="1" si="145"/>
        <v>422.62975286725805</v>
      </c>
      <c r="M336" s="359">
        <f t="shared" ca="1" si="161"/>
        <v>1.339471131020473</v>
      </c>
      <c r="N336" s="357">
        <f t="shared" ca="1" si="162"/>
        <v>76.746042587088027</v>
      </c>
      <c r="O336" s="343"/>
      <c r="P336" s="363">
        <f t="shared" ca="1" si="163"/>
        <v>11</v>
      </c>
      <c r="Q336" s="357">
        <f t="shared" ca="1" si="164"/>
        <v>698.6500000000035</v>
      </c>
      <c r="R336" s="359">
        <f t="shared" ca="1" si="165"/>
        <v>0.34997632406385959</v>
      </c>
      <c r="S336" s="360">
        <f t="shared" ca="1" si="166"/>
        <v>9.9828522879673098</v>
      </c>
      <c r="T336" s="357">
        <f t="shared" ca="1" si="146"/>
        <v>97.931780944959314</v>
      </c>
      <c r="U336" s="364">
        <f t="shared" ca="1" si="147"/>
        <v>0</v>
      </c>
      <c r="V336" s="359">
        <f t="shared" ca="1" si="148"/>
        <v>1.1754664875587719</v>
      </c>
      <c r="W336" s="357">
        <f t="shared" ca="1" si="149"/>
        <v>146.04125745022847</v>
      </c>
      <c r="X336" s="343"/>
      <c r="Y336" s="367" t="str">
        <f t="shared" ca="1" si="167"/>
        <v/>
      </c>
      <c r="Z336" s="368" t="str">
        <f t="shared" ca="1" si="168"/>
        <v/>
      </c>
      <c r="AA336" s="369" t="str">
        <f t="shared" ca="1" si="169"/>
        <v/>
      </c>
      <c r="AB336" s="344"/>
      <c r="AC336" s="363" t="e">
        <f t="shared" ca="1" si="170"/>
        <v>#N/A</v>
      </c>
      <c r="AD336" s="376" t="e">
        <f t="shared" ca="1" si="171"/>
        <v>#N/A</v>
      </c>
      <c r="AE336" s="377">
        <f t="shared" ca="1" si="150"/>
        <v>412.69905410429345</v>
      </c>
      <c r="AF336" s="344"/>
      <c r="AG336" s="359">
        <f t="shared" ca="1" si="172"/>
        <v>45.860781201215893</v>
      </c>
      <c r="AH336" s="357">
        <f t="shared" ca="1" si="173"/>
        <v>55.409692185328993</v>
      </c>
    </row>
    <row r="337" spans="1:34" x14ac:dyDescent="0.25">
      <c r="A337" s="402">
        <f t="shared" ca="1" si="151"/>
        <v>0.01</v>
      </c>
      <c r="B337" s="357">
        <f t="shared" ca="1" si="152"/>
        <v>3.329999999999973</v>
      </c>
      <c r="C337" s="342"/>
      <c r="D337" s="359">
        <f t="shared" ca="1" si="153"/>
        <v>12.665867986915529</v>
      </c>
      <c r="E337" s="360">
        <f t="shared" ca="1" si="154"/>
        <v>43.963370019198024</v>
      </c>
      <c r="F337" s="357">
        <f t="shared" ca="1" si="155"/>
        <v>45.75152582490437</v>
      </c>
      <c r="G337" s="359">
        <f t="shared" ca="1" si="156"/>
        <v>53.84042093020873</v>
      </c>
      <c r="H337" s="360">
        <f t="shared" ca="1" si="157"/>
        <v>228.48322420615426</v>
      </c>
      <c r="I337" s="357">
        <f t="shared" ca="1" si="158"/>
        <v>234.74108006393303</v>
      </c>
      <c r="J337" s="359">
        <f t="shared" ca="1" si="159"/>
        <v>91.616850566836177</v>
      </c>
      <c r="K337" s="360">
        <f t="shared" ca="1" si="160"/>
        <v>414.98168817785404</v>
      </c>
      <c r="L337" s="357">
        <f t="shared" ca="1" si="145"/>
        <v>424.97464492687993</v>
      </c>
      <c r="M337" s="359">
        <f t="shared" ca="1" si="161"/>
        <v>1.3393753184183319</v>
      </c>
      <c r="N337" s="357">
        <f t="shared" ca="1" si="162"/>
        <v>76.740552929361172</v>
      </c>
      <c r="O337" s="343"/>
      <c r="P337" s="363">
        <f t="shared" ca="1" si="163"/>
        <v>11</v>
      </c>
      <c r="Q337" s="357">
        <f t="shared" ca="1" si="164"/>
        <v>697.35000000000355</v>
      </c>
      <c r="R337" s="359">
        <f t="shared" ca="1" si="165"/>
        <v>0.34932511212471551</v>
      </c>
      <c r="S337" s="360">
        <f t="shared" ca="1" si="166"/>
        <v>9.9793590368460627</v>
      </c>
      <c r="T337" s="357">
        <f t="shared" ca="1" si="146"/>
        <v>97.897512151459878</v>
      </c>
      <c r="U337" s="364">
        <f t="shared" ca="1" si="147"/>
        <v>0</v>
      </c>
      <c r="V337" s="359">
        <f t="shared" ca="1" si="148"/>
        <v>1.1751980872887824</v>
      </c>
      <c r="W337" s="357">
        <f t="shared" ca="1" si="149"/>
        <v>146.57803346143652</v>
      </c>
      <c r="X337" s="343"/>
      <c r="Y337" s="367" t="str">
        <f t="shared" ca="1" si="167"/>
        <v/>
      </c>
      <c r="Z337" s="368" t="str">
        <f t="shared" ca="1" si="168"/>
        <v/>
      </c>
      <c r="AA337" s="369" t="str">
        <f t="shared" ca="1" si="169"/>
        <v/>
      </c>
      <c r="AB337" s="344"/>
      <c r="AC337" s="363" t="e">
        <f t="shared" ca="1" si="170"/>
        <v>#N/A</v>
      </c>
      <c r="AD337" s="376" t="e">
        <f t="shared" ca="1" si="171"/>
        <v>#N/A</v>
      </c>
      <c r="AE337" s="377">
        <f t="shared" ca="1" si="150"/>
        <v>414.98168817785404</v>
      </c>
      <c r="AF337" s="344"/>
      <c r="AG337" s="359">
        <f t="shared" ca="1" si="172"/>
        <v>45.696209857822367</v>
      </c>
      <c r="AH337" s="357">
        <f t="shared" ca="1" si="173"/>
        <v>55.244905059956039</v>
      </c>
    </row>
    <row r="338" spans="1:34" x14ac:dyDescent="0.25">
      <c r="A338" s="402">
        <f t="shared" ca="1" si="151"/>
        <v>0.01</v>
      </c>
      <c r="B338" s="357">
        <f t="shared" ca="1" si="152"/>
        <v>3.3399999999999728</v>
      </c>
      <c r="C338" s="342"/>
      <c r="D338" s="359">
        <f t="shared" ca="1" si="153"/>
        <v>12.633218486265106</v>
      </c>
      <c r="E338" s="360">
        <f t="shared" ca="1" si="154"/>
        <v>43.801737092179764</v>
      </c>
      <c r="F338" s="357">
        <f t="shared" ca="1" si="155"/>
        <v>45.587173433040867</v>
      </c>
      <c r="G338" s="359">
        <f t="shared" ca="1" si="156"/>
        <v>53.966753115071377</v>
      </c>
      <c r="H338" s="360">
        <f t="shared" ca="1" si="157"/>
        <v>228.92124157707605</v>
      </c>
      <c r="I338" s="357">
        <f t="shared" ca="1" si="158"/>
        <v>235.19639726614241</v>
      </c>
      <c r="J338" s="359">
        <f t="shared" ca="1" si="159"/>
        <v>92.155886437062577</v>
      </c>
      <c r="K338" s="360">
        <f t="shared" ca="1" si="160"/>
        <v>417.26871050677016</v>
      </c>
      <c r="L338" s="357">
        <f t="shared" ca="1" si="145"/>
        <v>427.32409734647956</v>
      </c>
      <c r="M338" s="359">
        <f t="shared" ca="1" si="161"/>
        <v>1.339279652401667</v>
      </c>
      <c r="N338" s="357">
        <f t="shared" ca="1" si="162"/>
        <v>76.735071670363453</v>
      </c>
      <c r="O338" s="343"/>
      <c r="P338" s="363">
        <f t="shared" ca="1" si="163"/>
        <v>11</v>
      </c>
      <c r="Q338" s="357">
        <f t="shared" ca="1" si="164"/>
        <v>696.05000000000359</v>
      </c>
      <c r="R338" s="359">
        <f t="shared" ca="1" si="165"/>
        <v>0.34867390018557143</v>
      </c>
      <c r="S338" s="360">
        <f t="shared" ca="1" si="166"/>
        <v>9.9758722978442069</v>
      </c>
      <c r="T338" s="357">
        <f t="shared" ca="1" si="146"/>
        <v>97.863307241851672</v>
      </c>
      <c r="U338" s="364">
        <f t="shared" ca="1" si="147"/>
        <v>0</v>
      </c>
      <c r="V338" s="359">
        <f t="shared" ca="1" si="148"/>
        <v>1.1749292312190855</v>
      </c>
      <c r="W338" s="357">
        <f t="shared" ca="1" si="149"/>
        <v>147.1135435553845</v>
      </c>
      <c r="X338" s="343"/>
      <c r="Y338" s="367" t="str">
        <f t="shared" ca="1" si="167"/>
        <v/>
      </c>
      <c r="Z338" s="368" t="str">
        <f t="shared" ca="1" si="168"/>
        <v/>
      </c>
      <c r="AA338" s="369" t="str">
        <f t="shared" ca="1" si="169"/>
        <v/>
      </c>
      <c r="AB338" s="344"/>
      <c r="AC338" s="363" t="e">
        <f t="shared" ca="1" si="170"/>
        <v>#N/A</v>
      </c>
      <c r="AD338" s="376" t="e">
        <f t="shared" ca="1" si="171"/>
        <v>#N/A</v>
      </c>
      <c r="AE338" s="377">
        <f t="shared" ca="1" si="150"/>
        <v>417.26871050677016</v>
      </c>
      <c r="AF338" s="344"/>
      <c r="AG338" s="359">
        <f t="shared" ca="1" si="172"/>
        <v>45.531612595223493</v>
      </c>
      <c r="AH338" s="357">
        <f t="shared" ca="1" si="173"/>
        <v>55.08009225993284</v>
      </c>
    </row>
    <row r="339" spans="1:34" x14ac:dyDescent="0.25">
      <c r="A339" s="402">
        <f t="shared" ca="1" si="151"/>
        <v>0.01</v>
      </c>
      <c r="B339" s="357">
        <f t="shared" ca="1" si="152"/>
        <v>3.3499999999999726</v>
      </c>
      <c r="C339" s="342"/>
      <c r="D339" s="359">
        <f t="shared" ca="1" si="153"/>
        <v>12.600524748763169</v>
      </c>
      <c r="E339" s="360">
        <f t="shared" ca="1" si="154"/>
        <v>43.640089240295076</v>
      </c>
      <c r="F339" s="357">
        <f t="shared" ca="1" si="155"/>
        <v>45.422798381926128</v>
      </c>
      <c r="G339" s="359">
        <f t="shared" ca="1" si="156"/>
        <v>54.09275836255901</v>
      </c>
      <c r="H339" s="360">
        <f t="shared" ca="1" si="157"/>
        <v>229.357642469479</v>
      </c>
      <c r="I339" s="357">
        <f t="shared" ca="1" si="158"/>
        <v>235.65006825041991</v>
      </c>
      <c r="J339" s="359">
        <f t="shared" ca="1" si="159"/>
        <v>92.696183994450735</v>
      </c>
      <c r="K339" s="360">
        <f t="shared" ca="1" si="160"/>
        <v>419.56010492700295</v>
      </c>
      <c r="L339" s="357">
        <f t="shared" ca="1" si="145"/>
        <v>429.67809366255892</v>
      </c>
      <c r="M339" s="359">
        <f t="shared" ca="1" si="161"/>
        <v>1.3391841317970072</v>
      </c>
      <c r="N339" s="357">
        <f t="shared" ca="1" si="162"/>
        <v>76.729598742859906</v>
      </c>
      <c r="O339" s="343"/>
      <c r="P339" s="363">
        <f t="shared" ca="1" si="163"/>
        <v>11</v>
      </c>
      <c r="Q339" s="357">
        <f t="shared" ca="1" si="164"/>
        <v>694.75000000000352</v>
      </c>
      <c r="R339" s="359">
        <f t="shared" ca="1" si="165"/>
        <v>0.34802268824642735</v>
      </c>
      <c r="S339" s="360">
        <f t="shared" ca="1" si="166"/>
        <v>9.9723920709617424</v>
      </c>
      <c r="T339" s="357">
        <f t="shared" ca="1" si="146"/>
        <v>97.829166216134695</v>
      </c>
      <c r="U339" s="364">
        <f t="shared" ca="1" si="147"/>
        <v>0</v>
      </c>
      <c r="V339" s="359">
        <f t="shared" ca="1" si="148"/>
        <v>1.1746599215757281</v>
      </c>
      <c r="W339" s="357">
        <f t="shared" ca="1" si="149"/>
        <v>147.64777573897638</v>
      </c>
      <c r="X339" s="343"/>
      <c r="Y339" s="367" t="str">
        <f t="shared" ca="1" si="167"/>
        <v/>
      </c>
      <c r="Z339" s="368" t="str">
        <f t="shared" ca="1" si="168"/>
        <v/>
      </c>
      <c r="AA339" s="369" t="str">
        <f t="shared" ca="1" si="169"/>
        <v/>
      </c>
      <c r="AB339" s="344"/>
      <c r="AC339" s="363" t="e">
        <f t="shared" ca="1" si="170"/>
        <v>#N/A</v>
      </c>
      <c r="AD339" s="376" t="e">
        <f t="shared" ca="1" si="171"/>
        <v>#N/A</v>
      </c>
      <c r="AE339" s="377">
        <f t="shared" ca="1" si="150"/>
        <v>419.56010492700295</v>
      </c>
      <c r="AF339" s="344"/>
      <c r="AG339" s="359">
        <f t="shared" ca="1" si="172"/>
        <v>45.366990921997477</v>
      </c>
      <c r="AH339" s="357">
        <f t="shared" ca="1" si="173"/>
        <v>54.915255291582689</v>
      </c>
    </row>
    <row r="340" spans="1:34" x14ac:dyDescent="0.25">
      <c r="A340" s="402">
        <f t="shared" ca="1" si="151"/>
        <v>0.01</v>
      </c>
      <c r="B340" s="357">
        <f t="shared" ca="1" si="152"/>
        <v>3.3599999999999723</v>
      </c>
      <c r="C340" s="342"/>
      <c r="D340" s="359">
        <f t="shared" ca="1" si="153"/>
        <v>12.567787246765656</v>
      </c>
      <c r="E340" s="360">
        <f t="shared" ca="1" si="154"/>
        <v>43.478427901124142</v>
      </c>
      <c r="F340" s="357">
        <f t="shared" ca="1" si="155"/>
        <v>45.258402192667113</v>
      </c>
      <c r="G340" s="359">
        <f t="shared" ca="1" si="156"/>
        <v>54.218436235026665</v>
      </c>
      <c r="H340" s="360">
        <f t="shared" ca="1" si="157"/>
        <v>229.79242674849024</v>
      </c>
      <c r="I340" s="357">
        <f t="shared" ca="1" si="158"/>
        <v>236.10209278770043</v>
      </c>
      <c r="J340" s="359">
        <f t="shared" ca="1" si="159"/>
        <v>93.237739967438657</v>
      </c>
      <c r="K340" s="360">
        <f t="shared" ca="1" si="160"/>
        <v>421.8558552730928</v>
      </c>
      <c r="L340" s="357">
        <f t="shared" ca="1" si="145"/>
        <v>432.0366174092519</v>
      </c>
      <c r="M340" s="359">
        <f t="shared" ca="1" si="161"/>
        <v>1.3390887554401159</v>
      </c>
      <c r="N340" s="357">
        <f t="shared" ca="1" si="162"/>
        <v>76.724134080144694</v>
      </c>
      <c r="O340" s="343"/>
      <c r="P340" s="363">
        <f t="shared" ca="1" si="163"/>
        <v>11</v>
      </c>
      <c r="Q340" s="357">
        <f t="shared" ca="1" si="164"/>
        <v>693.45000000000357</v>
      </c>
      <c r="R340" s="359">
        <f t="shared" ca="1" si="165"/>
        <v>0.34737147630728327</v>
      </c>
      <c r="S340" s="360">
        <f t="shared" ca="1" si="166"/>
        <v>9.9689183561986692</v>
      </c>
      <c r="T340" s="357">
        <f t="shared" ca="1" si="146"/>
        <v>97.795089074308947</v>
      </c>
      <c r="U340" s="364">
        <f t="shared" ca="1" si="147"/>
        <v>0</v>
      </c>
      <c r="V340" s="359">
        <f t="shared" ca="1" si="148"/>
        <v>1.1743901605836569</v>
      </c>
      <c r="W340" s="357">
        <f t="shared" ca="1" si="149"/>
        <v>148.18071809647671</v>
      </c>
      <c r="X340" s="343"/>
      <c r="Y340" s="367" t="str">
        <f t="shared" ca="1" si="167"/>
        <v/>
      </c>
      <c r="Z340" s="368" t="str">
        <f t="shared" ca="1" si="168"/>
        <v/>
      </c>
      <c r="AA340" s="369" t="str">
        <f t="shared" ca="1" si="169"/>
        <v/>
      </c>
      <c r="AB340" s="344"/>
      <c r="AC340" s="363" t="e">
        <f t="shared" ca="1" si="170"/>
        <v>#N/A</v>
      </c>
      <c r="AD340" s="376" t="e">
        <f t="shared" ca="1" si="171"/>
        <v>#N/A</v>
      </c>
      <c r="AE340" s="377">
        <f t="shared" ca="1" si="150"/>
        <v>421.8558552730928</v>
      </c>
      <c r="AF340" s="344"/>
      <c r="AG340" s="359">
        <f t="shared" ca="1" si="172"/>
        <v>45.20234634115544</v>
      </c>
      <c r="AH340" s="357">
        <f t="shared" ca="1" si="173"/>
        <v>54.750395655677885</v>
      </c>
    </row>
    <row r="341" spans="1:34" x14ac:dyDescent="0.25">
      <c r="A341" s="402">
        <f t="shared" ca="1" si="151"/>
        <v>0.01</v>
      </c>
      <c r="B341" s="357">
        <f t="shared" ca="1" si="152"/>
        <v>3.3699999999999721</v>
      </c>
      <c r="C341" s="342"/>
      <c r="D341" s="359">
        <f t="shared" ca="1" si="153"/>
        <v>12.535006450669806</v>
      </c>
      <c r="E341" s="360">
        <f t="shared" ca="1" si="154"/>
        <v>43.316754506920674</v>
      </c>
      <c r="F341" s="357">
        <f t="shared" ca="1" si="155"/>
        <v>45.093986381015</v>
      </c>
      <c r="G341" s="359">
        <f t="shared" ca="1" si="156"/>
        <v>54.343786299533363</v>
      </c>
      <c r="H341" s="360">
        <f t="shared" ca="1" si="157"/>
        <v>230.22559429355945</v>
      </c>
      <c r="I341" s="357">
        <f t="shared" ca="1" si="158"/>
        <v>236.55247066389308</v>
      </c>
      <c r="J341" s="359">
        <f t="shared" ca="1" si="159"/>
        <v>93.780551080111451</v>
      </c>
      <c r="K341" s="360">
        <f t="shared" ca="1" si="160"/>
        <v>424.15594537830304</v>
      </c>
      <c r="L341" s="357">
        <f t="shared" ca="1" si="145"/>
        <v>434.39965211847419</v>
      </c>
      <c r="M341" s="359">
        <f t="shared" ca="1" si="161"/>
        <v>1.3389935221758833</v>
      </c>
      <c r="N341" s="357">
        <f t="shared" ca="1" si="162"/>
        <v>76.71867761603491</v>
      </c>
      <c r="O341" s="343"/>
      <c r="P341" s="363">
        <f t="shared" ca="1" si="163"/>
        <v>11</v>
      </c>
      <c r="Q341" s="357">
        <f t="shared" ca="1" si="164"/>
        <v>692.15000000000362</v>
      </c>
      <c r="R341" s="359">
        <f t="shared" ca="1" si="165"/>
        <v>0.34672026436813919</v>
      </c>
      <c r="S341" s="360">
        <f t="shared" ca="1" si="166"/>
        <v>9.9654511535549872</v>
      </c>
      <c r="T341" s="357">
        <f t="shared" ca="1" si="146"/>
        <v>97.761075816374429</v>
      </c>
      <c r="U341" s="364">
        <f t="shared" ca="1" si="147"/>
        <v>0</v>
      </c>
      <c r="V341" s="359">
        <f t="shared" ca="1" si="148"/>
        <v>1.1741199504666926</v>
      </c>
      <c r="W341" s="357">
        <f t="shared" ca="1" si="149"/>
        <v>148.71235878959615</v>
      </c>
      <c r="X341" s="343"/>
      <c r="Y341" s="367" t="str">
        <f t="shared" ca="1" si="167"/>
        <v/>
      </c>
      <c r="Z341" s="368" t="str">
        <f t="shared" ca="1" si="168"/>
        <v/>
      </c>
      <c r="AA341" s="369" t="str">
        <f t="shared" ca="1" si="169"/>
        <v/>
      </c>
      <c r="AB341" s="344"/>
      <c r="AC341" s="363" t="e">
        <f t="shared" ca="1" si="170"/>
        <v>#N/A</v>
      </c>
      <c r="AD341" s="376" t="e">
        <f t="shared" ca="1" si="171"/>
        <v>#N/A</v>
      </c>
      <c r="AE341" s="377">
        <f t="shared" ca="1" si="150"/>
        <v>424.15594537830304</v>
      </c>
      <c r="AF341" s="344"/>
      <c r="AG341" s="359">
        <f t="shared" ca="1" si="172"/>
        <v>45.037680350113085</v>
      </c>
      <c r="AH341" s="357">
        <f t="shared" ca="1" si="173"/>
        <v>54.585514847411211</v>
      </c>
    </row>
    <row r="342" spans="1:34" x14ac:dyDescent="0.25">
      <c r="A342" s="402">
        <f t="shared" ca="1" si="151"/>
        <v>0.01</v>
      </c>
      <c r="B342" s="357">
        <f t="shared" ca="1" si="152"/>
        <v>3.3799999999999719</v>
      </c>
      <c r="C342" s="342"/>
      <c r="D342" s="359">
        <f t="shared" ca="1" si="153"/>
        <v>12.502182828915963</v>
      </c>
      <c r="E342" s="360">
        <f t="shared" ca="1" si="154"/>
        <v>43.155070484583177</v>
      </c>
      <c r="F342" s="357">
        <f t="shared" ca="1" si="155"/>
        <v>44.929552457341295</v>
      </c>
      <c r="G342" s="359">
        <f t="shared" ca="1" si="156"/>
        <v>54.46880812782252</v>
      </c>
      <c r="H342" s="360">
        <f t="shared" ca="1" si="157"/>
        <v>230.65714499840527</v>
      </c>
      <c r="I342" s="357">
        <f t="shared" ca="1" si="158"/>
        <v>237.00120167982459</v>
      </c>
      <c r="J342" s="359">
        <f t="shared" ca="1" si="159"/>
        <v>94.324614052248236</v>
      </c>
      <c r="K342" s="360">
        <f t="shared" ca="1" si="160"/>
        <v>426.46035907476289</v>
      </c>
      <c r="L342" s="357">
        <f t="shared" ca="1" si="145"/>
        <v>436.76718132007272</v>
      </c>
      <c r="M342" s="359">
        <f t="shared" ca="1" si="161"/>
        <v>1.338898430858219</v>
      </c>
      <c r="N342" s="357">
        <f t="shared" ca="1" si="162"/>
        <v>76.713229284864411</v>
      </c>
      <c r="O342" s="343"/>
      <c r="P342" s="363">
        <f t="shared" ca="1" si="163"/>
        <v>11</v>
      </c>
      <c r="Q342" s="357">
        <f t="shared" ca="1" si="164"/>
        <v>690.85000000000366</v>
      </c>
      <c r="R342" s="359">
        <f t="shared" ca="1" si="165"/>
        <v>0.34606905242899516</v>
      </c>
      <c r="S342" s="360">
        <f t="shared" ca="1" si="166"/>
        <v>9.9619904630306966</v>
      </c>
      <c r="T342" s="357">
        <f t="shared" ca="1" si="146"/>
        <v>97.727126442331141</v>
      </c>
      <c r="U342" s="364">
        <f t="shared" ca="1" si="147"/>
        <v>0</v>
      </c>
      <c r="V342" s="359">
        <f t="shared" ca="1" si="148"/>
        <v>1.1738492934475064</v>
      </c>
      <c r="W342" s="357">
        <f t="shared" ca="1" si="149"/>
        <v>149.24268605757214</v>
      </c>
      <c r="X342" s="343"/>
      <c r="Y342" s="367" t="str">
        <f t="shared" ca="1" si="167"/>
        <v/>
      </c>
      <c r="Z342" s="368" t="str">
        <f t="shared" ca="1" si="168"/>
        <v/>
      </c>
      <c r="AA342" s="369" t="str">
        <f t="shared" ca="1" si="169"/>
        <v/>
      </c>
      <c r="AB342" s="344"/>
      <c r="AC342" s="363" t="e">
        <f t="shared" ca="1" si="170"/>
        <v>#N/A</v>
      </c>
      <c r="AD342" s="376" t="e">
        <f t="shared" ca="1" si="171"/>
        <v>#N/A</v>
      </c>
      <c r="AE342" s="377">
        <f t="shared" ca="1" si="150"/>
        <v>426.46035907476289</v>
      </c>
      <c r="AF342" s="344"/>
      <c r="AG342" s="359">
        <f t="shared" ca="1" si="172"/>
        <v>44.872994440662765</v>
      </c>
      <c r="AH342" s="357">
        <f t="shared" ca="1" si="173"/>
        <v>54.420614356367807</v>
      </c>
    </row>
    <row r="343" spans="1:34" x14ac:dyDescent="0.25">
      <c r="A343" s="402">
        <f t="shared" ca="1" si="151"/>
        <v>0.01</v>
      </c>
      <c r="B343" s="357">
        <f t="shared" ca="1" si="152"/>
        <v>3.3899999999999717</v>
      </c>
      <c r="C343" s="342"/>
      <c r="D343" s="359">
        <f t="shared" ca="1" si="153"/>
        <v>12.469316847989496</v>
      </c>
      <c r="E343" s="360">
        <f t="shared" ca="1" si="154"/>
        <v>42.993377255626918</v>
      </c>
      <c r="F343" s="357">
        <f t="shared" ca="1" si="155"/>
        <v>44.765101926614811</v>
      </c>
      <c r="G343" s="359">
        <f t="shared" ca="1" si="156"/>
        <v>54.593501296302414</v>
      </c>
      <c r="H343" s="360">
        <f t="shared" ca="1" si="157"/>
        <v>231.08707877096154</v>
      </c>
      <c r="I343" s="357">
        <f t="shared" ca="1" si="158"/>
        <v>237.44828565118334</v>
      </c>
      <c r="J343" s="359">
        <f t="shared" ca="1" si="159"/>
        <v>94.869925599368855</v>
      </c>
      <c r="K343" s="360">
        <f t="shared" ca="1" si="160"/>
        <v>428.76908019360974</v>
      </c>
      <c r="L343" s="357">
        <f t="shared" ca="1" si="145"/>
        <v>439.13918854197459</v>
      </c>
      <c r="M343" s="359">
        <f t="shared" ca="1" si="161"/>
        <v>1.3388034803499451</v>
      </c>
      <c r="N343" s="357">
        <f t="shared" ca="1" si="162"/>
        <v>76.707789021477694</v>
      </c>
      <c r="O343" s="343"/>
      <c r="P343" s="363">
        <f t="shared" ca="1" si="163"/>
        <v>11</v>
      </c>
      <c r="Q343" s="357">
        <f t="shared" ca="1" si="164"/>
        <v>689.55000000000371</v>
      </c>
      <c r="R343" s="359">
        <f t="shared" ca="1" si="165"/>
        <v>0.34541784048985108</v>
      </c>
      <c r="S343" s="360">
        <f t="shared" ca="1" si="166"/>
        <v>9.9585362846257972</v>
      </c>
      <c r="T343" s="357">
        <f t="shared" ca="1" si="146"/>
        <v>97.693240952179082</v>
      </c>
      <c r="U343" s="364">
        <f t="shared" ca="1" si="147"/>
        <v>0</v>
      </c>
      <c r="V343" s="359">
        <f t="shared" ca="1" si="148"/>
        <v>1.1735781917475965</v>
      </c>
      <c r="W343" s="357">
        <f t="shared" ca="1" si="149"/>
        <v>149.77168821724683</v>
      </c>
      <c r="X343" s="343"/>
      <c r="Y343" s="367" t="str">
        <f t="shared" ca="1" si="167"/>
        <v/>
      </c>
      <c r="Z343" s="368" t="str">
        <f t="shared" ca="1" si="168"/>
        <v/>
      </c>
      <c r="AA343" s="369" t="str">
        <f t="shared" ca="1" si="169"/>
        <v/>
      </c>
      <c r="AB343" s="344"/>
      <c r="AC343" s="363" t="e">
        <f t="shared" ca="1" si="170"/>
        <v>#N/A</v>
      </c>
      <c r="AD343" s="376" t="e">
        <f t="shared" ca="1" si="171"/>
        <v>#N/A</v>
      </c>
      <c r="AE343" s="377">
        <f t="shared" ca="1" si="150"/>
        <v>428.76908019360974</v>
      </c>
      <c r="AF343" s="344"/>
      <c r="AG343" s="359">
        <f t="shared" ca="1" si="172"/>
        <v>44.708290098946158</v>
      </c>
      <c r="AH343" s="357">
        <f t="shared" ca="1" si="173"/>
        <v>54.255695666497665</v>
      </c>
    </row>
    <row r="344" spans="1:34" x14ac:dyDescent="0.25">
      <c r="A344" s="402">
        <f t="shared" ca="1" si="151"/>
        <v>0.01</v>
      </c>
      <c r="B344" s="357">
        <f t="shared" ca="1" si="152"/>
        <v>3.3999999999999715</v>
      </c>
      <c r="C344" s="342"/>
      <c r="D344" s="359">
        <f t="shared" ca="1" si="153"/>
        <v>12.436408972422567</v>
      </c>
      <c r="E344" s="360">
        <f t="shared" ca="1" si="154"/>
        <v>42.831676236155865</v>
      </c>
      <c r="F344" s="357">
        <f t="shared" ca="1" si="155"/>
        <v>44.600636288378567</v>
      </c>
      <c r="G344" s="359">
        <f t="shared" ca="1" si="156"/>
        <v>54.717865386026638</v>
      </c>
      <c r="H344" s="360">
        <f t="shared" ca="1" si="157"/>
        <v>231.5153955333231</v>
      </c>
      <c r="I344" s="357">
        <f t="shared" ca="1" si="158"/>
        <v>237.893722408462</v>
      </c>
      <c r="J344" s="359">
        <f t="shared" ca="1" si="159"/>
        <v>95.416482432780498</v>
      </c>
      <c r="K344" s="360">
        <f t="shared" ca="1" si="160"/>
        <v>431.08209256513118</v>
      </c>
      <c r="L344" s="357">
        <f t="shared" ca="1" si="145"/>
        <v>441.51565731033531</v>
      </c>
      <c r="M344" s="359">
        <f t="shared" ca="1" si="161"/>
        <v>1.3387086695226924</v>
      </c>
      <c r="N344" s="357">
        <f t="shared" ca="1" si="162"/>
        <v>76.702356761223967</v>
      </c>
      <c r="O344" s="343"/>
      <c r="P344" s="363">
        <f t="shared" ca="1" si="163"/>
        <v>11</v>
      </c>
      <c r="Q344" s="357">
        <f t="shared" ca="1" si="164"/>
        <v>688.25000000000375</v>
      </c>
      <c r="R344" s="359">
        <f t="shared" ca="1" si="165"/>
        <v>0.344766628550707</v>
      </c>
      <c r="S344" s="360">
        <f t="shared" ca="1" si="166"/>
        <v>9.9550886183402909</v>
      </c>
      <c r="T344" s="357">
        <f t="shared" ca="1" si="146"/>
        <v>97.659419345918252</v>
      </c>
      <c r="U344" s="364">
        <f t="shared" ca="1" si="147"/>
        <v>0</v>
      </c>
      <c r="V344" s="359">
        <f t="shared" ca="1" si="148"/>
        <v>1.1733066475872609</v>
      </c>
      <c r="W344" s="357">
        <f t="shared" ca="1" si="149"/>
        <v>150.29935366313896</v>
      </c>
      <c r="X344" s="343"/>
      <c r="Y344" s="367" t="str">
        <f t="shared" ca="1" si="167"/>
        <v/>
      </c>
      <c r="Z344" s="368" t="str">
        <f t="shared" ca="1" si="168"/>
        <v/>
      </c>
      <c r="AA344" s="369" t="str">
        <f t="shared" ca="1" si="169"/>
        <v/>
      </c>
      <c r="AB344" s="344"/>
      <c r="AC344" s="363" t="e">
        <f t="shared" ca="1" si="170"/>
        <v>#N/A</v>
      </c>
      <c r="AD344" s="376" t="e">
        <f t="shared" ca="1" si="171"/>
        <v>#N/A</v>
      </c>
      <c r="AE344" s="377">
        <f t="shared" ca="1" si="150"/>
        <v>431.08209256513118</v>
      </c>
      <c r="AF344" s="344"/>
      <c r="AG344" s="359">
        <f t="shared" ca="1" si="172"/>
        <v>44.543568805427</v>
      </c>
      <c r="AH344" s="357">
        <f t="shared" ca="1" si="173"/>
        <v>54.090760256088188</v>
      </c>
    </row>
    <row r="345" spans="1:34" x14ac:dyDescent="0.25">
      <c r="A345" s="402">
        <f t="shared" ca="1" si="151"/>
        <v>0.01</v>
      </c>
      <c r="B345" s="357">
        <f t="shared" ca="1" si="152"/>
        <v>3.4099999999999713</v>
      </c>
      <c r="C345" s="342"/>
      <c r="D345" s="359">
        <f t="shared" ca="1" si="153"/>
        <v>12.403459664795895</v>
      </c>
      <c r="E345" s="360">
        <f t="shared" ca="1" si="154"/>
        <v>42.669968836835537</v>
      </c>
      <c r="F345" s="357">
        <f t="shared" ca="1" si="155"/>
        <v>44.436157036727813</v>
      </c>
      <c r="G345" s="359">
        <f t="shared" ca="1" si="156"/>
        <v>54.841899982674597</v>
      </c>
      <c r="H345" s="360">
        <f t="shared" ca="1" si="157"/>
        <v>231.94209522169146</v>
      </c>
      <c r="I345" s="357">
        <f t="shared" ca="1" si="158"/>
        <v>238.33751179690088</v>
      </c>
      <c r="J345" s="359">
        <f t="shared" ca="1" si="159"/>
        <v>95.964281259624002</v>
      </c>
      <c r="K345" s="360">
        <f t="shared" ca="1" si="160"/>
        <v>433.39938001890624</v>
      </c>
      <c r="L345" s="357">
        <f t="shared" ca="1" si="145"/>
        <v>443.89657114968628</v>
      </c>
      <c r="M345" s="359">
        <f t="shared" ca="1" si="161"/>
        <v>1.3386139972567981</v>
      </c>
      <c r="N345" s="357">
        <f t="shared" ca="1" si="162"/>
        <v>76.696932439951283</v>
      </c>
      <c r="O345" s="343"/>
      <c r="P345" s="363">
        <f t="shared" ca="1" si="163"/>
        <v>11</v>
      </c>
      <c r="Q345" s="357">
        <f t="shared" ca="1" si="164"/>
        <v>686.95000000000368</v>
      </c>
      <c r="R345" s="359">
        <f t="shared" ca="1" si="165"/>
        <v>0.34411541661156292</v>
      </c>
      <c r="S345" s="360">
        <f t="shared" ca="1" si="166"/>
        <v>9.9516474641741759</v>
      </c>
      <c r="T345" s="357">
        <f t="shared" ca="1" si="146"/>
        <v>97.625661623548666</v>
      </c>
      <c r="U345" s="364">
        <f t="shared" ca="1" si="147"/>
        <v>0</v>
      </c>
      <c r="V345" s="359">
        <f t="shared" ca="1" si="148"/>
        <v>1.1730346631855764</v>
      </c>
      <c r="W345" s="357">
        <f t="shared" ca="1" si="149"/>
        <v>150.82567086751365</v>
      </c>
      <c r="X345" s="343"/>
      <c r="Y345" s="367" t="str">
        <f t="shared" ca="1" si="167"/>
        <v/>
      </c>
      <c r="Z345" s="368" t="str">
        <f t="shared" ca="1" si="168"/>
        <v/>
      </c>
      <c r="AA345" s="369" t="str">
        <f t="shared" ca="1" si="169"/>
        <v/>
      </c>
      <c r="AB345" s="344"/>
      <c r="AC345" s="363" t="e">
        <f t="shared" ca="1" si="170"/>
        <v>#N/A</v>
      </c>
      <c r="AD345" s="376" t="e">
        <f t="shared" ca="1" si="171"/>
        <v>#N/A</v>
      </c>
      <c r="AE345" s="377">
        <f t="shared" ca="1" si="150"/>
        <v>433.39938001890624</v>
      </c>
      <c r="AF345" s="344"/>
      <c r="AG345" s="359">
        <f t="shared" ca="1" si="172"/>
        <v>44.378832034864693</v>
      </c>
      <c r="AH345" s="357">
        <f t="shared" ca="1" si="173"/>
        <v>53.92580959773759</v>
      </c>
    </row>
    <row r="346" spans="1:34" x14ac:dyDescent="0.25">
      <c r="A346" s="402">
        <f t="shared" ca="1" si="151"/>
        <v>0.01</v>
      </c>
      <c r="B346" s="357">
        <f t="shared" ca="1" si="152"/>
        <v>3.4199999999999711</v>
      </c>
      <c r="C346" s="342"/>
      <c r="D346" s="359">
        <f t="shared" ca="1" si="153"/>
        <v>12.370469385740364</v>
      </c>
      <c r="E346" s="360">
        <f t="shared" ca="1" si="154"/>
        <v>42.508256462865916</v>
      </c>
      <c r="F346" s="357">
        <f t="shared" ca="1" si="155"/>
        <v>44.271665660287972</v>
      </c>
      <c r="G346" s="359">
        <f t="shared" ca="1" si="156"/>
        <v>54.965604676532003</v>
      </c>
      <c r="H346" s="360">
        <f t="shared" ca="1" si="157"/>
        <v>232.36717778632013</v>
      </c>
      <c r="I346" s="357">
        <f t="shared" ca="1" si="158"/>
        <v>238.77965367643054</v>
      </c>
      <c r="J346" s="359">
        <f t="shared" ca="1" si="159"/>
        <v>96.513318782920038</v>
      </c>
      <c r="K346" s="360">
        <f t="shared" ca="1" si="160"/>
        <v>435.72092638394628</v>
      </c>
      <c r="L346" s="357">
        <f t="shared" ca="1" si="145"/>
        <v>446.28191358308243</v>
      </c>
      <c r="M346" s="359">
        <f t="shared" ca="1" si="161"/>
        <v>1.3385194624412027</v>
      </c>
      <c r="N346" s="357">
        <f t="shared" ca="1" si="162"/>
        <v>76.691515994000625</v>
      </c>
      <c r="O346" s="343"/>
      <c r="P346" s="363">
        <f t="shared" ca="1" si="163"/>
        <v>11</v>
      </c>
      <c r="Q346" s="357">
        <f t="shared" ca="1" si="164"/>
        <v>685.65000000000373</v>
      </c>
      <c r="R346" s="359">
        <f t="shared" ca="1" si="165"/>
        <v>0.34346420467241884</v>
      </c>
      <c r="S346" s="360">
        <f t="shared" ca="1" si="166"/>
        <v>9.9482128221274522</v>
      </c>
      <c r="T346" s="357">
        <f t="shared" ca="1" si="146"/>
        <v>97.59196778507031</v>
      </c>
      <c r="U346" s="364">
        <f t="shared" ca="1" si="147"/>
        <v>0</v>
      </c>
      <c r="V346" s="359">
        <f t="shared" ca="1" si="148"/>
        <v>1.1727622407603722</v>
      </c>
      <c r="W346" s="357">
        <f t="shared" ca="1" si="149"/>
        <v>151.35062838044661</v>
      </c>
      <c r="X346" s="343"/>
      <c r="Y346" s="367" t="str">
        <f t="shared" ca="1" si="167"/>
        <v/>
      </c>
      <c r="Z346" s="368" t="str">
        <f t="shared" ca="1" si="168"/>
        <v/>
      </c>
      <c r="AA346" s="369" t="str">
        <f t="shared" ca="1" si="169"/>
        <v/>
      </c>
      <c r="AB346" s="344"/>
      <c r="AC346" s="363" t="e">
        <f t="shared" ca="1" si="170"/>
        <v>#N/A</v>
      </c>
      <c r="AD346" s="376" t="e">
        <f t="shared" ca="1" si="171"/>
        <v>#N/A</v>
      </c>
      <c r="AE346" s="377">
        <f t="shared" ca="1" si="150"/>
        <v>435.72092638394628</v>
      </c>
      <c r="AF346" s="344"/>
      <c r="AG346" s="359">
        <f t="shared" ca="1" si="172"/>
        <v>44.214081256287841</v>
      </c>
      <c r="AH346" s="357">
        <f t="shared" ca="1" si="173"/>
        <v>53.760845158328294</v>
      </c>
    </row>
    <row r="347" spans="1:34" x14ac:dyDescent="0.25">
      <c r="A347" s="402">
        <f t="shared" ca="1" si="151"/>
        <v>0.01</v>
      </c>
      <c r="B347" s="357">
        <f t="shared" ca="1" si="152"/>
        <v>3.4299999999999708</v>
      </c>
      <c r="C347" s="342"/>
      <c r="D347" s="359">
        <f t="shared" ca="1" si="153"/>
        <v>12.337438593938748</v>
      </c>
      <c r="E347" s="360">
        <f t="shared" ca="1" si="154"/>
        <v>42.346540513954942</v>
      </c>
      <c r="F347" s="357">
        <f t="shared" ca="1" si="155"/>
        <v>44.107163642193505</v>
      </c>
      <c r="G347" s="359">
        <f t="shared" ca="1" si="156"/>
        <v>55.088979062471388</v>
      </c>
      <c r="H347" s="360">
        <f t="shared" ca="1" si="157"/>
        <v>232.79064319145968</v>
      </c>
      <c r="I347" s="357">
        <f t="shared" ca="1" si="158"/>
        <v>239.22014792161406</v>
      </c>
      <c r="J347" s="359">
        <f t="shared" ca="1" si="159"/>
        <v>97.063591701615053</v>
      </c>
      <c r="K347" s="360">
        <f t="shared" ca="1" si="160"/>
        <v>438.04671548883516</v>
      </c>
      <c r="L347" s="357">
        <f t="shared" ca="1" si="145"/>
        <v>448.67166813224827</v>
      </c>
      <c r="M347" s="359">
        <f t="shared" ca="1" si="161"/>
        <v>1.3384250639733515</v>
      </c>
      <c r="N347" s="357">
        <f t="shared" ca="1" si="162"/>
        <v>76.686107360200253</v>
      </c>
      <c r="O347" s="343"/>
      <c r="P347" s="363">
        <f t="shared" ca="1" si="163"/>
        <v>11</v>
      </c>
      <c r="Q347" s="357">
        <f t="shared" ca="1" si="164"/>
        <v>684.35000000000377</v>
      </c>
      <c r="R347" s="359">
        <f t="shared" ca="1" si="165"/>
        <v>0.34281299273327476</v>
      </c>
      <c r="S347" s="360">
        <f t="shared" ca="1" si="166"/>
        <v>9.9447846922001197</v>
      </c>
      <c r="T347" s="357">
        <f t="shared" ca="1" si="146"/>
        <v>97.558337830483183</v>
      </c>
      <c r="U347" s="364">
        <f t="shared" ca="1" si="147"/>
        <v>0</v>
      </c>
      <c r="V347" s="359">
        <f t="shared" ca="1" si="148"/>
        <v>1.1724893825282081</v>
      </c>
      <c r="W347" s="357">
        <f t="shared" ca="1" si="149"/>
        <v>151.87421482988503</v>
      </c>
      <c r="X347" s="343"/>
      <c r="Y347" s="367" t="str">
        <f t="shared" ca="1" si="167"/>
        <v/>
      </c>
      <c r="Z347" s="368" t="str">
        <f t="shared" ca="1" si="168"/>
        <v/>
      </c>
      <c r="AA347" s="369" t="str">
        <f t="shared" ca="1" si="169"/>
        <v/>
      </c>
      <c r="AB347" s="344"/>
      <c r="AC347" s="363" t="e">
        <f t="shared" ca="1" si="170"/>
        <v>#N/A</v>
      </c>
      <c r="AD347" s="376" t="e">
        <f t="shared" ca="1" si="171"/>
        <v>#N/A</v>
      </c>
      <c r="AE347" s="377">
        <f t="shared" ca="1" si="150"/>
        <v>438.04671548883516</v>
      </c>
      <c r="AF347" s="344"/>
      <c r="AG347" s="359">
        <f t="shared" ca="1" si="172"/>
        <v>44.04931793296852</v>
      </c>
      <c r="AH347" s="357">
        <f t="shared" ca="1" si="173"/>
        <v>53.595868399000992</v>
      </c>
    </row>
    <row r="348" spans="1:34" x14ac:dyDescent="0.25">
      <c r="A348" s="402">
        <f t="shared" ca="1" si="151"/>
        <v>0.01</v>
      </c>
      <c r="B348" s="357">
        <f t="shared" ca="1" si="152"/>
        <v>3.4399999999999706</v>
      </c>
      <c r="C348" s="342"/>
      <c r="D348" s="359">
        <f t="shared" ca="1" si="153"/>
        <v>12.304367746127216</v>
      </c>
      <c r="E348" s="360">
        <f t="shared" ca="1" si="154"/>
        <v>42.184822384292445</v>
      </c>
      <c r="F348" s="357">
        <f t="shared" ca="1" si="155"/>
        <v>43.942652460067052</v>
      </c>
      <c r="G348" s="359">
        <f t="shared" ca="1" si="156"/>
        <v>55.212022739932664</v>
      </c>
      <c r="H348" s="360">
        <f t="shared" ca="1" si="157"/>
        <v>233.21249141530259</v>
      </c>
      <c r="I348" s="357">
        <f t="shared" ca="1" si="158"/>
        <v>239.65899442158943</v>
      </c>
      <c r="J348" s="359">
        <f t="shared" ca="1" si="159"/>
        <v>97.615096710627071</v>
      </c>
      <c r="K348" s="360">
        <f t="shared" ca="1" si="160"/>
        <v>440.37673116186897</v>
      </c>
      <c r="L348" s="357">
        <f t="shared" ca="1" si="145"/>
        <v>451.06581831772411</v>
      </c>
      <c r="M348" s="359">
        <f t="shared" ca="1" si="161"/>
        <v>1.3383308007590953</v>
      </c>
      <c r="N348" s="357">
        <f t="shared" ca="1" si="162"/>
        <v>76.680706475860035</v>
      </c>
      <c r="O348" s="343"/>
      <c r="P348" s="363">
        <f t="shared" ca="1" si="163"/>
        <v>11</v>
      </c>
      <c r="Q348" s="357">
        <f t="shared" ca="1" si="164"/>
        <v>683.05000000000382</v>
      </c>
      <c r="R348" s="359">
        <f t="shared" ca="1" si="165"/>
        <v>0.34216178079413073</v>
      </c>
      <c r="S348" s="360">
        <f t="shared" ca="1" si="166"/>
        <v>9.9413630743921786</v>
      </c>
      <c r="T348" s="357">
        <f t="shared" ca="1" si="146"/>
        <v>97.524771759787271</v>
      </c>
      <c r="U348" s="364">
        <f t="shared" ca="1" si="147"/>
        <v>0</v>
      </c>
      <c r="V348" s="359">
        <f t="shared" ca="1" si="148"/>
        <v>1.1722160907043493</v>
      </c>
      <c r="W348" s="357">
        <f t="shared" ca="1" si="149"/>
        <v>152.39641892170437</v>
      </c>
      <c r="X348" s="343"/>
      <c r="Y348" s="367" t="str">
        <f t="shared" ca="1" si="167"/>
        <v/>
      </c>
      <c r="Z348" s="368" t="str">
        <f t="shared" ca="1" si="168"/>
        <v/>
      </c>
      <c r="AA348" s="369" t="str">
        <f t="shared" ca="1" si="169"/>
        <v/>
      </c>
      <c r="AB348" s="344"/>
      <c r="AC348" s="363" t="e">
        <f t="shared" ca="1" si="170"/>
        <v>#N/A</v>
      </c>
      <c r="AD348" s="376" t="e">
        <f t="shared" ca="1" si="171"/>
        <v>#N/A</v>
      </c>
      <c r="AE348" s="377">
        <f t="shared" ca="1" si="150"/>
        <v>440.37673116186897</v>
      </c>
      <c r="AF348" s="344"/>
      <c r="AG348" s="359">
        <f t="shared" ca="1" si="172"/>
        <v>43.884543522396811</v>
      </c>
      <c r="AH348" s="357">
        <f t="shared" ca="1" si="173"/>
        <v>53.430880775129047</v>
      </c>
    </row>
    <row r="349" spans="1:34" x14ac:dyDescent="0.25">
      <c r="A349" s="402">
        <f t="shared" ca="1" si="151"/>
        <v>0.01</v>
      </c>
      <c r="B349" s="357">
        <f t="shared" ca="1" si="152"/>
        <v>3.4499999999999704</v>
      </c>
      <c r="C349" s="342"/>
      <c r="D349" s="359">
        <f t="shared" ca="1" si="153"/>
        <v>12.2712572970969</v>
      </c>
      <c r="E349" s="360">
        <f t="shared" ca="1" si="154"/>
        <v>42.023103462524396</v>
      </c>
      <c r="F349" s="357">
        <f t="shared" ca="1" si="155"/>
        <v>43.778133585999115</v>
      </c>
      <c r="G349" s="359">
        <f t="shared" ca="1" si="156"/>
        <v>55.334735312903632</v>
      </c>
      <c r="H349" s="360">
        <f t="shared" ca="1" si="157"/>
        <v>233.63272244992783</v>
      </c>
      <c r="I349" s="357">
        <f t="shared" ca="1" si="158"/>
        <v>240.0961930800114</v>
      </c>
      <c r="J349" s="359">
        <f t="shared" ca="1" si="159"/>
        <v>98.167830500891256</v>
      </c>
      <c r="K349" s="360">
        <f t="shared" ca="1" si="160"/>
        <v>442.71095723119515</v>
      </c>
      <c r="L349" s="357">
        <f t="shared" ca="1" si="145"/>
        <v>453.46434765901148</v>
      </c>
      <c r="M349" s="359">
        <f t="shared" ca="1" si="161"/>
        <v>1.3382366717125931</v>
      </c>
      <c r="N349" s="357">
        <f t="shared" ca="1" si="162"/>
        <v>76.67531327876587</v>
      </c>
      <c r="O349" s="343"/>
      <c r="P349" s="363">
        <f t="shared" ca="1" si="163"/>
        <v>11</v>
      </c>
      <c r="Q349" s="357">
        <f t="shared" ca="1" si="164"/>
        <v>681.75000000000387</v>
      </c>
      <c r="R349" s="359">
        <f t="shared" ca="1" si="165"/>
        <v>0.34151056885498665</v>
      </c>
      <c r="S349" s="360">
        <f t="shared" ca="1" si="166"/>
        <v>9.9379479687036287</v>
      </c>
      <c r="T349" s="357">
        <f t="shared" ca="1" si="146"/>
        <v>97.491269572982603</v>
      </c>
      <c r="U349" s="364">
        <f t="shared" ca="1" si="147"/>
        <v>0</v>
      </c>
      <c r="V349" s="359">
        <f t="shared" ca="1" si="148"/>
        <v>1.1719423675027425</v>
      </c>
      <c r="W349" s="357">
        <f t="shared" ca="1" si="149"/>
        <v>152.91722943976086</v>
      </c>
      <c r="X349" s="343"/>
      <c r="Y349" s="367" t="str">
        <f t="shared" ca="1" si="167"/>
        <v/>
      </c>
      <c r="Z349" s="368" t="str">
        <f t="shared" ca="1" si="168"/>
        <v/>
      </c>
      <c r="AA349" s="369" t="str">
        <f t="shared" ca="1" si="169"/>
        <v/>
      </c>
      <c r="AB349" s="344"/>
      <c r="AC349" s="363" t="e">
        <f t="shared" ca="1" si="170"/>
        <v>#N/A</v>
      </c>
      <c r="AD349" s="376" t="e">
        <f t="shared" ca="1" si="171"/>
        <v>#N/A</v>
      </c>
      <c r="AE349" s="377">
        <f t="shared" ca="1" si="150"/>
        <v>442.71095723119515</v>
      </c>
      <c r="AF349" s="344"/>
      <c r="AG349" s="359">
        <f t="shared" ca="1" si="172"/>
        <v>43.719759476255817</v>
      </c>
      <c r="AH349" s="357">
        <f t="shared" ca="1" si="173"/>
        <v>53.265883736293283</v>
      </c>
    </row>
    <row r="350" spans="1:34" x14ac:dyDescent="0.25">
      <c r="A350" s="402">
        <f t="shared" ca="1" si="151"/>
        <v>0.01</v>
      </c>
      <c r="B350" s="357">
        <f t="shared" ca="1" si="152"/>
        <v>3.4599999999999702</v>
      </c>
      <c r="C350" s="342"/>
      <c r="D350" s="359">
        <f t="shared" ca="1" si="153"/>
        <v>12.238107699695394</v>
      </c>
      <c r="E350" s="360">
        <f t="shared" ca="1" si="154"/>
        <v>41.861385131727758</v>
      </c>
      <c r="F350" s="357">
        <f t="shared" ca="1" si="155"/>
        <v>43.613608486528392</v>
      </c>
      <c r="G350" s="359">
        <f t="shared" ca="1" si="156"/>
        <v>55.457116389900584</v>
      </c>
      <c r="H350" s="360">
        <f t="shared" ca="1" si="157"/>
        <v>234.0513363012451</v>
      </c>
      <c r="I350" s="357">
        <f t="shared" ca="1" si="158"/>
        <v>240.53174381499318</v>
      </c>
      <c r="J350" s="359">
        <f t="shared" ca="1" si="159"/>
        <v>98.721789759405283</v>
      </c>
      <c r="K350" s="360">
        <f t="shared" ca="1" si="160"/>
        <v>445.04937752495101</v>
      </c>
      <c r="L350" s="357">
        <f t="shared" ca="1" si="145"/>
        <v>455.86723967471778</v>
      </c>
      <c r="M350" s="359">
        <f t="shared" ca="1" si="161"/>
        <v>1.3381426757562158</v>
      </c>
      <c r="N350" s="357">
        <f t="shared" ca="1" si="162"/>
        <v>76.669927707174153</v>
      </c>
      <c r="O350" s="343"/>
      <c r="P350" s="363">
        <f t="shared" ca="1" si="163"/>
        <v>11</v>
      </c>
      <c r="Q350" s="357">
        <f t="shared" ca="1" si="164"/>
        <v>680.45000000000391</v>
      </c>
      <c r="R350" s="359">
        <f t="shared" ca="1" si="165"/>
        <v>0.34085935691584257</v>
      </c>
      <c r="S350" s="360">
        <f t="shared" ca="1" si="166"/>
        <v>9.9345393751344702</v>
      </c>
      <c r="T350" s="357">
        <f t="shared" ca="1" si="146"/>
        <v>97.457831270069164</v>
      </c>
      <c r="U350" s="364">
        <f t="shared" ca="1" si="147"/>
        <v>0</v>
      </c>
      <c r="V350" s="359">
        <f t="shared" ca="1" si="148"/>
        <v>1.1716682151359945</v>
      </c>
      <c r="W350" s="357">
        <f t="shared" ca="1" si="149"/>
        <v>153.43663524594055</v>
      </c>
      <c r="X350" s="343"/>
      <c r="Y350" s="367" t="str">
        <f t="shared" ca="1" si="167"/>
        <v/>
      </c>
      <c r="Z350" s="368" t="str">
        <f t="shared" ca="1" si="168"/>
        <v/>
      </c>
      <c r="AA350" s="369" t="str">
        <f t="shared" ca="1" si="169"/>
        <v/>
      </c>
      <c r="AB350" s="344"/>
      <c r="AC350" s="363" t="e">
        <f t="shared" ca="1" si="170"/>
        <v>#N/A</v>
      </c>
      <c r="AD350" s="376" t="e">
        <f t="shared" ca="1" si="171"/>
        <v>#N/A</v>
      </c>
      <c r="AE350" s="377">
        <f t="shared" ca="1" si="150"/>
        <v>445.04937752495101</v>
      </c>
      <c r="AF350" s="344"/>
      <c r="AG350" s="359">
        <f t="shared" ca="1" si="172"/>
        <v>43.554967240397048</v>
      </c>
      <c r="AH350" s="357">
        <f t="shared" ca="1" si="173"/>
        <v>53.100878726257257</v>
      </c>
    </row>
    <row r="351" spans="1:34" x14ac:dyDescent="0.25">
      <c r="A351" s="402">
        <f t="shared" ca="1" si="151"/>
        <v>0.01</v>
      </c>
      <c r="B351" s="357">
        <f t="shared" ca="1" si="152"/>
        <v>3.46999999999997</v>
      </c>
      <c r="C351" s="342"/>
      <c r="D351" s="359">
        <f t="shared" ca="1" si="153"/>
        <v>12.204919404828201</v>
      </c>
      <c r="E351" s="360">
        <f t="shared" ca="1" si="154"/>
        <v>41.699668769385497</v>
      </c>
      <c r="F351" s="357">
        <f t="shared" ca="1" si="155"/>
        <v>43.449078622622324</v>
      </c>
      <c r="G351" s="359">
        <f t="shared" ca="1" si="156"/>
        <v>55.579165583948864</v>
      </c>
      <c r="H351" s="360">
        <f t="shared" ca="1" si="157"/>
        <v>234.46833298893895</v>
      </c>
      <c r="I351" s="357">
        <f t="shared" ca="1" si="158"/>
        <v>240.96564655904783</v>
      </c>
      <c r="J351" s="359">
        <f t="shared" ca="1" si="159"/>
        <v>99.276971169274532</v>
      </c>
      <c r="K351" s="360">
        <f t="shared" ca="1" si="160"/>
        <v>447.39197587140194</v>
      </c>
      <c r="L351" s="357">
        <f t="shared" ca="1" si="145"/>
        <v>458.27447788270081</v>
      </c>
      <c r="M351" s="359">
        <f t="shared" ca="1" si="161"/>
        <v>1.3380488118204523</v>
      </c>
      <c r="N351" s="357">
        <f t="shared" ca="1" si="162"/>
        <v>76.664549699806415</v>
      </c>
      <c r="O351" s="343"/>
      <c r="P351" s="363">
        <f t="shared" ca="1" si="163"/>
        <v>11</v>
      </c>
      <c r="Q351" s="357">
        <f t="shared" ca="1" si="164"/>
        <v>679.15000000000396</v>
      </c>
      <c r="R351" s="359">
        <f t="shared" ca="1" si="165"/>
        <v>0.34020814497669855</v>
      </c>
      <c r="S351" s="360">
        <f t="shared" ca="1" si="166"/>
        <v>9.9311372936847029</v>
      </c>
      <c r="T351" s="357">
        <f t="shared" ca="1" si="146"/>
        <v>97.424456851046941</v>
      </c>
      <c r="U351" s="364">
        <f t="shared" ca="1" si="147"/>
        <v>0</v>
      </c>
      <c r="V351" s="359">
        <f t="shared" ca="1" si="148"/>
        <v>1.1713936358153458</v>
      </c>
      <c r="W351" s="357">
        <f t="shared" ca="1" si="149"/>
        <v>153.95462528020366</v>
      </c>
      <c r="X351" s="343"/>
      <c r="Y351" s="367" t="str">
        <f t="shared" ca="1" si="167"/>
        <v/>
      </c>
      <c r="Z351" s="368" t="str">
        <f t="shared" ca="1" si="168"/>
        <v/>
      </c>
      <c r="AA351" s="369" t="str">
        <f t="shared" ca="1" si="169"/>
        <v/>
      </c>
      <c r="AB351" s="344"/>
      <c r="AC351" s="363" t="e">
        <f t="shared" ca="1" si="170"/>
        <v>#N/A</v>
      </c>
      <c r="AD351" s="376" t="e">
        <f t="shared" ca="1" si="171"/>
        <v>#N/A</v>
      </c>
      <c r="AE351" s="377">
        <f t="shared" ca="1" si="150"/>
        <v>447.39197587140194</v>
      </c>
      <c r="AF351" s="344"/>
      <c r="AG351" s="359">
        <f t="shared" ca="1" si="172"/>
        <v>43.390168254816146</v>
      </c>
      <c r="AH351" s="357">
        <f t="shared" ca="1" si="173"/>
        <v>52.935867182942793</v>
      </c>
    </row>
    <row r="352" spans="1:34" x14ac:dyDescent="0.25">
      <c r="A352" s="402">
        <f t="shared" ca="1" si="151"/>
        <v>0.01</v>
      </c>
      <c r="B352" s="357">
        <f t="shared" ca="1" si="152"/>
        <v>3.4799999999999698</v>
      </c>
      <c r="C352" s="342"/>
      <c r="D352" s="359">
        <f t="shared" ca="1" si="153"/>
        <v>12.171692861460139</v>
      </c>
      <c r="E352" s="360">
        <f t="shared" ca="1" si="154"/>
        <v>41.537955747362282</v>
      </c>
      <c r="F352" s="357">
        <f t="shared" ca="1" si="155"/>
        <v>43.284545449658438</v>
      </c>
      <c r="G352" s="359">
        <f t="shared" ca="1" si="156"/>
        <v>55.700882512563467</v>
      </c>
      <c r="H352" s="360">
        <f t="shared" ca="1" si="157"/>
        <v>234.88371254641257</v>
      </c>
      <c r="I352" s="357">
        <f t="shared" ca="1" si="158"/>
        <v>241.39790125902951</v>
      </c>
      <c r="J352" s="359">
        <f t="shared" ca="1" si="159"/>
        <v>99.833371409757092</v>
      </c>
      <c r="K352" s="360">
        <f t="shared" ca="1" si="160"/>
        <v>449.73873609907872</v>
      </c>
      <c r="L352" s="357">
        <f t="shared" ca="1" si="145"/>
        <v>460.6860458002123</v>
      </c>
      <c r="M352" s="359">
        <f t="shared" ca="1" si="161"/>
        <v>1.3379550788438159</v>
      </c>
      <c r="N352" s="357">
        <f t="shared" ca="1" si="162"/>
        <v>76.659179195843947</v>
      </c>
      <c r="O352" s="343"/>
      <c r="P352" s="363">
        <f t="shared" ca="1" si="163"/>
        <v>11</v>
      </c>
      <c r="Q352" s="357">
        <f t="shared" ca="1" si="164"/>
        <v>677.85000000000389</v>
      </c>
      <c r="R352" s="359">
        <f t="shared" ca="1" si="165"/>
        <v>0.33955693303755441</v>
      </c>
      <c r="S352" s="360">
        <f t="shared" ca="1" si="166"/>
        <v>9.9277417243543269</v>
      </c>
      <c r="T352" s="357">
        <f t="shared" ca="1" si="146"/>
        <v>97.391146315915947</v>
      </c>
      <c r="U352" s="364">
        <f t="shared" ca="1" si="147"/>
        <v>0</v>
      </c>
      <c r="V352" s="359">
        <f t="shared" ca="1" si="148"/>
        <v>1.1711186317506506</v>
      </c>
      <c r="W352" s="357">
        <f t="shared" ca="1" si="149"/>
        <v>154.47118856062562</v>
      </c>
      <c r="X352" s="343"/>
      <c r="Y352" s="367" t="str">
        <f t="shared" ca="1" si="167"/>
        <v/>
      </c>
      <c r="Z352" s="368" t="str">
        <f t="shared" ca="1" si="168"/>
        <v/>
      </c>
      <c r="AA352" s="369" t="str">
        <f t="shared" ca="1" si="169"/>
        <v/>
      </c>
      <c r="AB352" s="344"/>
      <c r="AC352" s="363" t="e">
        <f t="shared" ca="1" si="170"/>
        <v>#N/A</v>
      </c>
      <c r="AD352" s="376" t="e">
        <f t="shared" ca="1" si="171"/>
        <v>#N/A</v>
      </c>
      <c r="AE352" s="377">
        <f t="shared" ca="1" si="150"/>
        <v>449.73873609907872</v>
      </c>
      <c r="AF352" s="344"/>
      <c r="AG352" s="359">
        <f t="shared" ca="1" si="172"/>
        <v>43.225363953629163</v>
      </c>
      <c r="AH352" s="357">
        <f t="shared" ca="1" si="173"/>
        <v>52.770850538406094</v>
      </c>
    </row>
    <row r="353" spans="1:34" x14ac:dyDescent="0.25">
      <c r="A353" s="402">
        <f t="shared" ca="1" si="151"/>
        <v>0.01</v>
      </c>
      <c r="B353" s="357">
        <f t="shared" ca="1" si="152"/>
        <v>3.4899999999999696</v>
      </c>
      <c r="C353" s="342"/>
      <c r="D353" s="359">
        <f t="shared" ca="1" si="153"/>
        <v>12.138428516616713</v>
      </c>
      <c r="E353" s="360">
        <f t="shared" ca="1" si="154"/>
        <v>41.376247431880465</v>
      </c>
      <c r="F353" s="357">
        <f t="shared" ca="1" si="155"/>
        <v>43.120010417406078</v>
      </c>
      <c r="G353" s="359">
        <f t="shared" ca="1" si="156"/>
        <v>55.822266797729633</v>
      </c>
      <c r="H353" s="360">
        <f t="shared" ca="1" si="157"/>
        <v>235.29747502073138</v>
      </c>
      <c r="I353" s="357">
        <f t="shared" ca="1" si="158"/>
        <v>241.82850787607447</v>
      </c>
      <c r="J353" s="359">
        <f t="shared" ca="1" si="159"/>
        <v>100.39098715630855</v>
      </c>
      <c r="K353" s="360">
        <f t="shared" ca="1" si="160"/>
        <v>452.08964203691443</v>
      </c>
      <c r="L353" s="357">
        <f t="shared" ca="1" si="145"/>
        <v>463.1019269440406</v>
      </c>
      <c r="M353" s="359">
        <f t="shared" ca="1" si="161"/>
        <v>1.3378614757727521</v>
      </c>
      <c r="N353" s="357">
        <f t="shared" ca="1" si="162"/>
        <v>76.653816134922536</v>
      </c>
      <c r="O353" s="343"/>
      <c r="P353" s="363">
        <f t="shared" ca="1" si="163"/>
        <v>11</v>
      </c>
      <c r="Q353" s="357">
        <f t="shared" ca="1" si="164"/>
        <v>676.55000000000393</v>
      </c>
      <c r="R353" s="359">
        <f t="shared" ca="1" si="165"/>
        <v>0.33890572109841033</v>
      </c>
      <c r="S353" s="360">
        <f t="shared" ca="1" si="166"/>
        <v>9.9243526671433422</v>
      </c>
      <c r="T353" s="357">
        <f t="shared" ca="1" si="146"/>
        <v>97.357899664676196</v>
      </c>
      <c r="U353" s="364">
        <f t="shared" ca="1" si="147"/>
        <v>0</v>
      </c>
      <c r="V353" s="359">
        <f t="shared" ca="1" si="148"/>
        <v>1.1708432051503503</v>
      </c>
      <c r="W353" s="357">
        <f t="shared" ca="1" si="149"/>
        <v>154.98631418343379</v>
      </c>
      <c r="X353" s="343"/>
      <c r="Y353" s="367" t="str">
        <f t="shared" ca="1" si="167"/>
        <v/>
      </c>
      <c r="Z353" s="368" t="str">
        <f t="shared" ca="1" si="168"/>
        <v/>
      </c>
      <c r="AA353" s="369" t="str">
        <f t="shared" ca="1" si="169"/>
        <v/>
      </c>
      <c r="AB353" s="344"/>
      <c r="AC353" s="363" t="e">
        <f t="shared" ca="1" si="170"/>
        <v>#N/A</v>
      </c>
      <c r="AD353" s="376" t="e">
        <f t="shared" ca="1" si="171"/>
        <v>#N/A</v>
      </c>
      <c r="AE353" s="377">
        <f t="shared" ca="1" si="150"/>
        <v>452.08964203691443</v>
      </c>
      <c r="AF353" s="344"/>
      <c r="AG353" s="359">
        <f t="shared" ca="1" si="172"/>
        <v>43.060555765049159</v>
      </c>
      <c r="AH353" s="357">
        <f t="shared" ca="1" si="173"/>
        <v>52.605830218814184</v>
      </c>
    </row>
    <row r="354" spans="1:34" x14ac:dyDescent="0.25">
      <c r="A354" s="402">
        <f t="shared" ca="1" si="151"/>
        <v>0.01</v>
      </c>
      <c r="B354" s="357">
        <f t="shared" ca="1" si="152"/>
        <v>3.4999999999999694</v>
      </c>
      <c r="C354" s="342"/>
      <c r="D354" s="359">
        <f t="shared" ca="1" si="153"/>
        <v>12.105126815385464</v>
      </c>
      <c r="E354" s="360">
        <f t="shared" ca="1" si="154"/>
        <v>41.214545183496426</v>
      </c>
      <c r="F354" s="357">
        <f t="shared" ca="1" si="155"/>
        <v>42.955474970008574</v>
      </c>
      <c r="G354" s="359">
        <f t="shared" ca="1" si="156"/>
        <v>55.943318065883489</v>
      </c>
      <c r="H354" s="360">
        <f t="shared" ca="1" si="157"/>
        <v>235.70962047256634</v>
      </c>
      <c r="I354" s="357">
        <f t="shared" ca="1" si="158"/>
        <v>242.25746638554173</v>
      </c>
      <c r="J354" s="359">
        <f t="shared" ca="1" si="159"/>
        <v>100.94981508062662</v>
      </c>
      <c r="K354" s="360">
        <f t="shared" ca="1" si="160"/>
        <v>454.44467751438094</v>
      </c>
      <c r="L354" s="357">
        <f t="shared" ca="1" si="145"/>
        <v>465.52210483065397</v>
      </c>
      <c r="M354" s="359">
        <f t="shared" ca="1" si="161"/>
        <v>1.3377680015615474</v>
      </c>
      <c r="N354" s="357">
        <f t="shared" ca="1" si="162"/>
        <v>76.648460457127186</v>
      </c>
      <c r="O354" s="343"/>
      <c r="P354" s="363">
        <f t="shared" ca="1" si="163"/>
        <v>11</v>
      </c>
      <c r="Q354" s="357">
        <f t="shared" ca="1" si="164"/>
        <v>675.25000000000398</v>
      </c>
      <c r="R354" s="359">
        <f t="shared" ca="1" si="165"/>
        <v>0.33825450915926625</v>
      </c>
      <c r="S354" s="360">
        <f t="shared" ca="1" si="166"/>
        <v>9.9209701220517488</v>
      </c>
      <c r="T354" s="357">
        <f t="shared" ca="1" si="146"/>
        <v>97.324716897327662</v>
      </c>
      <c r="U354" s="364">
        <f t="shared" ca="1" si="147"/>
        <v>0</v>
      </c>
      <c r="V354" s="359">
        <f t="shared" ca="1" si="148"/>
        <v>1.1705673582214537</v>
      </c>
      <c r="W354" s="357">
        <f t="shared" ca="1" si="149"/>
        <v>155.4999913230406</v>
      </c>
      <c r="X354" s="343"/>
      <c r="Y354" s="367" t="str">
        <f t="shared" ca="1" si="167"/>
        <v/>
      </c>
      <c r="Z354" s="368" t="str">
        <f t="shared" ca="1" si="168"/>
        <v/>
      </c>
      <c r="AA354" s="369" t="str">
        <f t="shared" ca="1" si="169"/>
        <v>Satellite</v>
      </c>
      <c r="AB354" s="344"/>
      <c r="AC354" s="363" t="e">
        <f t="shared" ca="1" si="170"/>
        <v>#N/A</v>
      </c>
      <c r="AD354" s="376" t="e">
        <f t="shared" ca="1" si="171"/>
        <v>#N/A</v>
      </c>
      <c r="AE354" s="377">
        <f t="shared" ca="1" si="150"/>
        <v>454.44467751438094</v>
      </c>
      <c r="AF354" s="344"/>
      <c r="AG354" s="359">
        <f t="shared" ca="1" si="172"/>
        <v>42.895745111363098</v>
      </c>
      <c r="AH354" s="357">
        <f t="shared" ca="1" si="173"/>
        <v>52.440807644421653</v>
      </c>
    </row>
    <row r="355" spans="1:34" x14ac:dyDescent="0.25">
      <c r="A355" s="402">
        <f t="shared" ca="1" si="151"/>
        <v>0.01</v>
      </c>
      <c r="B355" s="357">
        <f t="shared" ca="1" si="152"/>
        <v>3.5099999999999691</v>
      </c>
      <c r="C355" s="342"/>
      <c r="D355" s="359">
        <f t="shared" ca="1" si="153"/>
        <v>12.071788200917302</v>
      </c>
      <c r="E355" s="360">
        <f t="shared" ca="1" si="154"/>
        <v>41.052850357077475</v>
      </c>
      <c r="F355" s="357">
        <f t="shared" ca="1" si="155"/>
        <v>42.790940545966059</v>
      </c>
      <c r="G355" s="359">
        <f t="shared" ca="1" si="156"/>
        <v>56.064035947892663</v>
      </c>
      <c r="H355" s="360">
        <f t="shared" ca="1" si="157"/>
        <v>236.12014897613713</v>
      </c>
      <c r="I355" s="357">
        <f t="shared" ca="1" si="158"/>
        <v>242.68477677695358</v>
      </c>
      <c r="J355" s="359">
        <f t="shared" ca="1" si="159"/>
        <v>101.5098518506955</v>
      </c>
      <c r="K355" s="360">
        <f t="shared" ca="1" si="160"/>
        <v>456.80382636162449</v>
      </c>
      <c r="L355" s="357">
        <f t="shared" ca="1" si="145"/>
        <v>467.94656297634168</v>
      </c>
      <c r="M355" s="359">
        <f t="shared" ca="1" si="161"/>
        <v>1.3376746551722414</v>
      </c>
      <c r="N355" s="357">
        <f t="shared" ca="1" si="162"/>
        <v>76.643112102987175</v>
      </c>
      <c r="O355" s="343"/>
      <c r="P355" s="363">
        <f t="shared" ca="1" si="163"/>
        <v>11</v>
      </c>
      <c r="Q355" s="357">
        <f t="shared" ca="1" si="164"/>
        <v>673.95000000000402</v>
      </c>
      <c r="R355" s="359">
        <f t="shared" ca="1" si="165"/>
        <v>0.33760329722012222</v>
      </c>
      <c r="S355" s="360">
        <f t="shared" ca="1" si="166"/>
        <v>9.9175940890795484</v>
      </c>
      <c r="T355" s="357">
        <f t="shared" ca="1" si="146"/>
        <v>97.29159801387037</v>
      </c>
      <c r="U355" s="364">
        <f t="shared" ca="1" si="147"/>
        <v>0</v>
      </c>
      <c r="V355" s="359">
        <f t="shared" ca="1" si="148"/>
        <v>1.1702910931695123</v>
      </c>
      <c r="W355" s="357">
        <f t="shared" ca="1" si="149"/>
        <v>156.01220923207242</v>
      </c>
      <c r="X355" s="343"/>
      <c r="Y355" s="367" t="str">
        <f t="shared" ca="1" si="167"/>
        <v/>
      </c>
      <c r="Z355" s="368" t="str">
        <f t="shared" ca="1" si="168"/>
        <v/>
      </c>
      <c r="AA355" s="369" t="str">
        <f t="shared" ca="1" si="169"/>
        <v/>
      </c>
      <c r="AB355" s="344"/>
      <c r="AC355" s="363" t="e">
        <f t="shared" ca="1" si="170"/>
        <v>#N/A</v>
      </c>
      <c r="AD355" s="376" t="e">
        <f t="shared" ca="1" si="171"/>
        <v>#N/A</v>
      </c>
      <c r="AE355" s="377">
        <f t="shared" ca="1" si="150"/>
        <v>456.80382636162449</v>
      </c>
      <c r="AF355" s="344"/>
      <c r="AG355" s="359">
        <f t="shared" ca="1" si="172"/>
        <v>42.730933408909394</v>
      </c>
      <c r="AH355" s="357">
        <f t="shared" ca="1" si="173"/>
        <v>52.27578422954803</v>
      </c>
    </row>
    <row r="356" spans="1:34" x14ac:dyDescent="0.25">
      <c r="A356" s="402">
        <f t="shared" ca="1" si="151"/>
        <v>0.01</v>
      </c>
      <c r="B356" s="357">
        <f t="shared" ca="1" si="152"/>
        <v>3.5199999999999689</v>
      </c>
      <c r="C356" s="342"/>
      <c r="D356" s="359">
        <f t="shared" ca="1" si="153"/>
        <v>12.038413114427717</v>
      </c>
      <c r="E356" s="360">
        <f t="shared" ca="1" si="154"/>
        <v>40.891164301779085</v>
      </c>
      <c r="F356" s="357">
        <f t="shared" ca="1" si="155"/>
        <v>42.62640857811877</v>
      </c>
      <c r="G356" s="359">
        <f t="shared" ca="1" si="156"/>
        <v>56.18442007903694</v>
      </c>
      <c r="H356" s="360">
        <f t="shared" ca="1" si="157"/>
        <v>236.52906061915493</v>
      </c>
      <c r="I356" s="357">
        <f t="shared" ca="1" si="158"/>
        <v>243.11043905393606</v>
      </c>
      <c r="J356" s="359">
        <f t="shared" ca="1" si="159"/>
        <v>102.07109413083015</v>
      </c>
      <c r="K356" s="360">
        <f t="shared" ca="1" si="160"/>
        <v>459.16707240960096</v>
      </c>
      <c r="L356" s="357">
        <f t="shared" ca="1" si="145"/>
        <v>470.3752848973557</v>
      </c>
      <c r="M356" s="359">
        <f t="shared" ca="1" si="161"/>
        <v>1.3375814355745363</v>
      </c>
      <c r="N356" s="357">
        <f t="shared" ca="1" si="162"/>
        <v>76.637771013470768</v>
      </c>
      <c r="O356" s="343"/>
      <c r="P356" s="363">
        <f t="shared" ca="1" si="163"/>
        <v>11</v>
      </c>
      <c r="Q356" s="357">
        <f t="shared" ca="1" si="164"/>
        <v>672.65000000000407</v>
      </c>
      <c r="R356" s="359">
        <f t="shared" ca="1" si="165"/>
        <v>0.33695208528097814</v>
      </c>
      <c r="S356" s="360">
        <f t="shared" ca="1" si="166"/>
        <v>9.9142245682267394</v>
      </c>
      <c r="T356" s="357">
        <f t="shared" ca="1" si="146"/>
        <v>97.258543014304323</v>
      </c>
      <c r="U356" s="364">
        <f t="shared" ca="1" si="147"/>
        <v>0</v>
      </c>
      <c r="V356" s="359">
        <f t="shared" ca="1" si="148"/>
        <v>1.1700144121985987</v>
      </c>
      <c r="W356" s="357">
        <f t="shared" ca="1" si="149"/>
        <v>156.52295724139526</v>
      </c>
      <c r="X356" s="343"/>
      <c r="Y356" s="367" t="str">
        <f t="shared" ca="1" si="167"/>
        <v/>
      </c>
      <c r="Z356" s="368" t="str">
        <f t="shared" ca="1" si="168"/>
        <v/>
      </c>
      <c r="AA356" s="369" t="str">
        <f t="shared" ca="1" si="169"/>
        <v/>
      </c>
      <c r="AB356" s="344"/>
      <c r="AC356" s="363" t="e">
        <f t="shared" ca="1" si="170"/>
        <v>#N/A</v>
      </c>
      <c r="AD356" s="376" t="e">
        <f t="shared" ca="1" si="171"/>
        <v>#N/A</v>
      </c>
      <c r="AE356" s="377">
        <f t="shared" ca="1" si="150"/>
        <v>459.16707240960096</v>
      </c>
      <c r="AF356" s="344"/>
      <c r="AG356" s="359">
        <f t="shared" ca="1" si="172"/>
        <v>42.56612206805562</v>
      </c>
      <c r="AH356" s="357">
        <f t="shared" ca="1" si="173"/>
        <v>52.110761382555367</v>
      </c>
    </row>
    <row r="357" spans="1:34" x14ac:dyDescent="0.25">
      <c r="A357" s="402">
        <f t="shared" ca="1" si="151"/>
        <v>0.01</v>
      </c>
      <c r="B357" s="357">
        <f t="shared" ca="1" si="152"/>
        <v>3.5299999999999687</v>
      </c>
      <c r="C357" s="342"/>
      <c r="D357" s="359">
        <f t="shared" ca="1" si="153"/>
        <v>12.005001995198104</v>
      </c>
      <c r="E357" s="360">
        <f t="shared" ca="1" si="154"/>
        <v>40.729488361022518</v>
      </c>
      <c r="F357" s="357">
        <f t="shared" ca="1" si="155"/>
        <v>42.461880493630744</v>
      </c>
      <c r="G357" s="359">
        <f t="shared" ca="1" si="156"/>
        <v>56.304470098988922</v>
      </c>
      <c r="H357" s="360">
        <f t="shared" ca="1" si="157"/>
        <v>236.93635550276517</v>
      </c>
      <c r="I357" s="357">
        <f t="shared" ca="1" si="158"/>
        <v>243.53445323415875</v>
      </c>
      <c r="J357" s="359">
        <f t="shared" ca="1" si="159"/>
        <v>102.63353858172027</v>
      </c>
      <c r="K357" s="360">
        <f t="shared" ca="1" si="160"/>
        <v>461.53439949021055</v>
      </c>
      <c r="L357" s="357">
        <f t="shared" ca="1" si="145"/>
        <v>472.80825411005117</v>
      </c>
      <c r="M357" s="359">
        <f t="shared" ca="1" si="161"/>
        <v>1.3374883417457117</v>
      </c>
      <c r="N357" s="357">
        <f t="shared" ca="1" si="162"/>
        <v>76.632437129980403</v>
      </c>
      <c r="O357" s="343"/>
      <c r="P357" s="363">
        <f t="shared" ca="1" si="163"/>
        <v>11</v>
      </c>
      <c r="Q357" s="357">
        <f t="shared" ca="1" si="164"/>
        <v>671.35000000000412</v>
      </c>
      <c r="R357" s="359">
        <f t="shared" ca="1" si="165"/>
        <v>0.33630087334183406</v>
      </c>
      <c r="S357" s="360">
        <f t="shared" ca="1" si="166"/>
        <v>9.9108615594933216</v>
      </c>
      <c r="T357" s="357">
        <f t="shared" ca="1" si="146"/>
        <v>97.22555189862949</v>
      </c>
      <c r="U357" s="364">
        <f t="shared" ca="1" si="147"/>
        <v>0</v>
      </c>
      <c r="V357" s="359">
        <f t="shared" ca="1" si="148"/>
        <v>1.1697373175112817</v>
      </c>
      <c r="W357" s="357">
        <f t="shared" ca="1" si="149"/>
        <v>157.03222476013536</v>
      </c>
      <c r="X357" s="343"/>
      <c r="Y357" s="367" t="str">
        <f t="shared" ca="1" si="167"/>
        <v/>
      </c>
      <c r="Z357" s="368" t="str">
        <f t="shared" ca="1" si="168"/>
        <v/>
      </c>
      <c r="AA357" s="369" t="str">
        <f t="shared" ca="1" si="169"/>
        <v/>
      </c>
      <c r="AB357" s="344"/>
      <c r="AC357" s="363" t="e">
        <f t="shared" ca="1" si="170"/>
        <v>#N/A</v>
      </c>
      <c r="AD357" s="376" t="e">
        <f t="shared" ca="1" si="171"/>
        <v>#N/A</v>
      </c>
      <c r="AE357" s="377">
        <f t="shared" ca="1" si="150"/>
        <v>461.53439949021055</v>
      </c>
      <c r="AF357" s="344"/>
      <c r="AG357" s="359">
        <f t="shared" ca="1" si="172"/>
        <v>42.401312493176761</v>
      </c>
      <c r="AH357" s="357">
        <f t="shared" ca="1" si="173"/>
        <v>51.945740505826279</v>
      </c>
    </row>
    <row r="358" spans="1:34" x14ac:dyDescent="0.25">
      <c r="A358" s="402">
        <f t="shared" ca="1" si="151"/>
        <v>0.01</v>
      </c>
      <c r="B358" s="357">
        <f t="shared" ca="1" si="152"/>
        <v>3.5399999999999685</v>
      </c>
      <c r="C358" s="342"/>
      <c r="D358" s="359">
        <f t="shared" ca="1" si="153"/>
        <v>11.971555280576927</v>
      </c>
      <c r="E358" s="360">
        <f t="shared" ca="1" si="154"/>
        <v>40.567823872472907</v>
      </c>
      <c r="F358" s="357">
        <f t="shared" ca="1" si="155"/>
        <v>42.297357713974193</v>
      </c>
      <c r="G358" s="359">
        <f t="shared" ca="1" si="156"/>
        <v>56.424185651794694</v>
      </c>
      <c r="H358" s="360">
        <f t="shared" ca="1" si="157"/>
        <v>237.3420337414899</v>
      </c>
      <c r="I358" s="357">
        <f t="shared" ca="1" si="158"/>
        <v>243.95681934927484</v>
      </c>
      <c r="J358" s="359">
        <f t="shared" ca="1" si="159"/>
        <v>103.19718186047419</v>
      </c>
      <c r="K358" s="360">
        <f t="shared" ca="1" si="160"/>
        <v>463.9057914364318</v>
      </c>
      <c r="L358" s="357">
        <f t="shared" ca="1" si="145"/>
        <v>475.24545413102686</v>
      </c>
      <c r="M358" s="359">
        <f t="shared" ca="1" si="161"/>
        <v>1.337395372670537</v>
      </c>
      <c r="N358" s="357">
        <f t="shared" ca="1" si="162"/>
        <v>76.627110394347653</v>
      </c>
      <c r="O358" s="343"/>
      <c r="P358" s="363">
        <f t="shared" ca="1" si="163"/>
        <v>11</v>
      </c>
      <c r="Q358" s="357">
        <f t="shared" ca="1" si="164"/>
        <v>670.05000000000405</v>
      </c>
      <c r="R358" s="359">
        <f t="shared" ca="1" si="165"/>
        <v>0.33564966140268998</v>
      </c>
      <c r="S358" s="360">
        <f t="shared" ca="1" si="166"/>
        <v>9.9075050628792951</v>
      </c>
      <c r="T358" s="357">
        <f t="shared" ca="1" si="146"/>
        <v>97.192624666845887</v>
      </c>
      <c r="U358" s="364">
        <f t="shared" ca="1" si="147"/>
        <v>0</v>
      </c>
      <c r="V358" s="359">
        <f t="shared" ca="1" si="148"/>
        <v>1.1694598113086077</v>
      </c>
      <c r="W358" s="357">
        <f t="shared" ca="1" si="149"/>
        <v>157.54000127569768</v>
      </c>
      <c r="X358" s="343"/>
      <c r="Y358" s="367" t="str">
        <f t="shared" ca="1" si="167"/>
        <v/>
      </c>
      <c r="Z358" s="368" t="str">
        <f t="shared" ca="1" si="168"/>
        <v/>
      </c>
      <c r="AA358" s="369" t="str">
        <f t="shared" ca="1" si="169"/>
        <v/>
      </c>
      <c r="AB358" s="344"/>
      <c r="AC358" s="363" t="e">
        <f t="shared" ca="1" si="170"/>
        <v>#N/A</v>
      </c>
      <c r="AD358" s="376" t="e">
        <f t="shared" ca="1" si="171"/>
        <v>#N/A</v>
      </c>
      <c r="AE358" s="377">
        <f t="shared" ca="1" si="150"/>
        <v>463.9057914364318</v>
      </c>
      <c r="AF358" s="344"/>
      <c r="AG358" s="359">
        <f t="shared" ca="1" si="172"/>
        <v>42.236506082633795</v>
      </c>
      <c r="AH358" s="357">
        <f t="shared" ca="1" si="173"/>
        <v>51.780722995742451</v>
      </c>
    </row>
    <row r="359" spans="1:34" x14ac:dyDescent="0.25">
      <c r="A359" s="402">
        <f t="shared" ca="1" si="151"/>
        <v>0.01</v>
      </c>
      <c r="B359" s="357">
        <f t="shared" ca="1" si="152"/>
        <v>3.5499999999999683</v>
      </c>
      <c r="C359" s="342"/>
      <c r="D359" s="359">
        <f t="shared" ca="1" si="153"/>
        <v>11.938073405980976</v>
      </c>
      <c r="E359" s="360">
        <f t="shared" ca="1" si="154"/>
        <v>40.406172168017775</v>
      </c>
      <c r="F359" s="357">
        <f t="shared" ca="1" si="155"/>
        <v>42.132841654914337</v>
      </c>
      <c r="G359" s="359">
        <f t="shared" ca="1" si="156"/>
        <v>56.543566385854504</v>
      </c>
      <c r="H359" s="360">
        <f t="shared" ca="1" si="157"/>
        <v>237.74609546317006</v>
      </c>
      <c r="I359" s="357">
        <f t="shared" ca="1" si="158"/>
        <v>244.37753744486074</v>
      </c>
      <c r="J359" s="359">
        <f t="shared" ca="1" si="159"/>
        <v>103.76202062066244</v>
      </c>
      <c r="K359" s="360">
        <f t="shared" ca="1" si="160"/>
        <v>466.28123208245512</v>
      </c>
      <c r="L359" s="357">
        <f t="shared" ca="1" si="145"/>
        <v>477.68686847726423</v>
      </c>
      <c r="M359" s="359">
        <f t="shared" ca="1" si="161"/>
        <v>1.337302527341188</v>
      </c>
      <c r="N359" s="357">
        <f t="shared" ca="1" si="162"/>
        <v>76.62179074882846</v>
      </c>
      <c r="O359" s="343"/>
      <c r="P359" s="363">
        <f t="shared" ca="1" si="163"/>
        <v>11</v>
      </c>
      <c r="Q359" s="357">
        <f t="shared" ca="1" si="164"/>
        <v>668.75000000000409</v>
      </c>
      <c r="R359" s="359">
        <f t="shared" ca="1" si="165"/>
        <v>0.3349984494635459</v>
      </c>
      <c r="S359" s="360">
        <f t="shared" ca="1" si="166"/>
        <v>9.9041550783846599</v>
      </c>
      <c r="T359" s="357">
        <f t="shared" ca="1" si="146"/>
        <v>97.159761318953514</v>
      </c>
      <c r="U359" s="364">
        <f t="shared" ca="1" si="147"/>
        <v>0</v>
      </c>
      <c r="V359" s="359">
        <f t="shared" ca="1" si="148"/>
        <v>1.1691818957900748</v>
      </c>
      <c r="W359" s="357">
        <f t="shared" ca="1" si="149"/>
        <v>158.04627635377912</v>
      </c>
      <c r="X359" s="343"/>
      <c r="Y359" s="367" t="str">
        <f t="shared" ca="1" si="167"/>
        <v/>
      </c>
      <c r="Z359" s="368" t="str">
        <f t="shared" ca="1" si="168"/>
        <v/>
      </c>
      <c r="AA359" s="369" t="str">
        <f t="shared" ca="1" si="169"/>
        <v/>
      </c>
      <c r="AB359" s="344"/>
      <c r="AC359" s="363" t="e">
        <f t="shared" ca="1" si="170"/>
        <v>#N/A</v>
      </c>
      <c r="AD359" s="376" t="e">
        <f t="shared" ca="1" si="171"/>
        <v>#N/A</v>
      </c>
      <c r="AE359" s="377">
        <f t="shared" ca="1" si="150"/>
        <v>466.28123208245512</v>
      </c>
      <c r="AF359" s="344"/>
      <c r="AG359" s="359">
        <f t="shared" ca="1" si="172"/>
        <v>42.071704228752715</v>
      </c>
      <c r="AH359" s="357">
        <f t="shared" ca="1" si="173"/>
        <v>51.615710242663461</v>
      </c>
    </row>
    <row r="360" spans="1:34" x14ac:dyDescent="0.25">
      <c r="A360" s="402">
        <f t="shared" ca="1" si="151"/>
        <v>0.01</v>
      </c>
      <c r="B360" s="357">
        <f t="shared" ca="1" si="152"/>
        <v>3.5599999999999681</v>
      </c>
      <c r="C360" s="342"/>
      <c r="D360" s="359">
        <f t="shared" ca="1" si="153"/>
        <v>11.904556804896469</v>
      </c>
      <c r="E360" s="360">
        <f t="shared" ca="1" si="154"/>
        <v>40.244534573745838</v>
      </c>
      <c r="F360" s="357">
        <f t="shared" ca="1" si="155"/>
        <v>41.968333726494684</v>
      </c>
      <c r="G360" s="359">
        <f t="shared" ca="1" si="156"/>
        <v>56.662611953903472</v>
      </c>
      <c r="H360" s="360">
        <f t="shared" ca="1" si="157"/>
        <v>238.14854080890751</v>
      </c>
      <c r="I360" s="357">
        <f t="shared" ca="1" si="158"/>
        <v>244.79660758035544</v>
      </c>
      <c r="J360" s="359">
        <f t="shared" ca="1" si="159"/>
        <v>104.32805151236123</v>
      </c>
      <c r="K360" s="360">
        <f t="shared" ca="1" si="160"/>
        <v>468.66070526381549</v>
      </c>
      <c r="L360" s="357">
        <f t="shared" ca="1" si="145"/>
        <v>480.13248066626653</v>
      </c>
      <c r="M360" s="359">
        <f t="shared" ca="1" si="161"/>
        <v>1.3372098047571626</v>
      </c>
      <c r="N360" s="357">
        <f t="shared" ca="1" si="162"/>
        <v>76.616478136098252</v>
      </c>
      <c r="O360" s="343"/>
      <c r="P360" s="363">
        <f t="shared" ca="1" si="163"/>
        <v>11</v>
      </c>
      <c r="Q360" s="357">
        <f t="shared" ca="1" si="164"/>
        <v>667.45000000000414</v>
      </c>
      <c r="R360" s="359">
        <f t="shared" ca="1" si="165"/>
        <v>0.33434723752440182</v>
      </c>
      <c r="S360" s="360">
        <f t="shared" ca="1" si="166"/>
        <v>9.900811606009416</v>
      </c>
      <c r="T360" s="357">
        <f t="shared" ca="1" si="146"/>
        <v>97.12696185495237</v>
      </c>
      <c r="U360" s="364">
        <f t="shared" ca="1" si="147"/>
        <v>0</v>
      </c>
      <c r="V360" s="359">
        <f t="shared" ca="1" si="148"/>
        <v>1.1689035731536133</v>
      </c>
      <c r="W360" s="357">
        <f t="shared" ca="1" si="149"/>
        <v>158.55103963837871</v>
      </c>
      <c r="X360" s="343"/>
      <c r="Y360" s="367" t="str">
        <f t="shared" ca="1" si="167"/>
        <v/>
      </c>
      <c r="Z360" s="368" t="str">
        <f t="shared" ca="1" si="168"/>
        <v/>
      </c>
      <c r="AA360" s="369" t="str">
        <f t="shared" ca="1" si="169"/>
        <v/>
      </c>
      <c r="AB360" s="344"/>
      <c r="AC360" s="363" t="e">
        <f t="shared" ca="1" si="170"/>
        <v>#N/A</v>
      </c>
      <c r="AD360" s="376" t="e">
        <f t="shared" ca="1" si="171"/>
        <v>#N/A</v>
      </c>
      <c r="AE360" s="377">
        <f t="shared" ca="1" si="150"/>
        <v>468.66070526381549</v>
      </c>
      <c r="AF360" s="344"/>
      <c r="AG360" s="359">
        <f t="shared" ca="1" si="172"/>
        <v>41.906908317803889</v>
      </c>
      <c r="AH360" s="357">
        <f t="shared" ca="1" si="173"/>
        <v>51.450703630906006</v>
      </c>
    </row>
    <row r="361" spans="1:34" x14ac:dyDescent="0.25">
      <c r="A361" s="402">
        <f t="shared" ca="1" si="151"/>
        <v>0.01</v>
      </c>
      <c r="B361" s="357">
        <f t="shared" ca="1" si="152"/>
        <v>3.5699999999999679</v>
      </c>
      <c r="C361" s="342"/>
      <c r="D361" s="359">
        <f t="shared" ca="1" si="153"/>
        <v>11.871005908880267</v>
      </c>
      <c r="E361" s="360">
        <f t="shared" ca="1" si="154"/>
        <v>40.082912409926386</v>
      </c>
      <c r="F361" s="357">
        <f t="shared" ca="1" si="155"/>
        <v>41.803835333022981</v>
      </c>
      <c r="G361" s="359">
        <f t="shared" ca="1" si="156"/>
        <v>56.781322012992277</v>
      </c>
      <c r="H361" s="360">
        <f t="shared" ca="1" si="157"/>
        <v>238.54936993300677</v>
      </c>
      <c r="I361" s="357">
        <f t="shared" ca="1" si="158"/>
        <v>245.21402982899986</v>
      </c>
      <c r="J361" s="359">
        <f t="shared" ca="1" si="159"/>
        <v>104.8952711821957</v>
      </c>
      <c r="K361" s="360">
        <f t="shared" ca="1" si="160"/>
        <v>471.04419481752507</v>
      </c>
      <c r="L361" s="357">
        <f t="shared" ca="1" si="145"/>
        <v>482.58227421619716</v>
      </c>
      <c r="M361" s="359">
        <f t="shared" ca="1" si="161"/>
        <v>1.3371172039251984</v>
      </c>
      <c r="N361" s="357">
        <f t="shared" ca="1" si="162"/>
        <v>76.611172499247303</v>
      </c>
      <c r="O361" s="343"/>
      <c r="P361" s="363">
        <f t="shared" ca="1" si="163"/>
        <v>11</v>
      </c>
      <c r="Q361" s="357">
        <f t="shared" ca="1" si="164"/>
        <v>666.15000000000418</v>
      </c>
      <c r="R361" s="359">
        <f t="shared" ca="1" si="165"/>
        <v>0.33369602558525779</v>
      </c>
      <c r="S361" s="360">
        <f t="shared" ca="1" si="166"/>
        <v>9.8974746457535634</v>
      </c>
      <c r="T361" s="357">
        <f t="shared" ca="1" si="146"/>
        <v>97.094226274842455</v>
      </c>
      <c r="U361" s="364">
        <f t="shared" ca="1" si="147"/>
        <v>0</v>
      </c>
      <c r="V361" s="359">
        <f t="shared" ca="1" si="148"/>
        <v>1.168624845595561</v>
      </c>
      <c r="W361" s="357">
        <f t="shared" ca="1" si="149"/>
        <v>159.05428085180381</v>
      </c>
      <c r="X361" s="343"/>
      <c r="Y361" s="367" t="str">
        <f t="shared" ca="1" si="167"/>
        <v/>
      </c>
      <c r="Z361" s="368" t="str">
        <f t="shared" ca="1" si="168"/>
        <v/>
      </c>
      <c r="AA361" s="369" t="str">
        <f t="shared" ca="1" si="169"/>
        <v/>
      </c>
      <c r="AB361" s="344"/>
      <c r="AC361" s="363" t="e">
        <f t="shared" ca="1" si="170"/>
        <v>#N/A</v>
      </c>
      <c r="AD361" s="376" t="e">
        <f t="shared" ca="1" si="171"/>
        <v>#N/A</v>
      </c>
      <c r="AE361" s="377">
        <f t="shared" ca="1" si="150"/>
        <v>471.04419481752507</v>
      </c>
      <c r="AF361" s="344"/>
      <c r="AG361" s="359">
        <f t="shared" ca="1" si="172"/>
        <v>41.742119729981923</v>
      </c>
      <c r="AH361" s="357">
        <f t="shared" ca="1" si="173"/>
        <v>51.285704538723621</v>
      </c>
    </row>
    <row r="362" spans="1:34" x14ac:dyDescent="0.25">
      <c r="A362" s="402">
        <f t="shared" ca="1" si="151"/>
        <v>0.01</v>
      </c>
      <c r="B362" s="357">
        <f t="shared" ca="1" si="152"/>
        <v>3.5799999999999677</v>
      </c>
      <c r="C362" s="342"/>
      <c r="D362" s="359">
        <f t="shared" ca="1" si="153"/>
        <v>11.837421147560958</v>
      </c>
      <c r="E362" s="360">
        <f t="shared" ca="1" si="154"/>
        <v>39.921306990988931</v>
      </c>
      <c r="F362" s="357">
        <f t="shared" ca="1" si="155"/>
        <v>41.639347873057588</v>
      </c>
      <c r="G362" s="359">
        <f t="shared" ca="1" si="156"/>
        <v>56.899696224467888</v>
      </c>
      <c r="H362" s="360">
        <f t="shared" ca="1" si="157"/>
        <v>238.94858300291665</v>
      </c>
      <c r="I362" s="357">
        <f t="shared" ca="1" si="158"/>
        <v>245.62980427777586</v>
      </c>
      <c r="J362" s="359">
        <f t="shared" ca="1" si="159"/>
        <v>105.463676273383</v>
      </c>
      <c r="K362" s="360">
        <f t="shared" ca="1" si="160"/>
        <v>473.4316845822047</v>
      </c>
      <c r="L362" s="357">
        <f t="shared" ca="1" si="145"/>
        <v>485.03623264601697</v>
      </c>
      <c r="M362" s="359">
        <f t="shared" ca="1" si="161"/>
        <v>1.3370247238591912</v>
      </c>
      <c r="N362" s="357">
        <f t="shared" ca="1" si="162"/>
        <v>76.605873781775998</v>
      </c>
      <c r="O362" s="343"/>
      <c r="P362" s="363">
        <f t="shared" ca="1" si="163"/>
        <v>11</v>
      </c>
      <c r="Q362" s="357">
        <f t="shared" ca="1" si="164"/>
        <v>664.85000000000423</v>
      </c>
      <c r="R362" s="359">
        <f t="shared" ca="1" si="165"/>
        <v>0.33304481364611371</v>
      </c>
      <c r="S362" s="360">
        <f t="shared" ca="1" si="166"/>
        <v>9.8941441976171021</v>
      </c>
      <c r="T362" s="357">
        <f t="shared" ca="1" si="146"/>
        <v>97.06155457862377</v>
      </c>
      <c r="U362" s="364">
        <f t="shared" ca="1" si="147"/>
        <v>0</v>
      </c>
      <c r="V362" s="359">
        <f t="shared" ca="1" si="148"/>
        <v>1.1683457153106442</v>
      </c>
      <c r="W362" s="357">
        <f t="shared" ca="1" si="149"/>
        <v>159.55598979467302</v>
      </c>
      <c r="X362" s="343"/>
      <c r="Y362" s="367" t="str">
        <f t="shared" ca="1" si="167"/>
        <v/>
      </c>
      <c r="Z362" s="368" t="str">
        <f t="shared" ca="1" si="168"/>
        <v/>
      </c>
      <c r="AA362" s="369" t="str">
        <f t="shared" ca="1" si="169"/>
        <v/>
      </c>
      <c r="AB362" s="344"/>
      <c r="AC362" s="363" t="e">
        <f t="shared" ca="1" si="170"/>
        <v>#N/A</v>
      </c>
      <c r="AD362" s="376" t="e">
        <f t="shared" ca="1" si="171"/>
        <v>#N/A</v>
      </c>
      <c r="AE362" s="377">
        <f t="shared" ca="1" si="150"/>
        <v>473.4316845822047</v>
      </c>
      <c r="AF362" s="344"/>
      <c r="AG362" s="359">
        <f t="shared" ca="1" si="172"/>
        <v>41.577339839385786</v>
      </c>
      <c r="AH362" s="357">
        <f t="shared" ca="1" si="173"/>
        <v>51.120714338286668</v>
      </c>
    </row>
    <row r="363" spans="1:34" x14ac:dyDescent="0.25">
      <c r="A363" s="402">
        <f t="shared" ca="1" si="151"/>
        <v>0.01</v>
      </c>
      <c r="B363" s="357">
        <f t="shared" ca="1" si="152"/>
        <v>3.5899999999999674</v>
      </c>
      <c r="C363" s="342"/>
      <c r="D363" s="359">
        <f t="shared" ca="1" si="153"/>
        <v>11.803802948640021</v>
      </c>
      <c r="E363" s="360">
        <f t="shared" ca="1" si="154"/>
        <v>39.75971962550333</v>
      </c>
      <c r="F363" s="357">
        <f t="shared" ca="1" si="155"/>
        <v>41.474872739394364</v>
      </c>
      <c r="G363" s="359">
        <f t="shared" ca="1" si="156"/>
        <v>57.017734253954288</v>
      </c>
      <c r="H363" s="360">
        <f t="shared" ca="1" si="157"/>
        <v>239.34618019917167</v>
      </c>
      <c r="I363" s="357">
        <f t="shared" ca="1" si="158"/>
        <v>246.04393102734502</v>
      </c>
      <c r="J363" s="359">
        <f t="shared" ca="1" si="159"/>
        <v>106.03326342577512</v>
      </c>
      <c r="K363" s="360">
        <f t="shared" ca="1" si="160"/>
        <v>475.82315839821513</v>
      </c>
      <c r="L363" s="357">
        <f t="shared" ca="1" si="145"/>
        <v>487.49433947562176</v>
      </c>
      <c r="M363" s="359">
        <f t="shared" ca="1" si="161"/>
        <v>1.3369323635801147</v>
      </c>
      <c r="N363" s="357">
        <f t="shared" ca="1" si="162"/>
        <v>76.60058192759027</v>
      </c>
      <c r="O363" s="343"/>
      <c r="P363" s="363">
        <f t="shared" ca="1" si="163"/>
        <v>11</v>
      </c>
      <c r="Q363" s="357">
        <f t="shared" ca="1" si="164"/>
        <v>663.55000000000427</v>
      </c>
      <c r="R363" s="359">
        <f t="shared" ca="1" si="165"/>
        <v>0.33239360170696963</v>
      </c>
      <c r="S363" s="360">
        <f t="shared" ca="1" si="166"/>
        <v>9.890820261600032</v>
      </c>
      <c r="T363" s="357">
        <f t="shared" ca="1" si="146"/>
        <v>97.028946766296315</v>
      </c>
      <c r="U363" s="364">
        <f t="shared" ca="1" si="147"/>
        <v>0</v>
      </c>
      <c r="V363" s="359">
        <f t="shared" ca="1" si="148"/>
        <v>1.1680661844919535</v>
      </c>
      <c r="W363" s="357">
        <f t="shared" ca="1" si="149"/>
        <v>160.05615634591447</v>
      </c>
      <c r="X363" s="343"/>
      <c r="Y363" s="367" t="str">
        <f t="shared" ca="1" si="167"/>
        <v/>
      </c>
      <c r="Z363" s="368" t="str">
        <f t="shared" ca="1" si="168"/>
        <v/>
      </c>
      <c r="AA363" s="369" t="str">
        <f t="shared" ca="1" si="169"/>
        <v/>
      </c>
      <c r="AB363" s="344"/>
      <c r="AC363" s="363" t="e">
        <f t="shared" ca="1" si="170"/>
        <v>#N/A</v>
      </c>
      <c r="AD363" s="376" t="e">
        <f t="shared" ca="1" si="171"/>
        <v>#N/A</v>
      </c>
      <c r="AE363" s="377">
        <f t="shared" ca="1" si="150"/>
        <v>475.82315839821513</v>
      </c>
      <c r="AF363" s="344"/>
      <c r="AG363" s="359">
        <f t="shared" ca="1" si="172"/>
        <v>41.412570013999442</v>
      </c>
      <c r="AH363" s="357">
        <f t="shared" ca="1" si="173"/>
        <v>50.955734395662802</v>
      </c>
    </row>
    <row r="364" spans="1:34" x14ac:dyDescent="0.25">
      <c r="A364" s="402">
        <f t="shared" ca="1" si="151"/>
        <v>0.01</v>
      </c>
      <c r="B364" s="357">
        <f t="shared" ca="1" si="152"/>
        <v>3.5999999999999672</v>
      </c>
      <c r="C364" s="342"/>
      <c r="D364" s="359">
        <f t="shared" ca="1" si="153"/>
        <v>11.770151737892904</v>
      </c>
      <c r="E364" s="360">
        <f t="shared" ca="1" si="154"/>
        <v>39.598151616160287</v>
      </c>
      <c r="F364" s="357">
        <f t="shared" ca="1" si="155"/>
        <v>41.310411319054197</v>
      </c>
      <c r="G364" s="359">
        <f t="shared" ca="1" si="156"/>
        <v>57.135435771333213</v>
      </c>
      <c r="H364" s="360">
        <f t="shared" ca="1" si="157"/>
        <v>239.74216171533328</v>
      </c>
      <c r="I364" s="357">
        <f t="shared" ca="1" si="158"/>
        <v>246.4564101919874</v>
      </c>
      <c r="J364" s="359">
        <f t="shared" ca="1" si="159"/>
        <v>106.60402927590155</v>
      </c>
      <c r="K364" s="360">
        <f t="shared" ca="1" si="160"/>
        <v>478.21860010778767</v>
      </c>
      <c r="L364" s="357">
        <f t="shared" ca="1" si="145"/>
        <v>489.95657822597855</v>
      </c>
      <c r="M364" s="359">
        <f t="shared" ca="1" si="161"/>
        <v>1.3368401221159414</v>
      </c>
      <c r="N364" s="357">
        <f t="shared" ca="1" si="162"/>
        <v>76.595296880997026</v>
      </c>
      <c r="O364" s="343"/>
      <c r="P364" s="363">
        <f t="shared" ca="1" si="163"/>
        <v>11</v>
      </c>
      <c r="Q364" s="357">
        <f t="shared" ca="1" si="164"/>
        <v>662.25000000000421</v>
      </c>
      <c r="R364" s="359">
        <f t="shared" ca="1" si="165"/>
        <v>0.33174238976782555</v>
      </c>
      <c r="S364" s="360">
        <f t="shared" ca="1" si="166"/>
        <v>9.8875028377023533</v>
      </c>
      <c r="T364" s="357">
        <f t="shared" ca="1" si="146"/>
        <v>96.996402837860089</v>
      </c>
      <c r="U364" s="364">
        <f t="shared" ca="1" si="147"/>
        <v>0</v>
      </c>
      <c r="V364" s="359">
        <f t="shared" ca="1" si="148"/>
        <v>1.1677862553309248</v>
      </c>
      <c r="W364" s="357">
        <f t="shared" ca="1" si="149"/>
        <v>160.55477046276164</v>
      </c>
      <c r="X364" s="343"/>
      <c r="Y364" s="367" t="str">
        <f t="shared" ca="1" si="167"/>
        <v/>
      </c>
      <c r="Z364" s="368" t="str">
        <f t="shared" ca="1" si="168"/>
        <v/>
      </c>
      <c r="AA364" s="369" t="str">
        <f t="shared" ca="1" si="169"/>
        <v/>
      </c>
      <c r="AB364" s="344"/>
      <c r="AC364" s="363" t="e">
        <f t="shared" ca="1" si="170"/>
        <v>#N/A</v>
      </c>
      <c r="AD364" s="376" t="e">
        <f t="shared" ca="1" si="171"/>
        <v>#N/A</v>
      </c>
      <c r="AE364" s="377">
        <f t="shared" ca="1" si="150"/>
        <v>478.21860010778767</v>
      </c>
      <c r="AF364" s="344"/>
      <c r="AG364" s="359">
        <f t="shared" ca="1" si="172"/>
        <v>41.247811615672788</v>
      </c>
      <c r="AH364" s="357">
        <f t="shared" ca="1" si="173"/>
        <v>50.790766070797808</v>
      </c>
    </row>
    <row r="365" spans="1:34" x14ac:dyDescent="0.25">
      <c r="A365" s="402">
        <f t="shared" ca="1" si="151"/>
        <v>0.01</v>
      </c>
      <c r="B365" s="357">
        <f t="shared" ca="1" si="152"/>
        <v>3.609999999999967</v>
      </c>
      <c r="C365" s="342"/>
      <c r="D365" s="359">
        <f t="shared" ca="1" si="153"/>
        <v>11.736467939170096</v>
      </c>
      <c r="E365" s="360">
        <f t="shared" ca="1" si="154"/>
        <v>39.436604259752301</v>
      </c>
      <c r="F365" s="357">
        <f t="shared" ca="1" si="155"/>
        <v>41.145964993270979</v>
      </c>
      <c r="G365" s="359">
        <f t="shared" ca="1" si="156"/>
        <v>57.252800450724912</v>
      </c>
      <c r="H365" s="360">
        <f t="shared" ca="1" si="157"/>
        <v>240.13652775793079</v>
      </c>
      <c r="I365" s="357">
        <f t="shared" ca="1" si="158"/>
        <v>246.86724189953998</v>
      </c>
      <c r="J365" s="359">
        <f t="shared" ca="1" si="159"/>
        <v>107.17597045701184</v>
      </c>
      <c r="K365" s="360">
        <f t="shared" ca="1" si="160"/>
        <v>480.61799355515399</v>
      </c>
      <c r="L365" s="357">
        <f t="shared" ca="1" si="145"/>
        <v>492.4229324192612</v>
      </c>
      <c r="M365" s="359">
        <f t="shared" ca="1" si="161"/>
        <v>1.336747998501564</v>
      </c>
      <c r="N365" s="357">
        <f t="shared" ca="1" si="162"/>
        <v>76.590018586699713</v>
      </c>
      <c r="O365" s="343"/>
      <c r="P365" s="363">
        <f t="shared" ca="1" si="163"/>
        <v>11</v>
      </c>
      <c r="Q365" s="357">
        <f t="shared" ca="1" si="164"/>
        <v>660.95000000000425</v>
      </c>
      <c r="R365" s="359">
        <f t="shared" ca="1" si="165"/>
        <v>0.33109117782868147</v>
      </c>
      <c r="S365" s="360">
        <f t="shared" ca="1" si="166"/>
        <v>9.8841919259240658</v>
      </c>
      <c r="T365" s="357">
        <f t="shared" ca="1" si="146"/>
        <v>96.963922793315092</v>
      </c>
      <c r="U365" s="364">
        <f t="shared" ca="1" si="147"/>
        <v>0</v>
      </c>
      <c r="V365" s="359">
        <f t="shared" ca="1" si="148"/>
        <v>1.1675059300173136</v>
      </c>
      <c r="W365" s="357">
        <f t="shared" ca="1" si="149"/>
        <v>161.05182218074424</v>
      </c>
      <c r="X365" s="343"/>
      <c r="Y365" s="367" t="str">
        <f t="shared" ca="1" si="167"/>
        <v/>
      </c>
      <c r="Z365" s="368" t="str">
        <f t="shared" ca="1" si="168"/>
        <v/>
      </c>
      <c r="AA365" s="369" t="str">
        <f t="shared" ca="1" si="169"/>
        <v/>
      </c>
      <c r="AB365" s="344"/>
      <c r="AC365" s="363" t="e">
        <f t="shared" ca="1" si="170"/>
        <v>#N/A</v>
      </c>
      <c r="AD365" s="376" t="e">
        <f t="shared" ca="1" si="171"/>
        <v>#N/A</v>
      </c>
      <c r="AE365" s="377">
        <f t="shared" ca="1" si="150"/>
        <v>480.61799355515399</v>
      </c>
      <c r="AF365" s="344"/>
      <c r="AG365" s="359">
        <f t="shared" ca="1" si="172"/>
        <v>41.083066000103102</v>
      </c>
      <c r="AH365" s="357">
        <f t="shared" ca="1" si="173"/>
        <v>50.625810717496869</v>
      </c>
    </row>
    <row r="366" spans="1:34" x14ac:dyDescent="0.25">
      <c r="A366" s="402">
        <f t="shared" ca="1" si="151"/>
        <v>0.01</v>
      </c>
      <c r="B366" s="357">
        <f t="shared" ca="1" si="152"/>
        <v>3.6199999999999668</v>
      </c>
      <c r="C366" s="342"/>
      <c r="D366" s="359">
        <f t="shared" ca="1" si="153"/>
        <v>11.702751974398231</v>
      </c>
      <c r="E366" s="360">
        <f t="shared" ca="1" si="154"/>
        <v>39.275078847154923</v>
      </c>
      <c r="F366" s="357">
        <f t="shared" ca="1" si="155"/>
        <v>40.981535137480122</v>
      </c>
      <c r="G366" s="359">
        <f t="shared" ca="1" si="156"/>
        <v>57.369827970468897</v>
      </c>
      <c r="H366" s="360">
        <f t="shared" ca="1" si="157"/>
        <v>240.52927854640234</v>
      </c>
      <c r="I366" s="357">
        <f t="shared" ca="1" si="158"/>
        <v>247.27642629133493</v>
      </c>
      <c r="J366" s="359">
        <f t="shared" ca="1" si="159"/>
        <v>107.74908359911781</v>
      </c>
      <c r="K366" s="360">
        <f t="shared" ca="1" si="160"/>
        <v>483.02132258667564</v>
      </c>
      <c r="L366" s="357">
        <f t="shared" ca="1" si="145"/>
        <v>494.89338557898617</v>
      </c>
      <c r="M366" s="359">
        <f t="shared" ca="1" si="161"/>
        <v>1.3366559917787191</v>
      </c>
      <c r="N366" s="357">
        <f t="shared" ca="1" si="162"/>
        <v>76.584746989793871</v>
      </c>
      <c r="O366" s="343"/>
      <c r="P366" s="363">
        <f t="shared" ca="1" si="163"/>
        <v>11</v>
      </c>
      <c r="Q366" s="357">
        <f t="shared" ca="1" si="164"/>
        <v>659.6500000000043</v>
      </c>
      <c r="R366" s="359">
        <f t="shared" ca="1" si="165"/>
        <v>0.33043996588953739</v>
      </c>
      <c r="S366" s="360">
        <f t="shared" ca="1" si="166"/>
        <v>9.8808875262651696</v>
      </c>
      <c r="T366" s="357">
        <f t="shared" ca="1" si="146"/>
        <v>96.931506632661325</v>
      </c>
      <c r="U366" s="364">
        <f t="shared" ca="1" si="147"/>
        <v>0</v>
      </c>
      <c r="V366" s="359">
        <f t="shared" ca="1" si="148"/>
        <v>1.1672252107391787</v>
      </c>
      <c r="W366" s="357">
        <f t="shared" ca="1" si="149"/>
        <v>161.54730161367686</v>
      </c>
      <c r="X366" s="343"/>
      <c r="Y366" s="367" t="str">
        <f t="shared" ca="1" si="167"/>
        <v/>
      </c>
      <c r="Z366" s="368" t="str">
        <f t="shared" ca="1" si="168"/>
        <v/>
      </c>
      <c r="AA366" s="369" t="str">
        <f t="shared" ca="1" si="169"/>
        <v/>
      </c>
      <c r="AB366" s="344"/>
      <c r="AC366" s="363" t="e">
        <f t="shared" ca="1" si="170"/>
        <v>#N/A</v>
      </c>
      <c r="AD366" s="376" t="e">
        <f t="shared" ca="1" si="171"/>
        <v>#N/A</v>
      </c>
      <c r="AE366" s="377">
        <f t="shared" ca="1" si="150"/>
        <v>483.02132258667564</v>
      </c>
      <c r="AF366" s="344"/>
      <c r="AG366" s="359">
        <f t="shared" ca="1" si="172"/>
        <v>40.918334516816714</v>
      </c>
      <c r="AH366" s="357">
        <f t="shared" ca="1" si="173"/>
        <v>50.460869683406145</v>
      </c>
    </row>
    <row r="367" spans="1:34" x14ac:dyDescent="0.25">
      <c r="A367" s="402">
        <f t="shared" ca="1" si="151"/>
        <v>0.01</v>
      </c>
      <c r="B367" s="357">
        <f t="shared" ca="1" si="152"/>
        <v>3.6299999999999666</v>
      </c>
      <c r="C367" s="342"/>
      <c r="D367" s="359">
        <f t="shared" ca="1" si="153"/>
        <v>11.669004263581096</v>
      </c>
      <c r="E367" s="360">
        <f t="shared" ca="1" si="154"/>
        <v>39.113576663308478</v>
      </c>
      <c r="F367" s="357">
        <f t="shared" ca="1" si="155"/>
        <v>40.817123121307603</v>
      </c>
      <c r="G367" s="359">
        <f t="shared" ca="1" si="156"/>
        <v>57.486518013104707</v>
      </c>
      <c r="H367" s="360">
        <f t="shared" ca="1" si="157"/>
        <v>240.92041431303542</v>
      </c>
      <c r="I367" s="357">
        <f t="shared" ca="1" si="158"/>
        <v>247.68396352213773</v>
      </c>
      <c r="J367" s="359">
        <f t="shared" ca="1" si="159"/>
        <v>108.32336532903568</v>
      </c>
      <c r="K367" s="360">
        <f t="shared" ca="1" si="160"/>
        <v>485.42857105097283</v>
      </c>
      <c r="L367" s="357">
        <f t="shared" ca="1" si="145"/>
        <v>497.36792123014641</v>
      </c>
      <c r="M367" s="359">
        <f t="shared" ca="1" si="161"/>
        <v>1.3365641009959097</v>
      </c>
      <c r="N367" s="357">
        <f t="shared" ca="1" si="162"/>
        <v>76.579482035762737</v>
      </c>
      <c r="O367" s="343"/>
      <c r="P367" s="363">
        <f t="shared" ca="1" si="163"/>
        <v>11</v>
      </c>
      <c r="Q367" s="357">
        <f t="shared" ca="1" si="164"/>
        <v>658.35000000000434</v>
      </c>
      <c r="R367" s="359">
        <f t="shared" ca="1" si="165"/>
        <v>0.32978875395039337</v>
      </c>
      <c r="S367" s="360">
        <f t="shared" ca="1" si="166"/>
        <v>9.8775896387256665</v>
      </c>
      <c r="T367" s="357">
        <f t="shared" ca="1" si="146"/>
        <v>96.899154355898787</v>
      </c>
      <c r="U367" s="364">
        <f t="shared" ca="1" si="147"/>
        <v>0</v>
      </c>
      <c r="V367" s="359">
        <f t="shared" ca="1" si="148"/>
        <v>1.1669440996828573</v>
      </c>
      <c r="W367" s="357">
        <f t="shared" ca="1" si="149"/>
        <v>162.04119895364261</v>
      </c>
      <c r="X367" s="343"/>
      <c r="Y367" s="367" t="str">
        <f t="shared" ca="1" si="167"/>
        <v/>
      </c>
      <c r="Z367" s="368" t="str">
        <f t="shared" ca="1" si="168"/>
        <v/>
      </c>
      <c r="AA367" s="369" t="str">
        <f t="shared" ca="1" si="169"/>
        <v/>
      </c>
      <c r="AB367" s="344"/>
      <c r="AC367" s="363" t="e">
        <f t="shared" ca="1" si="170"/>
        <v>#N/A</v>
      </c>
      <c r="AD367" s="376" t="e">
        <f t="shared" ca="1" si="171"/>
        <v>#N/A</v>
      </c>
      <c r="AE367" s="377">
        <f t="shared" ca="1" si="150"/>
        <v>485.42857105097283</v>
      </c>
      <c r="AF367" s="344"/>
      <c r="AG367" s="359">
        <f t="shared" ca="1" si="172"/>
        <v>40.753618509151167</v>
      </c>
      <c r="AH367" s="357">
        <f t="shared" ca="1" si="173"/>
        <v>50.295944309994773</v>
      </c>
    </row>
    <row r="368" spans="1:34" x14ac:dyDescent="0.25">
      <c r="A368" s="402">
        <f t="shared" ca="1" si="151"/>
        <v>0.01</v>
      </c>
      <c r="B368" s="357">
        <f t="shared" ca="1" si="152"/>
        <v>3.6399999999999664</v>
      </c>
      <c r="C368" s="342"/>
      <c r="D368" s="359">
        <f t="shared" ca="1" si="153"/>
        <v>11.635225224800749</v>
      </c>
      <c r="E368" s="360">
        <f t="shared" ca="1" si="154"/>
        <v>38.952098987200188</v>
      </c>
      <c r="F368" s="357">
        <f t="shared" ca="1" si="155"/>
        <v>40.652730308559619</v>
      </c>
      <c r="G368" s="359">
        <f t="shared" ca="1" si="156"/>
        <v>57.602870265352713</v>
      </c>
      <c r="H368" s="360">
        <f t="shared" ca="1" si="157"/>
        <v>241.30993530290743</v>
      </c>
      <c r="I368" s="357">
        <f t="shared" ca="1" si="158"/>
        <v>248.08985376008513</v>
      </c>
      <c r="J368" s="359">
        <f t="shared" ca="1" si="159"/>
        <v>108.89881227042797</v>
      </c>
      <c r="K368" s="360">
        <f t="shared" ca="1" si="160"/>
        <v>487.83972279905254</v>
      </c>
      <c r="L368" s="357">
        <f t="shared" ca="1" si="145"/>
        <v>499.84652289934593</v>
      </c>
      <c r="M368" s="359">
        <f t="shared" ca="1" si="161"/>
        <v>1.336472325208331</v>
      </c>
      <c r="N368" s="357">
        <f t="shared" ca="1" si="162"/>
        <v>76.574223670472989</v>
      </c>
      <c r="O368" s="343"/>
      <c r="P368" s="363">
        <f t="shared" ca="1" si="163"/>
        <v>11</v>
      </c>
      <c r="Q368" s="357">
        <f t="shared" ca="1" si="164"/>
        <v>657.05000000000439</v>
      </c>
      <c r="R368" s="359">
        <f t="shared" ca="1" si="165"/>
        <v>0.32913754201124928</v>
      </c>
      <c r="S368" s="360">
        <f t="shared" ca="1" si="166"/>
        <v>9.8742982633055547</v>
      </c>
      <c r="T368" s="357">
        <f t="shared" ca="1" si="146"/>
        <v>96.866865963027493</v>
      </c>
      <c r="U368" s="364">
        <f t="shared" ca="1" si="147"/>
        <v>0</v>
      </c>
      <c r="V368" s="359">
        <f t="shared" ca="1" si="148"/>
        <v>1.1666625990329453</v>
      </c>
      <c r="W368" s="357">
        <f t="shared" ca="1" si="149"/>
        <v>162.53350447097421</v>
      </c>
      <c r="X368" s="343"/>
      <c r="Y368" s="367" t="str">
        <f t="shared" ca="1" si="167"/>
        <v/>
      </c>
      <c r="Z368" s="368" t="str">
        <f t="shared" ca="1" si="168"/>
        <v/>
      </c>
      <c r="AA368" s="369" t="str">
        <f t="shared" ca="1" si="169"/>
        <v/>
      </c>
      <c r="AB368" s="344"/>
      <c r="AC368" s="363" t="e">
        <f t="shared" ca="1" si="170"/>
        <v>#N/A</v>
      </c>
      <c r="AD368" s="376" t="e">
        <f t="shared" ca="1" si="171"/>
        <v>#N/A</v>
      </c>
      <c r="AE368" s="377">
        <f t="shared" ca="1" si="150"/>
        <v>487.83972279905254</v>
      </c>
      <c r="AF368" s="344"/>
      <c r="AG368" s="359">
        <f t="shared" ca="1" si="172"/>
        <v>40.588919314237842</v>
      </c>
      <c r="AH368" s="357">
        <f t="shared" ca="1" si="173"/>
        <v>50.131035932537337</v>
      </c>
    </row>
    <row r="369" spans="1:34" x14ac:dyDescent="0.25">
      <c r="A369" s="402">
        <f t="shared" ca="1" si="151"/>
        <v>0.01</v>
      </c>
      <c r="B369" s="357">
        <f t="shared" ca="1" si="152"/>
        <v>3.6499999999999662</v>
      </c>
      <c r="C369" s="342"/>
      <c r="D369" s="359">
        <f t="shared" ca="1" si="153"/>
        <v>11.601415274218532</v>
      </c>
      <c r="E369" s="360">
        <f t="shared" ca="1" si="154"/>
        <v>38.790647091846694</v>
      </c>
      <c r="F369" s="357">
        <f t="shared" ca="1" si="155"/>
        <v>40.488358057212757</v>
      </c>
      <c r="G369" s="359">
        <f t="shared" ca="1" si="156"/>
        <v>57.718884418094902</v>
      </c>
      <c r="H369" s="360">
        <f t="shared" ca="1" si="157"/>
        <v>241.6978417738259</v>
      </c>
      <c r="I369" s="357">
        <f t="shared" ca="1" si="158"/>
        <v>248.49409718662287</v>
      </c>
      <c r="J369" s="359">
        <f t="shared" ca="1" si="159"/>
        <v>109.4754210438452</v>
      </c>
      <c r="K369" s="360">
        <f t="shared" ca="1" si="160"/>
        <v>490.25476168443623</v>
      </c>
      <c r="L369" s="357">
        <f t="shared" ca="1" si="145"/>
        <v>502.32917411493287</v>
      </c>
      <c r="M369" s="359">
        <f t="shared" ca="1" si="161"/>
        <v>1.3363806634777962</v>
      </c>
      <c r="N369" s="357">
        <f t="shared" ca="1" si="162"/>
        <v>76.568971840170477</v>
      </c>
      <c r="O369" s="343"/>
      <c r="P369" s="363">
        <f t="shared" ca="1" si="163"/>
        <v>11</v>
      </c>
      <c r="Q369" s="357">
        <f t="shared" ca="1" si="164"/>
        <v>655.75000000000443</v>
      </c>
      <c r="R369" s="359">
        <f t="shared" ca="1" si="165"/>
        <v>0.3284863300721052</v>
      </c>
      <c r="S369" s="360">
        <f t="shared" ca="1" si="166"/>
        <v>9.8710134000048342</v>
      </c>
      <c r="T369" s="357">
        <f t="shared" ca="1" si="146"/>
        <v>96.834641454047429</v>
      </c>
      <c r="U369" s="364">
        <f t="shared" ca="1" si="147"/>
        <v>0</v>
      </c>
      <c r="V369" s="359">
        <f t="shared" ca="1" si="148"/>
        <v>1.1663807109722766</v>
      </c>
      <c r="W369" s="357">
        <f t="shared" ca="1" si="149"/>
        <v>163.02420851423105</v>
      </c>
      <c r="X369" s="343"/>
      <c r="Y369" s="367" t="str">
        <f t="shared" ca="1" si="167"/>
        <v/>
      </c>
      <c r="Z369" s="368" t="str">
        <f t="shared" ca="1" si="168"/>
        <v/>
      </c>
      <c r="AA369" s="369" t="str">
        <f t="shared" ca="1" si="169"/>
        <v/>
      </c>
      <c r="AB369" s="344"/>
      <c r="AC369" s="363" t="e">
        <f t="shared" ca="1" si="170"/>
        <v>#N/A</v>
      </c>
      <c r="AD369" s="376" t="e">
        <f t="shared" ca="1" si="171"/>
        <v>#N/A</v>
      </c>
      <c r="AE369" s="377">
        <f t="shared" ca="1" si="150"/>
        <v>490.25476168443623</v>
      </c>
      <c r="AF369" s="344"/>
      <c r="AG369" s="359">
        <f t="shared" ca="1" si="172"/>
        <v>40.42423826298478</v>
      </c>
      <c r="AH369" s="357">
        <f t="shared" ca="1" si="173"/>
        <v>49.966145880096633</v>
      </c>
    </row>
    <row r="370" spans="1:34" x14ac:dyDescent="0.25">
      <c r="A370" s="402">
        <f t="shared" ca="1" si="151"/>
        <v>0.01</v>
      </c>
      <c r="B370" s="357">
        <f t="shared" ca="1" si="152"/>
        <v>3.6599999999999659</v>
      </c>
      <c r="C370" s="342"/>
      <c r="D370" s="359">
        <f t="shared" ca="1" si="153"/>
        <v>11.580210471822365</v>
      </c>
      <c r="E370" s="360">
        <f t="shared" ca="1" si="154"/>
        <v>38.682134013745141</v>
      </c>
      <c r="F370" s="357">
        <f t="shared" ca="1" si="155"/>
        <v>40.378320500350718</v>
      </c>
      <c r="G370" s="359">
        <f t="shared" ca="1" si="156"/>
        <v>57.834686522813122</v>
      </c>
      <c r="H370" s="360">
        <f t="shared" ca="1" si="157"/>
        <v>242.08466311396336</v>
      </c>
      <c r="I370" s="357">
        <f t="shared" ca="1" si="158"/>
        <v>248.89723799229512</v>
      </c>
      <c r="J370" s="359">
        <f t="shared" ca="1" si="159"/>
        <v>110.05318889854975</v>
      </c>
      <c r="K370" s="360">
        <f t="shared" ca="1" si="160"/>
        <v>492.67367420887518</v>
      </c>
      <c r="L370" s="357">
        <f t="shared" ca="1" si="145"/>
        <v>504.81586112681993</v>
      </c>
      <c r="M370" s="359">
        <f t="shared" ca="1" si="161"/>
        <v>1.3362891150727536</v>
      </c>
      <c r="N370" s="357">
        <f t="shared" ca="1" si="162"/>
        <v>76.563726502940384</v>
      </c>
      <c r="O370" s="343"/>
      <c r="P370" s="363">
        <f t="shared" ca="1" si="163"/>
        <v>12</v>
      </c>
      <c r="Q370" s="357">
        <f t="shared" ca="1" si="164"/>
        <v>654.98666666666747</v>
      </c>
      <c r="R370" s="359">
        <f t="shared" ca="1" si="165"/>
        <v>0.32810395177963164</v>
      </c>
      <c r="S370" s="360">
        <f t="shared" ca="1" si="166"/>
        <v>9.8677323604870377</v>
      </c>
      <c r="T370" s="357">
        <f t="shared" ca="1" si="146"/>
        <v>96.802454456377845</v>
      </c>
      <c r="U370" s="364">
        <f t="shared" ca="1" si="147"/>
        <v>0</v>
      </c>
      <c r="V370" s="359">
        <f t="shared" ca="1" si="148"/>
        <v>1.1660984373732119</v>
      </c>
      <c r="W370" s="357">
        <f t="shared" ca="1" si="149"/>
        <v>163.51401622652139</v>
      </c>
      <c r="X370" s="343"/>
      <c r="Y370" s="367" t="str">
        <f t="shared" ca="1" si="167"/>
        <v/>
      </c>
      <c r="Z370" s="368" t="str">
        <f t="shared" ca="1" si="168"/>
        <v/>
      </c>
      <c r="AA370" s="369" t="str">
        <f t="shared" ca="1" si="169"/>
        <v/>
      </c>
      <c r="AB370" s="344"/>
      <c r="AC370" s="363" t="e">
        <f t="shared" ca="1" si="170"/>
        <v>#N/A</v>
      </c>
      <c r="AD370" s="376" t="e">
        <f t="shared" ca="1" si="171"/>
        <v>#N/A</v>
      </c>
      <c r="AE370" s="377">
        <f t="shared" ca="1" si="150"/>
        <v>492.67367420887518</v>
      </c>
      <c r="AF370" s="344"/>
      <c r="AG370" s="359">
        <f t="shared" ca="1" si="172"/>
        <v>40.313976265460013</v>
      </c>
      <c r="AH370" s="357">
        <f t="shared" ca="1" si="173"/>
        <v>49.855675060906783</v>
      </c>
    </row>
    <row r="371" spans="1:34" x14ac:dyDescent="0.25">
      <c r="A371" s="402">
        <f t="shared" ca="1" si="151"/>
        <v>0.01</v>
      </c>
      <c r="B371" s="357">
        <f t="shared" ca="1" si="152"/>
        <v>3.6699999999999657</v>
      </c>
      <c r="C371" s="342"/>
      <c r="D371" s="359">
        <f t="shared" ca="1" si="153"/>
        <v>11.571624637187108</v>
      </c>
      <c r="E371" s="360">
        <f t="shared" ca="1" si="154"/>
        <v>38.626552878516776</v>
      </c>
      <c r="F371" s="357">
        <f t="shared" ca="1" si="155"/>
        <v>40.322612564426038</v>
      </c>
      <c r="G371" s="359">
        <f t="shared" ca="1" si="156"/>
        <v>57.95040276918499</v>
      </c>
      <c r="H371" s="360">
        <f t="shared" ca="1" si="157"/>
        <v>242.47092864274853</v>
      </c>
      <c r="I371" s="357">
        <f t="shared" ca="1" si="158"/>
        <v>249.29982033284261</v>
      </c>
      <c r="J371" s="359">
        <f t="shared" ca="1" si="159"/>
        <v>110.63211434500974</v>
      </c>
      <c r="K371" s="360">
        <f t="shared" ca="1" si="160"/>
        <v>495.09645216765875</v>
      </c>
      <c r="L371" s="357">
        <f t="shared" ca="1" si="145"/>
        <v>507.30657562607064</v>
      </c>
      <c r="M371" s="359">
        <f t="shared" ca="1" si="161"/>
        <v>1.336197679466002</v>
      </c>
      <c r="N371" s="357">
        <f t="shared" ca="1" si="162"/>
        <v>76.558487628576302</v>
      </c>
      <c r="O371" s="343"/>
      <c r="P371" s="363">
        <f t="shared" ca="1" si="163"/>
        <v>12</v>
      </c>
      <c r="Q371" s="357">
        <f t="shared" ca="1" si="164"/>
        <v>654.76000000000079</v>
      </c>
      <c r="R371" s="359">
        <f t="shared" ca="1" si="165"/>
        <v>0.32799040713383215</v>
      </c>
      <c r="S371" s="360">
        <f t="shared" ca="1" si="166"/>
        <v>9.8644524564156999</v>
      </c>
      <c r="T371" s="357">
        <f t="shared" ca="1" si="146"/>
        <v>96.770278597438022</v>
      </c>
      <c r="U371" s="364">
        <f t="shared" ca="1" si="147"/>
        <v>0</v>
      </c>
      <c r="V371" s="359">
        <f t="shared" ca="1" si="148"/>
        <v>1.1658157794894168</v>
      </c>
      <c r="W371" s="357">
        <f t="shared" ca="1" si="149"/>
        <v>164.00363659953246</v>
      </c>
      <c r="X371" s="343"/>
      <c r="Y371" s="367" t="str">
        <f t="shared" ca="1" si="167"/>
        <v/>
      </c>
      <c r="Z371" s="368" t="str">
        <f t="shared" ca="1" si="168"/>
        <v/>
      </c>
      <c r="AA371" s="369" t="str">
        <f t="shared" ca="1" si="169"/>
        <v/>
      </c>
      <c r="AB371" s="344"/>
      <c r="AC371" s="363" t="e">
        <f t="shared" ca="1" si="170"/>
        <v>#N/A</v>
      </c>
      <c r="AD371" s="376" t="e">
        <f t="shared" ca="1" si="171"/>
        <v>#N/A</v>
      </c>
      <c r="AE371" s="377">
        <f t="shared" ca="1" si="150"/>
        <v>495.09645216765875</v>
      </c>
      <c r="AF371" s="344"/>
      <c r="AG371" s="359">
        <f t="shared" ca="1" si="172"/>
        <v>40.258129841565321</v>
      </c>
      <c r="AH371" s="357">
        <f t="shared" ca="1" si="173"/>
        <v>49.799619993503036</v>
      </c>
    </row>
    <row r="372" spans="1:34" x14ac:dyDescent="0.25">
      <c r="A372" s="402">
        <f t="shared" ca="1" si="151"/>
        <v>0.01</v>
      </c>
      <c r="B372" s="357">
        <f t="shared" ca="1" si="152"/>
        <v>3.6799999999999655</v>
      </c>
      <c r="C372" s="342"/>
      <c r="D372" s="359">
        <f t="shared" ca="1" si="153"/>
        <v>11.563017682490848</v>
      </c>
      <c r="E372" s="360">
        <f t="shared" ca="1" si="154"/>
        <v>38.570951665739521</v>
      </c>
      <c r="F372" s="357">
        <f t="shared" ca="1" si="155"/>
        <v>40.266880811982574</v>
      </c>
      <c r="G372" s="359">
        <f t="shared" ca="1" si="156"/>
        <v>58.066032946009898</v>
      </c>
      <c r="H372" s="360">
        <f t="shared" ca="1" si="157"/>
        <v>242.85663815940592</v>
      </c>
      <c r="I372" s="357">
        <f t="shared" ca="1" si="158"/>
        <v>249.70184396631061</v>
      </c>
      <c r="J372" s="359">
        <f t="shared" ca="1" si="159"/>
        <v>111.21219652358572</v>
      </c>
      <c r="K372" s="360">
        <f t="shared" ca="1" si="160"/>
        <v>497.52309000166952</v>
      </c>
      <c r="L372" s="357">
        <f t="shared" ca="1" si="145"/>
        <v>509.8013120230371</v>
      </c>
      <c r="M372" s="359">
        <f t="shared" ca="1" si="161"/>
        <v>1.3361063561333546</v>
      </c>
      <c r="N372" s="357">
        <f t="shared" ca="1" si="162"/>
        <v>76.553255187044527</v>
      </c>
      <c r="O372" s="343"/>
      <c r="P372" s="363">
        <f t="shared" ca="1" si="163"/>
        <v>12</v>
      </c>
      <c r="Q372" s="357">
        <f t="shared" ca="1" si="164"/>
        <v>654.5333333333341</v>
      </c>
      <c r="R372" s="359">
        <f t="shared" ca="1" si="165"/>
        <v>0.32787686248803266</v>
      </c>
      <c r="S372" s="360">
        <f t="shared" ca="1" si="166"/>
        <v>9.8611736877908189</v>
      </c>
      <c r="T372" s="357">
        <f t="shared" ca="1" si="146"/>
        <v>96.738113877227946</v>
      </c>
      <c r="U372" s="364">
        <f t="shared" ca="1" si="147"/>
        <v>0</v>
      </c>
      <c r="V372" s="359">
        <f t="shared" ca="1" si="148"/>
        <v>1.1655327382654024</v>
      </c>
      <c r="W372" s="357">
        <f t="shared" ca="1" si="149"/>
        <v>164.49306527616082</v>
      </c>
      <c r="X372" s="343"/>
      <c r="Y372" s="367" t="str">
        <f t="shared" ca="1" si="167"/>
        <v/>
      </c>
      <c r="Z372" s="368" t="str">
        <f t="shared" ca="1" si="168"/>
        <v/>
      </c>
      <c r="AA372" s="369" t="str">
        <f t="shared" ca="1" si="169"/>
        <v/>
      </c>
      <c r="AB372" s="344"/>
      <c r="AC372" s="363" t="e">
        <f t="shared" ca="1" si="170"/>
        <v>#N/A</v>
      </c>
      <c r="AD372" s="376" t="e">
        <f t="shared" ca="1" si="171"/>
        <v>#N/A</v>
      </c>
      <c r="AE372" s="377">
        <f t="shared" ca="1" si="150"/>
        <v>497.52309000166952</v>
      </c>
      <c r="AF372" s="344"/>
      <c r="AG372" s="359">
        <f t="shared" ca="1" si="172"/>
        <v>40.202259221739347</v>
      </c>
      <c r="AH372" s="357">
        <f t="shared" ca="1" si="173"/>
        <v>49.743540907420538</v>
      </c>
    </row>
    <row r="373" spans="1:34" x14ac:dyDescent="0.25">
      <c r="A373" s="402">
        <f t="shared" ca="1" si="151"/>
        <v>0.01</v>
      </c>
      <c r="B373" s="357">
        <f t="shared" ca="1" si="152"/>
        <v>3.6899999999999653</v>
      </c>
      <c r="C373" s="342"/>
      <c r="D373" s="359">
        <f t="shared" ca="1" si="153"/>
        <v>11.554389747476378</v>
      </c>
      <c r="E373" s="360">
        <f t="shared" ca="1" si="154"/>
        <v>38.515330794764481</v>
      </c>
      <c r="F373" s="357">
        <f t="shared" ca="1" si="155"/>
        <v>40.211125682660523</v>
      </c>
      <c r="G373" s="359">
        <f t="shared" ca="1" si="156"/>
        <v>58.181576843484663</v>
      </c>
      <c r="H373" s="360">
        <f t="shared" ca="1" si="157"/>
        <v>243.24179146735355</v>
      </c>
      <c r="I373" s="357">
        <f t="shared" ca="1" si="158"/>
        <v>250.10330865512719</v>
      </c>
      <c r="J373" s="359">
        <f t="shared" ca="1" si="159"/>
        <v>111.79343457253319</v>
      </c>
      <c r="K373" s="360">
        <f t="shared" ca="1" si="160"/>
        <v>499.95358214980331</v>
      </c>
      <c r="L373" s="357">
        <f t="shared" ca="1" si="145"/>
        <v>512.30006472568732</v>
      </c>
      <c r="M373" s="359">
        <f t="shared" ca="1" si="161"/>
        <v>1.336015144553615</v>
      </c>
      <c r="N373" s="357">
        <f t="shared" ca="1" si="162"/>
        <v>76.54802914848274</v>
      </c>
      <c r="O373" s="343"/>
      <c r="P373" s="363">
        <f t="shared" ca="1" si="163"/>
        <v>12</v>
      </c>
      <c r="Q373" s="357">
        <f t="shared" ca="1" si="164"/>
        <v>654.30666666666752</v>
      </c>
      <c r="R373" s="359">
        <f t="shared" ca="1" si="165"/>
        <v>0.32776331784223323</v>
      </c>
      <c r="S373" s="360">
        <f t="shared" ca="1" si="166"/>
        <v>9.8578960546123966</v>
      </c>
      <c r="T373" s="357">
        <f t="shared" ca="1" si="146"/>
        <v>96.705960295747616</v>
      </c>
      <c r="U373" s="364">
        <f t="shared" ca="1" si="147"/>
        <v>0</v>
      </c>
      <c r="V373" s="359">
        <f t="shared" ca="1" si="148"/>
        <v>1.1652493146455913</v>
      </c>
      <c r="W373" s="357">
        <f t="shared" ca="1" si="149"/>
        <v>164.9822979132033</v>
      </c>
      <c r="X373" s="343"/>
      <c r="Y373" s="367" t="str">
        <f t="shared" ca="1" si="167"/>
        <v/>
      </c>
      <c r="Z373" s="368" t="str">
        <f t="shared" ca="1" si="168"/>
        <v/>
      </c>
      <c r="AA373" s="369" t="str">
        <f t="shared" ca="1" si="169"/>
        <v/>
      </c>
      <c r="AB373" s="344"/>
      <c r="AC373" s="363" t="e">
        <f t="shared" ca="1" si="170"/>
        <v>#N/A</v>
      </c>
      <c r="AD373" s="376" t="e">
        <f t="shared" ca="1" si="171"/>
        <v>#N/A</v>
      </c>
      <c r="AE373" s="377">
        <f t="shared" ca="1" si="150"/>
        <v>499.95358214980331</v>
      </c>
      <c r="AF373" s="344"/>
      <c r="AG373" s="359">
        <f t="shared" ca="1" si="172"/>
        <v>40.146364844283852</v>
      </c>
      <c r="AH373" s="357">
        <f t="shared" ca="1" si="173"/>
        <v>49.687438240062242</v>
      </c>
    </row>
    <row r="374" spans="1:34" x14ac:dyDescent="0.25">
      <c r="A374" s="402">
        <f t="shared" ca="1" si="151"/>
        <v>0.01</v>
      </c>
      <c r="B374" s="357">
        <f t="shared" ca="1" si="152"/>
        <v>3.6999999999999651</v>
      </c>
      <c r="C374" s="342"/>
      <c r="D374" s="359">
        <f t="shared" ca="1" si="153"/>
        <v>11.545740971606209</v>
      </c>
      <c r="E374" s="360">
        <f t="shared" ca="1" si="154"/>
        <v>38.459690684156996</v>
      </c>
      <c r="F374" s="357">
        <f t="shared" ca="1" si="155"/>
        <v>40.155347615286047</v>
      </c>
      <c r="G374" s="359">
        <f t="shared" ca="1" si="156"/>
        <v>58.297034253200728</v>
      </c>
      <c r="H374" s="360">
        <f t="shared" ca="1" si="157"/>
        <v>243.62638837419513</v>
      </c>
      <c r="I374" s="357">
        <f t="shared" ca="1" si="158"/>
        <v>250.50421416609547</v>
      </c>
      <c r="J374" s="359">
        <f t="shared" ca="1" si="159"/>
        <v>112.37582762801661</v>
      </c>
      <c r="K374" s="360">
        <f t="shared" ca="1" si="160"/>
        <v>502.38792304901108</v>
      </c>
      <c r="L374" s="357">
        <f t="shared" ca="1" si="145"/>
        <v>514.8028281396488</v>
      </c>
      <c r="M374" s="359">
        <f t="shared" ca="1" si="161"/>
        <v>1.335924044208556</v>
      </c>
      <c r="N374" s="357">
        <f t="shared" ca="1" si="162"/>
        <v>76.542809483198667</v>
      </c>
      <c r="O374" s="343"/>
      <c r="P374" s="363">
        <f t="shared" ca="1" si="163"/>
        <v>12</v>
      </c>
      <c r="Q374" s="357">
        <f t="shared" ca="1" si="164"/>
        <v>654.08000000000084</v>
      </c>
      <c r="R374" s="359">
        <f t="shared" ca="1" si="165"/>
        <v>0.32764977319643374</v>
      </c>
      <c r="S374" s="360">
        <f t="shared" ca="1" si="166"/>
        <v>9.8546195568804329</v>
      </c>
      <c r="T374" s="357">
        <f t="shared" ca="1" si="146"/>
        <v>96.673817852997047</v>
      </c>
      <c r="U374" s="364">
        <f t="shared" ca="1" si="147"/>
        <v>0</v>
      </c>
      <c r="V374" s="359">
        <f t="shared" ca="1" si="148"/>
        <v>1.1649655095743094</v>
      </c>
      <c r="W374" s="357">
        <f t="shared" ca="1" si="149"/>
        <v>165.47133018140181</v>
      </c>
      <c r="X374" s="343"/>
      <c r="Y374" s="367" t="str">
        <f t="shared" ca="1" si="167"/>
        <v/>
      </c>
      <c r="Z374" s="368" t="str">
        <f t="shared" ca="1" si="168"/>
        <v/>
      </c>
      <c r="AA374" s="369" t="str">
        <f t="shared" ca="1" si="169"/>
        <v/>
      </c>
      <c r="AB374" s="344"/>
      <c r="AC374" s="363" t="e">
        <f t="shared" ca="1" si="170"/>
        <v>#N/A</v>
      </c>
      <c r="AD374" s="376" t="e">
        <f t="shared" ca="1" si="171"/>
        <v>#N/A</v>
      </c>
      <c r="AE374" s="377">
        <f t="shared" ca="1" si="150"/>
        <v>502.38792304901108</v>
      </c>
      <c r="AF374" s="344"/>
      <c r="AG374" s="359">
        <f t="shared" ca="1" si="172"/>
        <v>40.090447146683765</v>
      </c>
      <c r="AH374" s="357">
        <f t="shared" ca="1" si="173"/>
        <v>49.631312428018859</v>
      </c>
    </row>
    <row r="375" spans="1:34" x14ac:dyDescent="0.25">
      <c r="A375" s="402">
        <f t="shared" ca="1" si="151"/>
        <v>0.01</v>
      </c>
      <c r="B375" s="357">
        <f t="shared" ca="1" si="152"/>
        <v>3.7099999999999649</v>
      </c>
      <c r="C375" s="342"/>
      <c r="D375" s="359">
        <f t="shared" ca="1" si="153"/>
        <v>11.53707149406201</v>
      </c>
      <c r="E375" s="360">
        <f t="shared" ca="1" si="154"/>
        <v>38.404031751690461</v>
      </c>
      <c r="F375" s="357">
        <f t="shared" ca="1" si="155"/>
        <v>40.099547047865109</v>
      </c>
      <c r="G375" s="359">
        <f t="shared" ca="1" si="156"/>
        <v>58.412404968141345</v>
      </c>
      <c r="H375" s="360">
        <f t="shared" ca="1" si="157"/>
        <v>244.01042869171204</v>
      </c>
      <c r="I375" s="357">
        <f t="shared" ca="1" si="158"/>
        <v>250.90456027038496</v>
      </c>
      <c r="J375" s="359">
        <f t="shared" ca="1" si="159"/>
        <v>112.95937482412332</v>
      </c>
      <c r="K375" s="360">
        <f t="shared" ca="1" si="160"/>
        <v>504.82610713434059</v>
      </c>
      <c r="L375" s="357">
        <f t="shared" ca="1" si="145"/>
        <v>517.30959666825197</v>
      </c>
      <c r="M375" s="359">
        <f t="shared" ca="1" si="161"/>
        <v>1.3358330545828949</v>
      </c>
      <c r="N375" s="357">
        <f t="shared" ca="1" si="162"/>
        <v>76.537596161668816</v>
      </c>
      <c r="O375" s="343"/>
      <c r="P375" s="363">
        <f t="shared" ca="1" si="163"/>
        <v>12</v>
      </c>
      <c r="Q375" s="357">
        <f t="shared" ca="1" si="164"/>
        <v>653.85333333333415</v>
      </c>
      <c r="R375" s="359">
        <f t="shared" ca="1" si="165"/>
        <v>0.32753622855063425</v>
      </c>
      <c r="S375" s="360">
        <f t="shared" ca="1" si="166"/>
        <v>9.8513441945949261</v>
      </c>
      <c r="T375" s="357">
        <f t="shared" ca="1" si="146"/>
        <v>96.641686548976224</v>
      </c>
      <c r="U375" s="364">
        <f t="shared" ca="1" si="147"/>
        <v>0</v>
      </c>
      <c r="V375" s="359">
        <f t="shared" ca="1" si="148"/>
        <v>1.1646813239957787</v>
      </c>
      <c r="W375" s="357">
        <f t="shared" ca="1" si="149"/>
        <v>165.96015776548708</v>
      </c>
      <c r="X375" s="343"/>
      <c r="Y375" s="367" t="str">
        <f t="shared" ca="1" si="167"/>
        <v/>
      </c>
      <c r="Z375" s="368" t="str">
        <f t="shared" ca="1" si="168"/>
        <v/>
      </c>
      <c r="AA375" s="369" t="str">
        <f t="shared" ca="1" si="169"/>
        <v/>
      </c>
      <c r="AB375" s="344"/>
      <c r="AC375" s="363" t="e">
        <f t="shared" ca="1" si="170"/>
        <v>#N/A</v>
      </c>
      <c r="AD375" s="376" t="e">
        <f t="shared" ca="1" si="171"/>
        <v>#N/A</v>
      </c>
      <c r="AE375" s="377">
        <f t="shared" ca="1" si="150"/>
        <v>504.82610713434059</v>
      </c>
      <c r="AF375" s="344"/>
      <c r="AG375" s="359">
        <f t="shared" ca="1" si="172"/>
        <v>40.034506565600822</v>
      </c>
      <c r="AH375" s="357">
        <f t="shared" ca="1" si="173"/>
        <v>49.575163907062525</v>
      </c>
    </row>
    <row r="376" spans="1:34" x14ac:dyDescent="0.25">
      <c r="A376" s="402">
        <f t="shared" ca="1" si="151"/>
        <v>0.01</v>
      </c>
      <c r="B376" s="357">
        <f t="shared" ca="1" si="152"/>
        <v>3.7199999999999647</v>
      </c>
      <c r="C376" s="342"/>
      <c r="D376" s="359">
        <f t="shared" ca="1" si="153"/>
        <v>11.528381453744194</v>
      </c>
      <c r="E376" s="360">
        <f t="shared" ca="1" si="154"/>
        <v>38.348354414339973</v>
      </c>
      <c r="F376" s="357">
        <f t="shared" ca="1" si="155"/>
        <v>40.04372441757711</v>
      </c>
      <c r="G376" s="359">
        <f t="shared" ca="1" si="156"/>
        <v>58.527688782678787</v>
      </c>
      <c r="H376" s="360">
        <f t="shared" ca="1" si="157"/>
        <v>244.39391223585542</v>
      </c>
      <c r="I376" s="357">
        <f t="shared" ca="1" si="158"/>
        <v>251.30434674352352</v>
      </c>
      <c r="J376" s="359">
        <f t="shared" ca="1" si="159"/>
        <v>113.54407529287742</v>
      </c>
      <c r="K376" s="360">
        <f t="shared" ca="1" si="160"/>
        <v>507.26812883897844</v>
      </c>
      <c r="L376" s="357">
        <f t="shared" ca="1" si="145"/>
        <v>519.82036471257356</v>
      </c>
      <c r="M376" s="359">
        <f t="shared" ca="1" si="161"/>
        <v>1.3357421751642717</v>
      </c>
      <c r="N376" s="357">
        <f t="shared" ca="1" si="162"/>
        <v>76.5323891545371</v>
      </c>
      <c r="O376" s="343"/>
      <c r="P376" s="363">
        <f t="shared" ca="1" si="163"/>
        <v>12</v>
      </c>
      <c r="Q376" s="357">
        <f t="shared" ca="1" si="164"/>
        <v>653.62666666666746</v>
      </c>
      <c r="R376" s="359">
        <f t="shared" ca="1" si="165"/>
        <v>0.32742268390483475</v>
      </c>
      <c r="S376" s="360">
        <f t="shared" ca="1" si="166"/>
        <v>9.8480699677558778</v>
      </c>
      <c r="T376" s="357">
        <f t="shared" ca="1" si="146"/>
        <v>96.609566383685163</v>
      </c>
      <c r="U376" s="364">
        <f t="shared" ca="1" si="147"/>
        <v>0</v>
      </c>
      <c r="V376" s="359">
        <f t="shared" ca="1" si="148"/>
        <v>1.1643967588541078</v>
      </c>
      <c r="W376" s="357">
        <f t="shared" ca="1" si="149"/>
        <v>166.44877636422183</v>
      </c>
      <c r="X376" s="343"/>
      <c r="Y376" s="367" t="str">
        <f t="shared" ca="1" si="167"/>
        <v/>
      </c>
      <c r="Z376" s="368" t="str">
        <f t="shared" ca="1" si="168"/>
        <v/>
      </c>
      <c r="AA376" s="369" t="str">
        <f t="shared" ca="1" si="169"/>
        <v/>
      </c>
      <c r="AB376" s="344"/>
      <c r="AC376" s="363" t="e">
        <f t="shared" ca="1" si="170"/>
        <v>#N/A</v>
      </c>
      <c r="AD376" s="376" t="e">
        <f t="shared" ca="1" si="171"/>
        <v>#N/A</v>
      </c>
      <c r="AE376" s="377">
        <f t="shared" ca="1" si="150"/>
        <v>507.26812883897844</v>
      </c>
      <c r="AF376" s="344"/>
      <c r="AG376" s="359">
        <f t="shared" ca="1" si="172"/>
        <v>39.978543536867257</v>
      </c>
      <c r="AH376" s="357">
        <f t="shared" ca="1" si="173"/>
        <v>49.518993112140429</v>
      </c>
    </row>
    <row r="377" spans="1:34" x14ac:dyDescent="0.25">
      <c r="A377" s="402">
        <f t="shared" ca="1" si="151"/>
        <v>0.01</v>
      </c>
      <c r="B377" s="357">
        <f t="shared" ca="1" si="152"/>
        <v>3.7299999999999645</v>
      </c>
      <c r="C377" s="342"/>
      <c r="D377" s="359">
        <f t="shared" ca="1" si="153"/>
        <v>11.519670989271388</v>
      </c>
      <c r="E377" s="360">
        <f t="shared" ca="1" si="154"/>
        <v>38.292659088276139</v>
      </c>
      <c r="F377" s="357">
        <f t="shared" ca="1" si="155"/>
        <v>39.98788016076869</v>
      </c>
      <c r="G377" s="359">
        <f t="shared" ca="1" si="156"/>
        <v>58.642885492571502</v>
      </c>
      <c r="H377" s="360">
        <f t="shared" ca="1" si="157"/>
        <v>244.77683882673819</v>
      </c>
      <c r="I377" s="357">
        <f t="shared" ca="1" si="158"/>
        <v>251.7035733653891</v>
      </c>
      <c r="J377" s="359">
        <f t="shared" ca="1" si="159"/>
        <v>114.12992816425367</v>
      </c>
      <c r="K377" s="360">
        <f t="shared" ca="1" si="160"/>
        <v>509.71398259429139</v>
      </c>
      <c r="L377" s="357">
        <f t="shared" ca="1" si="145"/>
        <v>522.33512667148023</v>
      </c>
      <c r="M377" s="359">
        <f t="shared" ca="1" si="161"/>
        <v>1.3356514054432274</v>
      </c>
      <c r="N377" s="357">
        <f t="shared" ca="1" si="162"/>
        <v>76.527188432613684</v>
      </c>
      <c r="O377" s="343"/>
      <c r="P377" s="363">
        <f t="shared" ca="1" si="163"/>
        <v>12</v>
      </c>
      <c r="Q377" s="357">
        <f t="shared" ca="1" si="164"/>
        <v>653.40000000000089</v>
      </c>
      <c r="R377" s="359">
        <f t="shared" ca="1" si="165"/>
        <v>0.32730913925903532</v>
      </c>
      <c r="S377" s="360">
        <f t="shared" ca="1" si="166"/>
        <v>9.8447968763632883</v>
      </c>
      <c r="T377" s="357">
        <f t="shared" ca="1" si="146"/>
        <v>96.577457357123862</v>
      </c>
      <c r="U377" s="364">
        <f t="shared" ca="1" si="147"/>
        <v>0</v>
      </c>
      <c r="V377" s="359">
        <f t="shared" ca="1" si="148"/>
        <v>1.1641118150932863</v>
      </c>
      <c r="W377" s="357">
        <f t="shared" ca="1" si="149"/>
        <v>166.93718169044428</v>
      </c>
      <c r="X377" s="343"/>
      <c r="Y377" s="367" t="str">
        <f t="shared" ca="1" si="167"/>
        <v/>
      </c>
      <c r="Z377" s="368" t="str">
        <f t="shared" ca="1" si="168"/>
        <v/>
      </c>
      <c r="AA377" s="369" t="str">
        <f t="shared" ca="1" si="169"/>
        <v/>
      </c>
      <c r="AB377" s="344"/>
      <c r="AC377" s="363" t="e">
        <f t="shared" ca="1" si="170"/>
        <v>#N/A</v>
      </c>
      <c r="AD377" s="376" t="e">
        <f t="shared" ca="1" si="171"/>
        <v>#N/A</v>
      </c>
      <c r="AE377" s="377">
        <f t="shared" ca="1" si="150"/>
        <v>509.71398259429139</v>
      </c>
      <c r="AF377" s="344"/>
      <c r="AG377" s="359">
        <f t="shared" ca="1" si="172"/>
        <v>39.922558495479656</v>
      </c>
      <c r="AH377" s="357">
        <f t="shared" ca="1" si="173"/>
        <v>49.46280047736861</v>
      </c>
    </row>
    <row r="378" spans="1:34" x14ac:dyDescent="0.25">
      <c r="A378" s="402">
        <f t="shared" ca="1" si="151"/>
        <v>0.01</v>
      </c>
      <c r="B378" s="357">
        <f t="shared" ca="1" si="152"/>
        <v>3.7399999999999642</v>
      </c>
      <c r="C378" s="342"/>
      <c r="D378" s="359">
        <f t="shared" ca="1" si="153"/>
        <v>11.510940238979892</v>
      </c>
      <c r="E378" s="360">
        <f t="shared" ca="1" si="154"/>
        <v>38.236946188858873</v>
      </c>
      <c r="F378" s="357">
        <f t="shared" ca="1" si="155"/>
        <v>39.932014712947499</v>
      </c>
      <c r="G378" s="359">
        <f t="shared" ca="1" si="156"/>
        <v>58.7579948949613</v>
      </c>
      <c r="H378" s="360">
        <f t="shared" ca="1" si="157"/>
        <v>245.15920828862679</v>
      </c>
      <c r="I378" s="357">
        <f t="shared" ca="1" si="158"/>
        <v>252.10223992020101</v>
      </c>
      <c r="J378" s="359">
        <f t="shared" ca="1" si="159"/>
        <v>114.71693256619133</v>
      </c>
      <c r="K378" s="360">
        <f t="shared" ca="1" si="160"/>
        <v>512.16366282986826</v>
      </c>
      <c r="L378" s="357">
        <f t="shared" ca="1" si="145"/>
        <v>524.85387694167127</v>
      </c>
      <c r="M378" s="359">
        <f t="shared" ca="1" si="161"/>
        <v>1.335560744913181</v>
      </c>
      <c r="N378" s="357">
        <f t="shared" ca="1" si="162"/>
        <v>76.521993966873609</v>
      </c>
      <c r="O378" s="343"/>
      <c r="P378" s="363">
        <f t="shared" ca="1" si="163"/>
        <v>12</v>
      </c>
      <c r="Q378" s="357">
        <f t="shared" ca="1" si="164"/>
        <v>653.1733333333342</v>
      </c>
      <c r="R378" s="359">
        <f t="shared" ca="1" si="165"/>
        <v>0.32719559461323577</v>
      </c>
      <c r="S378" s="360">
        <f t="shared" ca="1" si="166"/>
        <v>9.8415249204171555</v>
      </c>
      <c r="T378" s="357">
        <f t="shared" ca="1" si="146"/>
        <v>96.545359469292308</v>
      </c>
      <c r="U378" s="364">
        <f t="shared" ca="1" si="147"/>
        <v>0</v>
      </c>
      <c r="V378" s="359">
        <f t="shared" ca="1" si="148"/>
        <v>1.1638264936571754</v>
      </c>
      <c r="W378" s="357">
        <f t="shared" ca="1" si="149"/>
        <v>167.42536947110938</v>
      </c>
      <c r="X378" s="343"/>
      <c r="Y378" s="367" t="str">
        <f t="shared" ca="1" si="167"/>
        <v/>
      </c>
      <c r="Z378" s="368" t="str">
        <f t="shared" ca="1" si="168"/>
        <v/>
      </c>
      <c r="AA378" s="369" t="str">
        <f t="shared" ca="1" si="169"/>
        <v/>
      </c>
      <c r="AB378" s="344"/>
      <c r="AC378" s="363" t="e">
        <f t="shared" ca="1" si="170"/>
        <v>#N/A</v>
      </c>
      <c r="AD378" s="376" t="e">
        <f t="shared" ca="1" si="171"/>
        <v>#N/A</v>
      </c>
      <c r="AE378" s="377">
        <f t="shared" ca="1" si="150"/>
        <v>512.16366282986826</v>
      </c>
      <c r="AF378" s="344"/>
      <c r="AG378" s="359">
        <f t="shared" ca="1" si="172"/>
        <v>39.866551875592549</v>
      </c>
      <c r="AH378" s="357">
        <f t="shared" ca="1" si="173"/>
        <v>49.406586436025577</v>
      </c>
    </row>
    <row r="379" spans="1:34" x14ac:dyDescent="0.25">
      <c r="A379" s="402">
        <f t="shared" ca="1" si="151"/>
        <v>0.01</v>
      </c>
      <c r="B379" s="357">
        <f t="shared" ca="1" si="152"/>
        <v>3.749999999999964</v>
      </c>
      <c r="C379" s="342"/>
      <c r="D379" s="359">
        <f t="shared" ca="1" si="153"/>
        <v>11.50218934092322</v>
      </c>
      <c r="E379" s="360">
        <f t="shared" ca="1" si="154"/>
        <v>38.18121613063132</v>
      </c>
      <c r="F379" s="357">
        <f t="shared" ca="1" si="155"/>
        <v>39.876128508776134</v>
      </c>
      <c r="G379" s="359">
        <f t="shared" ca="1" si="156"/>
        <v>58.873016788370535</v>
      </c>
      <c r="H379" s="360">
        <f t="shared" ca="1" si="157"/>
        <v>245.54102044993309</v>
      </c>
      <c r="I379" s="357">
        <f t="shared" ca="1" si="158"/>
        <v>252.5003461965116</v>
      </c>
      <c r="J379" s="359">
        <f t="shared" ca="1" si="159"/>
        <v>115.30508762460799</v>
      </c>
      <c r="K379" s="360">
        <f t="shared" ca="1" si="160"/>
        <v>514.61716397356111</v>
      </c>
      <c r="L379" s="357">
        <f t="shared" ca="1" si="145"/>
        <v>527.37660991772248</v>
      </c>
      <c r="M379" s="359">
        <f t="shared" ca="1" si="161"/>
        <v>1.3354701930704076</v>
      </c>
      <c r="N379" s="357">
        <f t="shared" ca="1" si="162"/>
        <v>76.516805728455552</v>
      </c>
      <c r="O379" s="343"/>
      <c r="P379" s="363">
        <f t="shared" ca="1" si="163"/>
        <v>12</v>
      </c>
      <c r="Q379" s="357">
        <f t="shared" ca="1" si="164"/>
        <v>652.94666666666751</v>
      </c>
      <c r="R379" s="359">
        <f t="shared" ca="1" si="165"/>
        <v>0.32708204996743628</v>
      </c>
      <c r="S379" s="360">
        <f t="shared" ca="1" si="166"/>
        <v>9.8382540999174815</v>
      </c>
      <c r="T379" s="357">
        <f t="shared" ca="1" si="146"/>
        <v>96.5132727201905</v>
      </c>
      <c r="U379" s="364">
        <f t="shared" ca="1" si="147"/>
        <v>0</v>
      </c>
      <c r="V379" s="359">
        <f t="shared" ca="1" si="148"/>
        <v>1.1635407954895021</v>
      </c>
      <c r="W379" s="357">
        <f t="shared" ca="1" si="149"/>
        <v>167.91333544733138</v>
      </c>
      <c r="X379" s="343"/>
      <c r="Y379" s="367" t="str">
        <f t="shared" ca="1" si="167"/>
        <v/>
      </c>
      <c r="Z379" s="368" t="str">
        <f t="shared" ca="1" si="168"/>
        <v/>
      </c>
      <c r="AA379" s="369" t="str">
        <f t="shared" ca="1" si="169"/>
        <v/>
      </c>
      <c r="AB379" s="344"/>
      <c r="AC379" s="363" t="e">
        <f t="shared" ca="1" si="170"/>
        <v>#N/A</v>
      </c>
      <c r="AD379" s="376" t="e">
        <f t="shared" ca="1" si="171"/>
        <v>#N/A</v>
      </c>
      <c r="AE379" s="377">
        <f t="shared" ca="1" si="150"/>
        <v>514.61716397356111</v>
      </c>
      <c r="AF379" s="344"/>
      <c r="AG379" s="359">
        <f t="shared" ca="1" si="172"/>
        <v>39.810524110512489</v>
      </c>
      <c r="AH379" s="357">
        <f t="shared" ca="1" si="173"/>
        <v>49.350351420546296</v>
      </c>
    </row>
    <row r="380" spans="1:34" x14ac:dyDescent="0.25">
      <c r="A380" s="402">
        <f t="shared" ca="1" si="151"/>
        <v>0.01</v>
      </c>
      <c r="B380" s="357">
        <f t="shared" ca="1" si="152"/>
        <v>3.7599999999999638</v>
      </c>
      <c r="C380" s="342"/>
      <c r="D380" s="359">
        <f t="shared" ca="1" si="153"/>
        <v>11.493418432871609</v>
      </c>
      <c r="E380" s="360">
        <f t="shared" ca="1" si="154"/>
        <v>38.125469327313773</v>
      </c>
      <c r="F380" s="357">
        <f t="shared" ca="1" si="155"/>
        <v>39.820221982066052</v>
      </c>
      <c r="G380" s="359">
        <f t="shared" ca="1" si="156"/>
        <v>58.987950972699252</v>
      </c>
      <c r="H380" s="360">
        <f t="shared" ca="1" si="157"/>
        <v>245.92227514320624</v>
      </c>
      <c r="I380" s="357">
        <f t="shared" ca="1" si="158"/>
        <v>252.89789198719788</v>
      </c>
      <c r="J380" s="359">
        <f t="shared" ca="1" si="159"/>
        <v>115.89439246341334</v>
      </c>
      <c r="K380" s="360">
        <f t="shared" ca="1" si="160"/>
        <v>517.07448045152682</v>
      </c>
      <c r="L380" s="357">
        <f t="shared" ca="1" si="145"/>
        <v>529.90331999212844</v>
      </c>
      <c r="M380" s="359">
        <f t="shared" ca="1" si="161"/>
        <v>1.335379749414018</v>
      </c>
      <c r="N380" s="357">
        <f t="shared" ca="1" si="162"/>
        <v>76.511623688660706</v>
      </c>
      <c r="O380" s="343"/>
      <c r="P380" s="363">
        <f t="shared" ca="1" si="163"/>
        <v>12</v>
      </c>
      <c r="Q380" s="357">
        <f t="shared" ca="1" si="164"/>
        <v>652.72000000000082</v>
      </c>
      <c r="R380" s="359">
        <f t="shared" ca="1" si="165"/>
        <v>0.32696850532163679</v>
      </c>
      <c r="S380" s="360">
        <f t="shared" ca="1" si="166"/>
        <v>9.8349844148642642</v>
      </c>
      <c r="T380" s="357">
        <f t="shared" ca="1" si="146"/>
        <v>96.481197109818439</v>
      </c>
      <c r="U380" s="364">
        <f t="shared" ca="1" si="147"/>
        <v>0</v>
      </c>
      <c r="V380" s="359">
        <f t="shared" ca="1" si="148"/>
        <v>1.1632547215338489</v>
      </c>
      <c r="W380" s="357">
        <f t="shared" ca="1" si="149"/>
        <v>168.40107537442449</v>
      </c>
      <c r="X380" s="343"/>
      <c r="Y380" s="367" t="str">
        <f t="shared" ca="1" si="167"/>
        <v/>
      </c>
      <c r="Z380" s="368" t="str">
        <f t="shared" ca="1" si="168"/>
        <v/>
      </c>
      <c r="AA380" s="369" t="str">
        <f t="shared" ca="1" si="169"/>
        <v/>
      </c>
      <c r="AB380" s="344"/>
      <c r="AC380" s="363" t="e">
        <f t="shared" ca="1" si="170"/>
        <v>#N/A</v>
      </c>
      <c r="AD380" s="376" t="e">
        <f t="shared" ca="1" si="171"/>
        <v>#N/A</v>
      </c>
      <c r="AE380" s="377">
        <f t="shared" ca="1" si="150"/>
        <v>517.07448045152682</v>
      </c>
      <c r="AF380" s="344"/>
      <c r="AG380" s="359">
        <f t="shared" ca="1" si="172"/>
        <v>39.754475632691801</v>
      </c>
      <c r="AH380" s="357">
        <f t="shared" ca="1" si="173"/>
        <v>49.294095862515952</v>
      </c>
    </row>
    <row r="381" spans="1:34" x14ac:dyDescent="0.25">
      <c r="A381" s="402">
        <f t="shared" ca="1" si="151"/>
        <v>0.01</v>
      </c>
      <c r="B381" s="357">
        <f t="shared" ca="1" si="152"/>
        <v>3.7699999999999636</v>
      </c>
      <c r="C381" s="342"/>
      <c r="D381" s="359">
        <f t="shared" ca="1" si="153"/>
        <v>11.484627652311406</v>
      </c>
      <c r="E381" s="360">
        <f t="shared" ca="1" si="154"/>
        <v>38.069706191797607</v>
      </c>
      <c r="F381" s="357">
        <f t="shared" ca="1" si="155"/>
        <v>39.76429556577142</v>
      </c>
      <c r="G381" s="359">
        <f t="shared" ca="1" si="156"/>
        <v>59.10279724922237</v>
      </c>
      <c r="H381" s="360">
        <f t="shared" ca="1" si="157"/>
        <v>246.30297220512421</v>
      </c>
      <c r="I381" s="357">
        <f t="shared" ca="1" si="158"/>
        <v>253.29487708945254</v>
      </c>
      <c r="J381" s="359">
        <f t="shared" ca="1" si="159"/>
        <v>116.48484620452295</v>
      </c>
      <c r="K381" s="360">
        <f t="shared" ca="1" si="160"/>
        <v>519.53560668826844</v>
      </c>
      <c r="L381" s="357">
        <f t="shared" ca="1" si="145"/>
        <v>532.4340015553463</v>
      </c>
      <c r="M381" s="359">
        <f t="shared" ca="1" si="161"/>
        <v>1.335289413445935</v>
      </c>
      <c r="N381" s="357">
        <f t="shared" ca="1" si="162"/>
        <v>76.506447818951315</v>
      </c>
      <c r="O381" s="343"/>
      <c r="P381" s="363">
        <f t="shared" ca="1" si="163"/>
        <v>12</v>
      </c>
      <c r="Q381" s="357">
        <f t="shared" ca="1" si="164"/>
        <v>652.49333333333425</v>
      </c>
      <c r="R381" s="359">
        <f t="shared" ca="1" si="165"/>
        <v>0.32685496067583736</v>
      </c>
      <c r="S381" s="360">
        <f t="shared" ca="1" si="166"/>
        <v>9.8317158652575056</v>
      </c>
      <c r="T381" s="357">
        <f t="shared" ca="1" si="146"/>
        <v>96.449132638176138</v>
      </c>
      <c r="U381" s="364">
        <f t="shared" ca="1" si="147"/>
        <v>0</v>
      </c>
      <c r="V381" s="359">
        <f t="shared" ca="1" si="148"/>
        <v>1.1629682727336497</v>
      </c>
      <c r="W381" s="357">
        <f t="shared" ca="1" si="149"/>
        <v>168.88858502194364</v>
      </c>
      <c r="X381" s="343"/>
      <c r="Y381" s="367" t="str">
        <f t="shared" ca="1" si="167"/>
        <v/>
      </c>
      <c r="Z381" s="368" t="str">
        <f t="shared" ca="1" si="168"/>
        <v/>
      </c>
      <c r="AA381" s="369" t="str">
        <f t="shared" ca="1" si="169"/>
        <v/>
      </c>
      <c r="AB381" s="344"/>
      <c r="AC381" s="363" t="e">
        <f t="shared" ca="1" si="170"/>
        <v>#N/A</v>
      </c>
      <c r="AD381" s="376" t="e">
        <f t="shared" ca="1" si="171"/>
        <v>#N/A</v>
      </c>
      <c r="AE381" s="377">
        <f t="shared" ca="1" si="150"/>
        <v>519.53560668826844</v>
      </c>
      <c r="AF381" s="344"/>
      <c r="AG381" s="359">
        <f t="shared" ca="1" si="172"/>
        <v>39.698406873722568</v>
      </c>
      <c r="AH381" s="357">
        <f t="shared" ca="1" si="173"/>
        <v>49.237820192663868</v>
      </c>
    </row>
    <row r="382" spans="1:34" x14ac:dyDescent="0.25">
      <c r="A382" s="402">
        <f t="shared" ca="1" si="151"/>
        <v>0.01</v>
      </c>
      <c r="B382" s="357">
        <f t="shared" ca="1" si="152"/>
        <v>3.7799999999999634</v>
      </c>
      <c r="C382" s="342"/>
      <c r="D382" s="359">
        <f t="shared" ca="1" si="153"/>
        <v>11.475817136444689</v>
      </c>
      <c r="E382" s="360">
        <f t="shared" ca="1" si="154"/>
        <v>38.013927136139273</v>
      </c>
      <c r="F382" s="357">
        <f t="shared" ca="1" si="155"/>
        <v>39.708349691983216</v>
      </c>
      <c r="G382" s="359">
        <f t="shared" ca="1" si="156"/>
        <v>59.21755542058682</v>
      </c>
      <c r="H382" s="360">
        <f t="shared" ca="1" si="157"/>
        <v>246.68311147648561</v>
      </c>
      <c r="I382" s="357">
        <f t="shared" ca="1" si="158"/>
        <v>253.69130130477572</v>
      </c>
      <c r="J382" s="359">
        <f t="shared" ca="1" si="159"/>
        <v>117.076447967872</v>
      </c>
      <c r="K382" s="360">
        <f t="shared" ca="1" si="160"/>
        <v>522.00053710667646</v>
      </c>
      <c r="L382" s="357">
        <f t="shared" ca="1" si="145"/>
        <v>534.96864899583841</v>
      </c>
      <c r="M382" s="359">
        <f t="shared" ca="1" si="161"/>
        <v>1.3351991846708746</v>
      </c>
      <c r="N382" s="357">
        <f t="shared" ca="1" si="162"/>
        <v>76.501278090949725</v>
      </c>
      <c r="O382" s="343"/>
      <c r="P382" s="363">
        <f t="shared" ca="1" si="163"/>
        <v>12</v>
      </c>
      <c r="Q382" s="357">
        <f t="shared" ca="1" si="164"/>
        <v>652.26666666666756</v>
      </c>
      <c r="R382" s="359">
        <f t="shared" ca="1" si="165"/>
        <v>0.32674141603003787</v>
      </c>
      <c r="S382" s="360">
        <f t="shared" ca="1" si="166"/>
        <v>9.8284484510972057</v>
      </c>
      <c r="T382" s="357">
        <f t="shared" ca="1" si="146"/>
        <v>96.417079305263599</v>
      </c>
      <c r="U382" s="364">
        <f t="shared" ca="1" si="147"/>
        <v>0</v>
      </c>
      <c r="V382" s="359">
        <f t="shared" ca="1" si="148"/>
        <v>1.1626814500321778</v>
      </c>
      <c r="W382" s="357">
        <f t="shared" ca="1" si="149"/>
        <v>169.37586017372422</v>
      </c>
      <c r="X382" s="343"/>
      <c r="Y382" s="367" t="str">
        <f t="shared" ca="1" si="167"/>
        <v/>
      </c>
      <c r="Z382" s="368" t="str">
        <f t="shared" ca="1" si="168"/>
        <v/>
      </c>
      <c r="AA382" s="369" t="str">
        <f t="shared" ca="1" si="169"/>
        <v/>
      </c>
      <c r="AB382" s="344"/>
      <c r="AC382" s="363" t="e">
        <f t="shared" ca="1" si="170"/>
        <v>#N/A</v>
      </c>
      <c r="AD382" s="376" t="e">
        <f t="shared" ca="1" si="171"/>
        <v>#N/A</v>
      </c>
      <c r="AE382" s="377">
        <f t="shared" ca="1" si="150"/>
        <v>522.00053710667646</v>
      </c>
      <c r="AF382" s="344"/>
      <c r="AG382" s="359">
        <f t="shared" ca="1" si="172"/>
        <v>39.642318264330569</v>
      </c>
      <c r="AH382" s="357">
        <f t="shared" ca="1" si="173"/>
        <v>49.181524840857428</v>
      </c>
    </row>
    <row r="383" spans="1:34" x14ac:dyDescent="0.25">
      <c r="A383" s="402">
        <f t="shared" ca="1" si="151"/>
        <v>0.01</v>
      </c>
      <c r="B383" s="357">
        <f t="shared" ca="1" si="152"/>
        <v>3.7899999999999632</v>
      </c>
      <c r="C383" s="342"/>
      <c r="D383" s="359">
        <f t="shared" ca="1" si="153"/>
        <v>11.466987022188608</v>
      </c>
      <c r="E383" s="360">
        <f t="shared" ca="1" si="154"/>
        <v>37.958132571554486</v>
      </c>
      <c r="F383" s="357">
        <f t="shared" ca="1" si="155"/>
        <v>39.652384791923268</v>
      </c>
      <c r="G383" s="359">
        <f t="shared" ca="1" si="156"/>
        <v>59.332225290808708</v>
      </c>
      <c r="H383" s="360">
        <f t="shared" ca="1" si="157"/>
        <v>247.06269280220116</v>
      </c>
      <c r="I383" s="357">
        <f t="shared" ca="1" si="158"/>
        <v>254.08716443896591</v>
      </c>
      <c r="J383" s="359">
        <f t="shared" ca="1" si="159"/>
        <v>117.66919687142898</v>
      </c>
      <c r="K383" s="360">
        <f t="shared" ca="1" si="160"/>
        <v>524.46926612806988</v>
      </c>
      <c r="L383" s="357">
        <f t="shared" ca="1" si="145"/>
        <v>537.50725670011491</v>
      </c>
      <c r="M383" s="359">
        <f t="shared" ca="1" si="161"/>
        <v>1.3351090625963227</v>
      </c>
      <c r="N383" s="357">
        <f t="shared" ca="1" si="162"/>
        <v>76.496114476436929</v>
      </c>
      <c r="O383" s="343"/>
      <c r="P383" s="363">
        <f t="shared" ca="1" si="163"/>
        <v>12</v>
      </c>
      <c r="Q383" s="357">
        <f t="shared" ca="1" si="164"/>
        <v>652.04000000000087</v>
      </c>
      <c r="R383" s="359">
        <f t="shared" ca="1" si="165"/>
        <v>0.32662787138423838</v>
      </c>
      <c r="S383" s="360">
        <f t="shared" ca="1" si="166"/>
        <v>9.8251821723833626</v>
      </c>
      <c r="T383" s="357">
        <f t="shared" ca="1" si="146"/>
        <v>96.385037111080791</v>
      </c>
      <c r="U383" s="364">
        <f t="shared" ca="1" si="147"/>
        <v>0</v>
      </c>
      <c r="V383" s="359">
        <f t="shared" ca="1" si="148"/>
        <v>1.162394254372543</v>
      </c>
      <c r="W383" s="357">
        <f t="shared" ca="1" si="149"/>
        <v>169.86289662792186</v>
      </c>
      <c r="X383" s="343"/>
      <c r="Y383" s="367" t="str">
        <f t="shared" ca="1" si="167"/>
        <v/>
      </c>
      <c r="Z383" s="368" t="str">
        <f t="shared" ca="1" si="168"/>
        <v/>
      </c>
      <c r="AA383" s="369" t="str">
        <f t="shared" ca="1" si="169"/>
        <v/>
      </c>
      <c r="AB383" s="344"/>
      <c r="AC383" s="363" t="e">
        <f t="shared" ca="1" si="170"/>
        <v>#N/A</v>
      </c>
      <c r="AD383" s="376" t="e">
        <f t="shared" ca="1" si="171"/>
        <v>#N/A</v>
      </c>
      <c r="AE383" s="377">
        <f t="shared" ca="1" si="150"/>
        <v>524.46926612806988</v>
      </c>
      <c r="AF383" s="344"/>
      <c r="AG383" s="359">
        <f t="shared" ca="1" si="172"/>
        <v>39.586210234369382</v>
      </c>
      <c r="AH383" s="357">
        <f t="shared" ca="1" si="173"/>
        <v>49.125210236096159</v>
      </c>
    </row>
    <row r="384" spans="1:34" x14ac:dyDescent="0.25">
      <c r="A384" s="402">
        <f t="shared" ca="1" si="151"/>
        <v>0.01</v>
      </c>
      <c r="B384" s="357">
        <f t="shared" ca="1" si="152"/>
        <v>3.799999999999963</v>
      </c>
      <c r="C384" s="342"/>
      <c r="D384" s="359">
        <f t="shared" ca="1" si="153"/>
        <v>11.458137446174984</v>
      </c>
      <c r="E384" s="360">
        <f t="shared" ca="1" si="154"/>
        <v>37.902322908412195</v>
      </c>
      <c r="F384" s="357">
        <f t="shared" ca="1" si="155"/>
        <v>39.596401295938314</v>
      </c>
      <c r="G384" s="359">
        <f t="shared" ca="1" si="156"/>
        <v>59.446806665270458</v>
      </c>
      <c r="H384" s="360">
        <f t="shared" ca="1" si="157"/>
        <v>247.44171603128527</v>
      </c>
      <c r="I384" s="357">
        <f t="shared" ca="1" si="158"/>
        <v>254.48246630211139</v>
      </c>
      <c r="J384" s="359">
        <f t="shared" ca="1" si="159"/>
        <v>118.26309203120938</v>
      </c>
      <c r="K384" s="360">
        <f t="shared" ca="1" si="160"/>
        <v>526.94178817223735</v>
      </c>
      <c r="L384" s="357">
        <f t="shared" ca="1" si="145"/>
        <v>540.04981905277714</v>
      </c>
      <c r="M384" s="359">
        <f t="shared" ca="1" si="161"/>
        <v>1.335019046732516</v>
      </c>
      <c r="N384" s="357">
        <f t="shared" ca="1" si="162"/>
        <v>76.490956947351577</v>
      </c>
      <c r="O384" s="343"/>
      <c r="P384" s="363">
        <f t="shared" ca="1" si="163"/>
        <v>12</v>
      </c>
      <c r="Q384" s="357">
        <f t="shared" ca="1" si="164"/>
        <v>651.81333333333419</v>
      </c>
      <c r="R384" s="359">
        <f t="shared" ca="1" si="165"/>
        <v>0.32651432673843889</v>
      </c>
      <c r="S384" s="360">
        <f t="shared" ca="1" si="166"/>
        <v>9.8219170291159781</v>
      </c>
      <c r="T384" s="357">
        <f t="shared" ca="1" si="146"/>
        <v>96.353006055627745</v>
      </c>
      <c r="U384" s="364">
        <f t="shared" ca="1" si="147"/>
        <v>0</v>
      </c>
      <c r="V384" s="359">
        <f t="shared" ca="1" si="148"/>
        <v>1.162106686697681</v>
      </c>
      <c r="W384" s="357">
        <f t="shared" ca="1" si="149"/>
        <v>170.34969019705125</v>
      </c>
      <c r="X384" s="343"/>
      <c r="Y384" s="367" t="str">
        <f t="shared" ca="1" si="167"/>
        <v/>
      </c>
      <c r="Z384" s="368" t="str">
        <f t="shared" ca="1" si="168"/>
        <v/>
      </c>
      <c r="AA384" s="369" t="str">
        <f t="shared" ca="1" si="169"/>
        <v/>
      </c>
      <c r="AB384" s="344"/>
      <c r="AC384" s="363" t="e">
        <f t="shared" ca="1" si="170"/>
        <v>#N/A</v>
      </c>
      <c r="AD384" s="376" t="e">
        <f t="shared" ca="1" si="171"/>
        <v>#N/A</v>
      </c>
      <c r="AE384" s="377">
        <f t="shared" ca="1" si="150"/>
        <v>526.94178817223735</v>
      </c>
      <c r="AF384" s="344"/>
      <c r="AG384" s="359">
        <f t="shared" ca="1" si="172"/>
        <v>39.530083212814411</v>
      </c>
      <c r="AH384" s="357">
        <f t="shared" ca="1" si="173"/>
        <v>49.068876806505699</v>
      </c>
    </row>
    <row r="385" spans="1:34" x14ac:dyDescent="0.25">
      <c r="A385" s="402">
        <f t="shared" ca="1" si="151"/>
        <v>0.01</v>
      </c>
      <c r="B385" s="357">
        <f t="shared" ca="1" si="152"/>
        <v>3.8099999999999627</v>
      </c>
      <c r="C385" s="342"/>
      <c r="D385" s="359">
        <f t="shared" ca="1" si="153"/>
        <v>11.435545512379989</v>
      </c>
      <c r="E385" s="360">
        <f t="shared" ca="1" si="154"/>
        <v>37.789377730583332</v>
      </c>
      <c r="F385" s="357">
        <f t="shared" ca="1" si="155"/>
        <v>39.481752372842088</v>
      </c>
      <c r="G385" s="359">
        <f t="shared" ca="1" si="156"/>
        <v>59.561162120394258</v>
      </c>
      <c r="H385" s="360">
        <f t="shared" ca="1" si="157"/>
        <v>247.81960980859111</v>
      </c>
      <c r="I385" s="357">
        <f t="shared" ca="1" si="158"/>
        <v>254.87661924706674</v>
      </c>
      <c r="J385" s="359">
        <f t="shared" ca="1" si="159"/>
        <v>118.8581318751377</v>
      </c>
      <c r="K385" s="360">
        <f t="shared" ca="1" si="160"/>
        <v>529.41809480143672</v>
      </c>
      <c r="L385" s="357">
        <f t="shared" ca="1" si="145"/>
        <v>542.59632749957927</v>
      </c>
      <c r="M385" s="359">
        <f t="shared" ca="1" si="161"/>
        <v>1.3349291363851876</v>
      </c>
      <c r="N385" s="357">
        <f t="shared" ca="1" si="162"/>
        <v>76.485805463915113</v>
      </c>
      <c r="O385" s="343"/>
      <c r="P385" s="363">
        <f t="shared" ca="1" si="163"/>
        <v>13</v>
      </c>
      <c r="Q385" s="357">
        <f t="shared" ca="1" si="164"/>
        <v>651.01000000000511</v>
      </c>
      <c r="R385" s="359">
        <f t="shared" ca="1" si="165"/>
        <v>0.32611191115553406</v>
      </c>
      <c r="S385" s="360">
        <f t="shared" ca="1" si="166"/>
        <v>9.8186559100044235</v>
      </c>
      <c r="T385" s="357">
        <f t="shared" ca="1" si="146"/>
        <v>96.321014477143393</v>
      </c>
      <c r="U385" s="364">
        <f t="shared" ca="1" si="147"/>
        <v>0</v>
      </c>
      <c r="V385" s="359">
        <f t="shared" ca="1" si="148"/>
        <v>1.1618187482823992</v>
      </c>
      <c r="W385" s="357">
        <f t="shared" ca="1" si="149"/>
        <v>170.83544924352114</v>
      </c>
      <c r="X385" s="343"/>
      <c r="Y385" s="367" t="str">
        <f t="shared" ca="1" si="167"/>
        <v/>
      </c>
      <c r="Z385" s="368" t="str">
        <f t="shared" ca="1" si="168"/>
        <v/>
      </c>
      <c r="AA385" s="369" t="str">
        <f t="shared" ca="1" si="169"/>
        <v/>
      </c>
      <c r="AB385" s="344"/>
      <c r="AC385" s="363" t="e">
        <f t="shared" ca="1" si="170"/>
        <v>#N/A</v>
      </c>
      <c r="AD385" s="376" t="e">
        <f t="shared" ca="1" si="171"/>
        <v>#N/A</v>
      </c>
      <c r="AE385" s="377">
        <f t="shared" ca="1" si="150"/>
        <v>529.41809480143672</v>
      </c>
      <c r="AF385" s="344"/>
      <c r="AG385" s="359">
        <f t="shared" ca="1" si="172"/>
        <v>39.415191476054595</v>
      </c>
      <c r="AH385" s="357">
        <f t="shared" ca="1" si="173"/>
        <v>48.953778827629506</v>
      </c>
    </row>
    <row r="386" spans="1:34" x14ac:dyDescent="0.25">
      <c r="A386" s="402">
        <f t="shared" ca="1" si="151"/>
        <v>0.01</v>
      </c>
      <c r="B386" s="357">
        <f t="shared" ca="1" si="152"/>
        <v>3.8199999999999625</v>
      </c>
      <c r="C386" s="342"/>
      <c r="D386" s="359">
        <f t="shared" ca="1" si="153"/>
        <v>11.399197698022412</v>
      </c>
      <c r="E386" s="360">
        <f t="shared" ca="1" si="154"/>
        <v>37.619308379589519</v>
      </c>
      <c r="F386" s="357">
        <f t="shared" ca="1" si="155"/>
        <v>39.308447833986705</v>
      </c>
      <c r="G386" s="359">
        <f t="shared" ca="1" si="156"/>
        <v>59.675154097374481</v>
      </c>
      <c r="H386" s="360">
        <f t="shared" ca="1" si="157"/>
        <v>248.19580289238701</v>
      </c>
      <c r="I386" s="357">
        <f t="shared" ca="1" si="158"/>
        <v>255.26903570535541</v>
      </c>
      <c r="J386" s="359">
        <f t="shared" ca="1" si="159"/>
        <v>119.45431345622654</v>
      </c>
      <c r="K386" s="360">
        <f t="shared" ca="1" si="160"/>
        <v>531.89817186494156</v>
      </c>
      <c r="L386" s="357">
        <f t="shared" ca="1" si="145"/>
        <v>545.14676761085661</v>
      </c>
      <c r="M386" s="359">
        <f t="shared" ca="1" si="161"/>
        <v>1.3348393306577384</v>
      </c>
      <c r="N386" s="357">
        <f t="shared" ca="1" si="162"/>
        <v>76.480659974756165</v>
      </c>
      <c r="O386" s="343"/>
      <c r="P386" s="363">
        <f t="shared" ca="1" si="163"/>
        <v>13</v>
      </c>
      <c r="Q386" s="357">
        <f t="shared" ca="1" si="164"/>
        <v>649.63000000000523</v>
      </c>
      <c r="R386" s="359">
        <f t="shared" ca="1" si="165"/>
        <v>0.32542062463551963</v>
      </c>
      <c r="S386" s="360">
        <f t="shared" ca="1" si="166"/>
        <v>9.8154017037580683</v>
      </c>
      <c r="T386" s="357">
        <f t="shared" ca="1" si="146"/>
        <v>96.289090713866656</v>
      </c>
      <c r="U386" s="364">
        <f t="shared" ca="1" si="147"/>
        <v>0</v>
      </c>
      <c r="V386" s="359">
        <f t="shared" ca="1" si="148"/>
        <v>1.1615304410648781</v>
      </c>
      <c r="W386" s="357">
        <f t="shared" ca="1" si="149"/>
        <v>171.31937826460072</v>
      </c>
      <c r="X386" s="343"/>
      <c r="Y386" s="367" t="str">
        <f t="shared" ca="1" si="167"/>
        <v/>
      </c>
      <c r="Z386" s="368" t="str">
        <f t="shared" ca="1" si="168"/>
        <v/>
      </c>
      <c r="AA386" s="369" t="str">
        <f t="shared" ca="1" si="169"/>
        <v/>
      </c>
      <c r="AB386" s="344"/>
      <c r="AC386" s="363" t="e">
        <f t="shared" ca="1" si="170"/>
        <v>#N/A</v>
      </c>
      <c r="AD386" s="376" t="e">
        <f t="shared" ca="1" si="171"/>
        <v>#N/A</v>
      </c>
      <c r="AE386" s="377">
        <f t="shared" ca="1" si="150"/>
        <v>531.89817186494156</v>
      </c>
      <c r="AF386" s="344"/>
      <c r="AG386" s="359">
        <f t="shared" ca="1" si="172"/>
        <v>39.24154289075058</v>
      </c>
      <c r="AH386" s="357">
        <f t="shared" ca="1" si="173"/>
        <v>48.779924164811902</v>
      </c>
    </row>
    <row r="387" spans="1:34" x14ac:dyDescent="0.25">
      <c r="A387" s="402">
        <f t="shared" ca="1" si="151"/>
        <v>0.01</v>
      </c>
      <c r="B387" s="357">
        <f t="shared" ca="1" si="152"/>
        <v>3.8299999999999623</v>
      </c>
      <c r="C387" s="342"/>
      <c r="D387" s="359">
        <f t="shared" ca="1" si="153"/>
        <v>11.362823086724278</v>
      </c>
      <c r="E387" s="360">
        <f t="shared" ca="1" si="154"/>
        <v>37.449283059945422</v>
      </c>
      <c r="F387" s="357">
        <f t="shared" ca="1" si="155"/>
        <v>39.13518302249409</v>
      </c>
      <c r="G387" s="359">
        <f t="shared" ca="1" si="156"/>
        <v>59.788782328241723</v>
      </c>
      <c r="H387" s="360">
        <f t="shared" ca="1" si="157"/>
        <v>248.57029572298646</v>
      </c>
      <c r="I387" s="357">
        <f t="shared" ca="1" si="158"/>
        <v>255.65971604479813</v>
      </c>
      <c r="J387" s="359">
        <f t="shared" ca="1" si="159"/>
        <v>120.05163313835463</v>
      </c>
      <c r="K387" s="360">
        <f t="shared" ca="1" si="160"/>
        <v>534.38200235801844</v>
      </c>
      <c r="L387" s="357">
        <f t="shared" ca="1" si="145"/>
        <v>547.70112202126381</v>
      </c>
      <c r="M387" s="359">
        <f t="shared" ca="1" si="161"/>
        <v>1.3347496286596228</v>
      </c>
      <c r="N387" s="357">
        <f t="shared" ca="1" si="162"/>
        <v>76.475520428850245</v>
      </c>
      <c r="O387" s="343"/>
      <c r="P387" s="363">
        <f t="shared" ca="1" si="163"/>
        <v>13</v>
      </c>
      <c r="Q387" s="357">
        <f t="shared" ca="1" si="164"/>
        <v>648.25000000000523</v>
      </c>
      <c r="R387" s="359">
        <f t="shared" ca="1" si="165"/>
        <v>0.32472933811550514</v>
      </c>
      <c r="S387" s="360">
        <f t="shared" ca="1" si="166"/>
        <v>9.8121544103769125</v>
      </c>
      <c r="T387" s="357">
        <f t="shared" ca="1" si="146"/>
        <v>96.25723476579752</v>
      </c>
      <c r="U387" s="364">
        <f t="shared" ca="1" si="147"/>
        <v>0</v>
      </c>
      <c r="V387" s="359">
        <f t="shared" ca="1" si="148"/>
        <v>1.1612417673136302</v>
      </c>
      <c r="W387" s="357">
        <f t="shared" ca="1" si="149"/>
        <v>171.80146796961645</v>
      </c>
      <c r="X387" s="343"/>
      <c r="Y387" s="367" t="str">
        <f t="shared" ca="1" si="167"/>
        <v/>
      </c>
      <c r="Z387" s="368" t="str">
        <f t="shared" ca="1" si="168"/>
        <v/>
      </c>
      <c r="AA387" s="369" t="str">
        <f t="shared" ca="1" si="169"/>
        <v/>
      </c>
      <c r="AB387" s="344"/>
      <c r="AC387" s="363" t="e">
        <f t="shared" ca="1" si="170"/>
        <v>#N/A</v>
      </c>
      <c r="AD387" s="376" t="e">
        <f t="shared" ca="1" si="171"/>
        <v>#N/A</v>
      </c>
      <c r="AE387" s="377">
        <f t="shared" ca="1" si="150"/>
        <v>534.38200235801844</v>
      </c>
      <c r="AF387" s="344"/>
      <c r="AG387" s="359">
        <f t="shared" ca="1" si="172"/>
        <v>39.067931086636193</v>
      </c>
      <c r="AH387" s="357">
        <f t="shared" ca="1" si="173"/>
        <v>48.606106446003665</v>
      </c>
    </row>
    <row r="388" spans="1:34" x14ac:dyDescent="0.25">
      <c r="A388" s="402">
        <f t="shared" ca="1" si="151"/>
        <v>0.01</v>
      </c>
      <c r="B388" s="357">
        <f t="shared" ca="1" si="152"/>
        <v>3.8399999999999621</v>
      </c>
      <c r="C388" s="342"/>
      <c r="D388" s="359">
        <f t="shared" ca="1" si="153"/>
        <v>11.326422100439833</v>
      </c>
      <c r="E388" s="360">
        <f t="shared" ca="1" si="154"/>
        <v>37.279303065799624</v>
      </c>
      <c r="F388" s="357">
        <f t="shared" ca="1" si="155"/>
        <v>38.961959327901738</v>
      </c>
      <c r="G388" s="359">
        <f t="shared" ca="1" si="156"/>
        <v>59.902046549246123</v>
      </c>
      <c r="H388" s="360">
        <f t="shared" ca="1" si="157"/>
        <v>248.94308875364445</v>
      </c>
      <c r="I388" s="357">
        <f t="shared" ca="1" si="158"/>
        <v>256.0486606467469</v>
      </c>
      <c r="J388" s="359">
        <f t="shared" ca="1" si="159"/>
        <v>120.65008728274208</v>
      </c>
      <c r="K388" s="360">
        <f t="shared" ca="1" si="160"/>
        <v>536.86956928040161</v>
      </c>
      <c r="L388" s="357">
        <f t="shared" ref="L388:L451" ca="1" si="174">SQRT(pos_x^2+pos_z^2)</f>
        <v>550.25937336919321</v>
      </c>
      <c r="M388" s="359">
        <f t="shared" ca="1" si="161"/>
        <v>1.33466002950628</v>
      </c>
      <c r="N388" s="357">
        <f t="shared" ca="1" si="162"/>
        <v>76.470386775515763</v>
      </c>
      <c r="O388" s="343"/>
      <c r="P388" s="363">
        <f t="shared" ca="1" si="163"/>
        <v>13</v>
      </c>
      <c r="Q388" s="357">
        <f t="shared" ca="1" si="164"/>
        <v>646.87000000000523</v>
      </c>
      <c r="R388" s="359">
        <f t="shared" ca="1" si="165"/>
        <v>0.32403805159549065</v>
      </c>
      <c r="S388" s="360">
        <f t="shared" ca="1" si="166"/>
        <v>9.8089140298609578</v>
      </c>
      <c r="T388" s="357">
        <f t="shared" ref="T388:T451" ca="1" si="175">m*g</f>
        <v>96.225446632935999</v>
      </c>
      <c r="U388" s="364">
        <f t="shared" ref="U388:U451" ca="1" si="176">IF(pos_xz&lt;L_rampe,Poids*COS(Beta),0)</f>
        <v>0</v>
      </c>
      <c r="V388" s="359">
        <f t="shared" ref="V388:V451" ca="1" si="177">Rho_moyen*(20000-Alt_rampe-pos_z)/(20000+Alt_rampe+pos_z)</f>
        <v>1.1609527292949997</v>
      </c>
      <c r="W388" s="357">
        <f t="shared" ref="W388:W451" ca="1" si="178">1/2*Rho*Sref*Cx*vit_xz^2</f>
        <v>172.28170915351228</v>
      </c>
      <c r="X388" s="343"/>
      <c r="Y388" s="367" t="str">
        <f t="shared" ca="1" si="167"/>
        <v/>
      </c>
      <c r="Z388" s="368" t="str">
        <f t="shared" ca="1" si="168"/>
        <v/>
      </c>
      <c r="AA388" s="369" t="str">
        <f t="shared" ca="1" si="169"/>
        <v/>
      </c>
      <c r="AB388" s="344"/>
      <c r="AC388" s="363" t="e">
        <f t="shared" ca="1" si="170"/>
        <v>#N/A</v>
      </c>
      <c r="AD388" s="376" t="e">
        <f t="shared" ca="1" si="171"/>
        <v>#N/A</v>
      </c>
      <c r="AE388" s="377">
        <f t="shared" ref="AE388:AE451" ca="1" si="179">IF(t&lt;T_para, pos_z, NA())</f>
        <v>536.86956928040161</v>
      </c>
      <c r="AF388" s="344"/>
      <c r="AG388" s="359">
        <f t="shared" ca="1" si="172"/>
        <v>38.894357416837764</v>
      </c>
      <c r="AH388" s="357">
        <f t="shared" ca="1" si="173"/>
        <v>48.432327022558574</v>
      </c>
    </row>
    <row r="389" spans="1:34" x14ac:dyDescent="0.25">
      <c r="A389" s="402">
        <f t="shared" ref="A389:A452" ca="1" si="180">IF(B388+0.01&lt;=T_ini+ROUNDUP(Temps_fin_propu,0), 0.01, IF(K388&gt;0, 0.1, 0.0001))</f>
        <v>0.01</v>
      </c>
      <c r="B389" s="357">
        <f t="shared" ref="B389:B452" ca="1" si="181">B388+pas</f>
        <v>3.8499999999999619</v>
      </c>
      <c r="C389" s="342"/>
      <c r="D389" s="359">
        <f t="shared" ref="D389:D452" ca="1" si="182">IF(AND(L388&lt;L_rampe,Poussee&lt;Poids*SIN(M388)),0,(-W388+Poussee)/m*COS(M388)-U388/m*SIN(M388))</f>
        <v>11.289995159018613</v>
      </c>
      <c r="E389" s="360">
        <f t="shared" ref="E389:E452" ca="1" si="183">IF(AND(L388&lt;L_rampe,Poussee&lt;Poids*SIN(M388)),0,(-W388+Poussee)/m*SIN(M388)+U388/m*COS(M388)-Poids/m)</f>
        <v>37.109369684459594</v>
      </c>
      <c r="F389" s="357">
        <f t="shared" ref="F389:F452" ca="1" si="184">SQRT(acc_x^2+acc_z^2)</f>
        <v>38.78877813322498</v>
      </c>
      <c r="G389" s="359">
        <f t="shared" ref="G389:G452" ca="1" si="185">G388+acc_x*pas</f>
        <v>60.014946500836309</v>
      </c>
      <c r="H389" s="360">
        <f t="shared" ref="H389:H452" ca="1" si="186">H388+acc_z*pas</f>
        <v>249.31418245048903</v>
      </c>
      <c r="I389" s="357">
        <f t="shared" ref="I389:I452" ca="1" si="187">SQRT(vit_x^2+vit_z^2)</f>
        <v>256.43586990601369</v>
      </c>
      <c r="J389" s="359">
        <f t="shared" ref="J389:J452" ca="1" si="188">J388+0.5*(vit_x+G388)*pas*(K388&gt;=0)</f>
        <v>121.24967224799249</v>
      </c>
      <c r="K389" s="360">
        <f t="shared" ref="K389:K452" ca="1" si="189">K388+0.5*(vit_z+H388)*pas</f>
        <v>539.36085563642223</v>
      </c>
      <c r="L389" s="357">
        <f t="shared" ca="1" si="174"/>
        <v>552.82150429691058</v>
      </c>
      <c r="M389" s="359">
        <f t="shared" ref="M389:M452" ca="1" si="190">IF(AND(L388&gt;L_rampe,G389&gt;0),ATAN2(G389,H389),$M$4)</f>
        <v>1.3345705323190702</v>
      </c>
      <c r="N389" s="357">
        <f t="shared" ref="N389:N452" ca="1" si="191">DEGREES(Beta)</f>
        <v>76.465258964410353</v>
      </c>
      <c r="O389" s="343"/>
      <c r="P389" s="363">
        <f t="shared" ref="P389:P452" ca="1" si="192">MATCH(t-pas/2-T_ini,CdP_t)</f>
        <v>13</v>
      </c>
      <c r="Q389" s="357">
        <f t="shared" ref="Q389:Q452" ca="1" si="193">(INDEX(CdP,2,i_P+1)-INDEX(CdP,2,i_P+0))/(INDEX(CdP,1,i_P+1)-INDEX(CdP,1,i_P+0))*(t-pas/2-T_ini-INDEX(CdP,1,i_P+0))+INDEX(CdP,2,i_P+0)</f>
        <v>645.49000000000524</v>
      </c>
      <c r="R389" s="359">
        <f t="shared" ref="R389:R452" ca="1" si="194">Poussee/(g*ISP)</f>
        <v>0.32334676507547616</v>
      </c>
      <c r="S389" s="360">
        <f t="shared" ref="S389:S452" ca="1" si="195">S388-Débit*pas</f>
        <v>9.8056805622102026</v>
      </c>
      <c r="T389" s="357">
        <f t="shared" ca="1" si="175"/>
        <v>96.193726315282092</v>
      </c>
      <c r="U389" s="364">
        <f t="shared" ca="1" si="176"/>
        <v>0</v>
      </c>
      <c r="V389" s="359">
        <f t="shared" ca="1" si="177"/>
        <v>1.1606633292731401</v>
      </c>
      <c r="W389" s="357">
        <f t="shared" ca="1" si="178"/>
        <v>172.76009269676624</v>
      </c>
      <c r="X389" s="343"/>
      <c r="Y389" s="367" t="str">
        <f t="shared" ref="Y389:Y452" ca="1" si="196">IF(AND(pos_z&lt;=0,K388&gt;0),"Impact balistique","") &amp; IF(AND(H390&lt;0,vit_z&gt;=0),"Apogée","") &amp; IF(AND(Poussee=0,Q388&gt;0),"Fin de propulsion","") &amp; IF(AND(L390&gt;L_rampe,pos_xz&lt;=L_rampe),"Sortie de rampe","")</f>
        <v/>
      </c>
      <c r="Z389" s="368" t="str">
        <f t="shared" ref="Z389:Z452" ca="1" si="197">IF(ABS(t-T_para)&lt;pas/2,"Para","")</f>
        <v/>
      </c>
      <c r="AA389" s="369" t="str">
        <f t="shared" ref="AA389:AA452" ca="1" si="198">IF(ABS(t-T_satellite)&lt;pas/2,"Satellite","")</f>
        <v/>
      </c>
      <c r="AB389" s="344"/>
      <c r="AC389" s="363" t="e">
        <f t="shared" ref="AC389:AC452" ca="1" si="199">IF(ABS(t-ROUND(t,0))&lt;0.001,t,NA())</f>
        <v>#N/A</v>
      </c>
      <c r="AD389" s="376" t="e">
        <f t="shared" ref="AD389:AD452" ca="1" si="200">IF(ABS(t-ROUND(t,0))&lt;0.001,pos_x,NA())</f>
        <v>#N/A</v>
      </c>
      <c r="AE389" s="377">
        <f t="shared" ca="1" si="179"/>
        <v>539.36085563642223</v>
      </c>
      <c r="AF389" s="344"/>
      <c r="AG389" s="359">
        <f t="shared" ref="AG389:AG452" ca="1" si="201">IF(AND(L388&lt;L_rampe,Poussee&lt;Poids*SIN(M388)),0,(-W388+Poussee)/m-Poids*SIN(M388)/m)</f>
        <v>38.720823227366047</v>
      </c>
      <c r="AH389" s="357">
        <f t="shared" ref="AH389:AH452" ca="1" si="202">IF(AND(L388&lt;L_rampe,Poussee&lt;Poids*SIN(M388)), g*SIN(M388), (-W388+Poussee)/m)</f>
        <v>48.258587238725191</v>
      </c>
    </row>
    <row r="390" spans="1:34" x14ac:dyDescent="0.25">
      <c r="A390" s="402">
        <f t="shared" ca="1" si="180"/>
        <v>0.01</v>
      </c>
      <c r="B390" s="357">
        <f t="shared" ca="1" si="181"/>
        <v>3.8599999999999617</v>
      </c>
      <c r="C390" s="342"/>
      <c r="D390" s="359">
        <f t="shared" ca="1" si="182"/>
        <v>11.25354268020649</v>
      </c>
      <c r="E390" s="360">
        <f t="shared" ca="1" si="183"/>
        <v>36.939484196378807</v>
      </c>
      <c r="F390" s="357">
        <f t="shared" ca="1" si="184"/>
        <v>38.615640814956684</v>
      </c>
      <c r="G390" s="359">
        <f t="shared" ca="1" si="185"/>
        <v>60.127481927638371</v>
      </c>
      <c r="H390" s="360">
        <f t="shared" ca="1" si="186"/>
        <v>249.68357729245281</v>
      </c>
      <c r="I390" s="357">
        <f t="shared" ca="1" si="187"/>
        <v>256.82134423079935</v>
      </c>
      <c r="J390" s="359">
        <f t="shared" ca="1" si="188"/>
        <v>121.85038439013486</v>
      </c>
      <c r="K390" s="360">
        <f t="shared" ca="1" si="189"/>
        <v>541.85584443513699</v>
      </c>
      <c r="L390" s="357">
        <f t="shared" ca="1" si="174"/>
        <v>555.3874974506889</v>
      </c>
      <c r="M390" s="359">
        <f t="shared" ca="1" si="190"/>
        <v>1.3344811362252074</v>
      </c>
      <c r="N390" s="357">
        <f t="shared" ca="1" si="191"/>
        <v>76.460136945527054</v>
      </c>
      <c r="O390" s="343"/>
      <c r="P390" s="363">
        <f t="shared" ca="1" si="192"/>
        <v>13</v>
      </c>
      <c r="Q390" s="357">
        <f t="shared" ca="1" si="193"/>
        <v>644.11000000000524</v>
      </c>
      <c r="R390" s="359">
        <f t="shared" ca="1" si="194"/>
        <v>0.32265547855546167</v>
      </c>
      <c r="S390" s="360">
        <f t="shared" ca="1" si="195"/>
        <v>9.8024540074246485</v>
      </c>
      <c r="T390" s="357">
        <f t="shared" ca="1" si="175"/>
        <v>96.1620738128358</v>
      </c>
      <c r="U390" s="364">
        <f t="shared" ca="1" si="176"/>
        <v>0</v>
      </c>
      <c r="V390" s="359">
        <f t="shared" ca="1" si="177"/>
        <v>1.1603735695099953</v>
      </c>
      <c r="W390" s="357">
        <f t="shared" ca="1" si="178"/>
        <v>173.23660956530392</v>
      </c>
      <c r="X390" s="343"/>
      <c r="Y390" s="367" t="str">
        <f t="shared" ca="1" si="196"/>
        <v/>
      </c>
      <c r="Z390" s="368" t="str">
        <f t="shared" ca="1" si="197"/>
        <v/>
      </c>
      <c r="AA390" s="369" t="str">
        <f t="shared" ca="1" si="198"/>
        <v/>
      </c>
      <c r="AB390" s="344"/>
      <c r="AC390" s="363" t="e">
        <f t="shared" ca="1" si="199"/>
        <v>#N/A</v>
      </c>
      <c r="AD390" s="376" t="e">
        <f t="shared" ca="1" si="200"/>
        <v>#N/A</v>
      </c>
      <c r="AE390" s="377">
        <f t="shared" ca="1" si="179"/>
        <v>541.85584443513699</v>
      </c>
      <c r="AF390" s="344"/>
      <c r="AG390" s="359">
        <f t="shared" ca="1" si="201"/>
        <v>38.547329857103584</v>
      </c>
      <c r="AH390" s="357">
        <f t="shared" ca="1" si="202"/>
        <v>48.08488843163412</v>
      </c>
    </row>
    <row r="391" spans="1:34" x14ac:dyDescent="0.25">
      <c r="A391" s="402">
        <f t="shared" ca="1" si="180"/>
        <v>0.01</v>
      </c>
      <c r="B391" s="357">
        <f t="shared" ca="1" si="181"/>
        <v>3.8699999999999615</v>
      </c>
      <c r="C391" s="342"/>
      <c r="D391" s="359">
        <f t="shared" ca="1" si="182"/>
        <v>11.217065079646881</v>
      </c>
      <c r="E391" s="360">
        <f t="shared" ca="1" si="183"/>
        <v>36.769647875144102</v>
      </c>
      <c r="F391" s="357">
        <f t="shared" ca="1" si="184"/>
        <v>38.442548743067526</v>
      </c>
      <c r="G391" s="359">
        <f t="shared" ca="1" si="185"/>
        <v>60.239652578434843</v>
      </c>
      <c r="H391" s="360">
        <f t="shared" ca="1" si="186"/>
        <v>250.05127377120425</v>
      </c>
      <c r="I391" s="357">
        <f t="shared" ca="1" si="187"/>
        <v>257.20508404262205</v>
      </c>
      <c r="J391" s="359">
        <f t="shared" ca="1" si="188"/>
        <v>122.45222006266523</v>
      </c>
      <c r="K391" s="360">
        <f t="shared" ca="1" si="189"/>
        <v>544.35451869045528</v>
      </c>
      <c r="L391" s="357">
        <f t="shared" ca="1" si="174"/>
        <v>557.95733548094211</v>
      </c>
      <c r="M391" s="359">
        <f t="shared" ca="1" si="190"/>
        <v>1.3343918403576962</v>
      </c>
      <c r="N391" s="357">
        <f t="shared" ca="1" si="191"/>
        <v>76.455020669190702</v>
      </c>
      <c r="O391" s="343"/>
      <c r="P391" s="363">
        <f t="shared" ca="1" si="192"/>
        <v>13</v>
      </c>
      <c r="Q391" s="357">
        <f t="shared" ca="1" si="193"/>
        <v>642.73000000000536</v>
      </c>
      <c r="R391" s="359">
        <f t="shared" ca="1" si="194"/>
        <v>0.32196419203544724</v>
      </c>
      <c r="S391" s="360">
        <f t="shared" ca="1" si="195"/>
        <v>9.7992343655042937</v>
      </c>
      <c r="T391" s="357">
        <f t="shared" ca="1" si="175"/>
        <v>96.130489125597123</v>
      </c>
      <c r="U391" s="364">
        <f t="shared" ca="1" si="176"/>
        <v>0</v>
      </c>
      <c r="V391" s="359">
        <f t="shared" ca="1" si="177"/>
        <v>1.1600834522652783</v>
      </c>
      <c r="W391" s="357">
        <f t="shared" ca="1" si="178"/>
        <v>173.71125081040859</v>
      </c>
      <c r="X391" s="343"/>
      <c r="Y391" s="367" t="str">
        <f t="shared" ca="1" si="196"/>
        <v/>
      </c>
      <c r="Z391" s="368" t="str">
        <f t="shared" ca="1" si="197"/>
        <v/>
      </c>
      <c r="AA391" s="369" t="str">
        <f t="shared" ca="1" si="198"/>
        <v/>
      </c>
      <c r="AB391" s="344"/>
      <c r="AC391" s="363" t="e">
        <f t="shared" ca="1" si="199"/>
        <v>#N/A</v>
      </c>
      <c r="AD391" s="376" t="e">
        <f t="shared" ca="1" si="200"/>
        <v>#N/A</v>
      </c>
      <c r="AE391" s="377">
        <f t="shared" ca="1" si="179"/>
        <v>544.35451869045528</v>
      </c>
      <c r="AF391" s="344"/>
      <c r="AG391" s="359">
        <f t="shared" ca="1" si="201"/>
        <v>38.373878637792508</v>
      </c>
      <c r="AH391" s="357">
        <f t="shared" ca="1" si="202"/>
        <v>47.911231931285698</v>
      </c>
    </row>
    <row r="392" spans="1:34" x14ac:dyDescent="0.25">
      <c r="A392" s="402">
        <f t="shared" ca="1" si="180"/>
        <v>0.01</v>
      </c>
      <c r="B392" s="357">
        <f t="shared" ca="1" si="181"/>
        <v>3.8799999999999613</v>
      </c>
      <c r="C392" s="342"/>
      <c r="D392" s="359">
        <f t="shared" ca="1" si="182"/>
        <v>11.18056277088184</v>
      </c>
      <c r="E392" s="360">
        <f t="shared" ca="1" si="183"/>
        <v>36.599861987463477</v>
      </c>
      <c r="F392" s="357">
        <f t="shared" ca="1" si="184"/>
        <v>38.269503281006969</v>
      </c>
      <c r="G392" s="359">
        <f t="shared" ca="1" si="185"/>
        <v>60.351458206143661</v>
      </c>
      <c r="H392" s="360">
        <f t="shared" ca="1" si="186"/>
        <v>250.41727239107888</v>
      </c>
      <c r="I392" s="357">
        <f t="shared" ca="1" si="187"/>
        <v>257.58708977624576</v>
      </c>
      <c r="J392" s="359">
        <f t="shared" ca="1" si="188"/>
        <v>123.05517561658813</v>
      </c>
      <c r="K392" s="360">
        <f t="shared" ca="1" si="189"/>
        <v>546.85686142126667</v>
      </c>
      <c r="L392" s="357">
        <f t="shared" ca="1" si="174"/>
        <v>560.53100104235784</v>
      </c>
      <c r="M392" s="359">
        <f t="shared" ca="1" si="190"/>
        <v>1.3343026438552685</v>
      </c>
      <c r="N392" s="357">
        <f t="shared" ca="1" si="191"/>
        <v>76.449910086054274</v>
      </c>
      <c r="O392" s="343"/>
      <c r="P392" s="363">
        <f t="shared" ca="1" si="192"/>
        <v>13</v>
      </c>
      <c r="Q392" s="357">
        <f t="shared" ca="1" si="193"/>
        <v>641.35000000000537</v>
      </c>
      <c r="R392" s="359">
        <f t="shared" ca="1" si="194"/>
        <v>0.32127290551543275</v>
      </c>
      <c r="S392" s="360">
        <f t="shared" ca="1" si="195"/>
        <v>9.7960216364491401</v>
      </c>
      <c r="T392" s="357">
        <f t="shared" ca="1" si="175"/>
        <v>96.098972253566075</v>
      </c>
      <c r="U392" s="364">
        <f t="shared" ca="1" si="176"/>
        <v>0</v>
      </c>
      <c r="V392" s="359">
        <f t="shared" ca="1" si="177"/>
        <v>1.1597929797964521</v>
      </c>
      <c r="W392" s="357">
        <f t="shared" ca="1" si="178"/>
        <v>174.1840075686269</v>
      </c>
      <c r="X392" s="343"/>
      <c r="Y392" s="367" t="str">
        <f t="shared" ca="1" si="196"/>
        <v/>
      </c>
      <c r="Z392" s="368" t="str">
        <f t="shared" ca="1" si="197"/>
        <v/>
      </c>
      <c r="AA392" s="369" t="str">
        <f t="shared" ca="1" si="198"/>
        <v/>
      </c>
      <c r="AB392" s="344"/>
      <c r="AC392" s="363" t="e">
        <f t="shared" ca="1" si="199"/>
        <v>#N/A</v>
      </c>
      <c r="AD392" s="376" t="e">
        <f t="shared" ca="1" si="200"/>
        <v>#N/A</v>
      </c>
      <c r="AE392" s="377">
        <f t="shared" ca="1" si="179"/>
        <v>546.85686142126667</v>
      </c>
      <c r="AF392" s="344"/>
      <c r="AG392" s="359">
        <f t="shared" ca="1" si="201"/>
        <v>38.200470894022629</v>
      </c>
      <c r="AH392" s="357">
        <f t="shared" ca="1" si="202"/>
        <v>47.737619060537959</v>
      </c>
    </row>
    <row r="393" spans="1:34" x14ac:dyDescent="0.25">
      <c r="A393" s="402">
        <f t="shared" ca="1" si="180"/>
        <v>0.01</v>
      </c>
      <c r="B393" s="357">
        <f t="shared" ca="1" si="181"/>
        <v>3.889999999999961</v>
      </c>
      <c r="C393" s="342"/>
      <c r="D393" s="359">
        <f t="shared" ca="1" si="182"/>
        <v>11.144036165353279</v>
      </c>
      <c r="E393" s="360">
        <f t="shared" ca="1" si="183"/>
        <v>36.430127793154526</v>
      </c>
      <c r="F393" s="357">
        <f t="shared" ca="1" si="184"/>
        <v>38.096505785705226</v>
      </c>
      <c r="G393" s="359">
        <f t="shared" ca="1" si="185"/>
        <v>60.462898567797197</v>
      </c>
      <c r="H393" s="360">
        <f t="shared" ca="1" si="186"/>
        <v>250.78157366901041</v>
      </c>
      <c r="I393" s="357">
        <f t="shared" ca="1" si="187"/>
        <v>257.96736187960875</v>
      </c>
      <c r="J393" s="359">
        <f t="shared" ca="1" si="188"/>
        <v>123.65924740045783</v>
      </c>
      <c r="K393" s="360">
        <f t="shared" ca="1" si="189"/>
        <v>549.36285565156709</v>
      </c>
      <c r="L393" s="357">
        <f t="shared" ca="1" si="174"/>
        <v>563.10847679402957</v>
      </c>
      <c r="M393" s="359">
        <f t="shared" ca="1" si="190"/>
        <v>1.3342135458623199</v>
      </c>
      <c r="N393" s="357">
        <f t="shared" ca="1" si="191"/>
        <v>76.444805147095224</v>
      </c>
      <c r="O393" s="343"/>
      <c r="P393" s="363">
        <f t="shared" ca="1" si="192"/>
        <v>13</v>
      </c>
      <c r="Q393" s="357">
        <f t="shared" ca="1" si="193"/>
        <v>639.97000000000537</v>
      </c>
      <c r="R393" s="359">
        <f t="shared" ca="1" si="194"/>
        <v>0.32058161899541826</v>
      </c>
      <c r="S393" s="360">
        <f t="shared" ca="1" si="195"/>
        <v>9.792815820259186</v>
      </c>
      <c r="T393" s="357">
        <f t="shared" ca="1" si="175"/>
        <v>96.067523196742613</v>
      </c>
      <c r="U393" s="364">
        <f t="shared" ca="1" si="176"/>
        <v>0</v>
      </c>
      <c r="V393" s="359">
        <f t="shared" ca="1" si="177"/>
        <v>1.1595021543587092</v>
      </c>
      <c r="W393" s="357">
        <f t="shared" ca="1" si="178"/>
        <v>174.65487106167228</v>
      </c>
      <c r="X393" s="343"/>
      <c r="Y393" s="367" t="str">
        <f t="shared" ca="1" si="196"/>
        <v/>
      </c>
      <c r="Z393" s="368" t="str">
        <f t="shared" ca="1" si="197"/>
        <v/>
      </c>
      <c r="AA393" s="369" t="str">
        <f t="shared" ca="1" si="198"/>
        <v/>
      </c>
      <c r="AB393" s="344"/>
      <c r="AC393" s="363" t="e">
        <f t="shared" ca="1" si="199"/>
        <v>#N/A</v>
      </c>
      <c r="AD393" s="376" t="e">
        <f t="shared" ca="1" si="200"/>
        <v>#N/A</v>
      </c>
      <c r="AE393" s="377">
        <f t="shared" ca="1" si="179"/>
        <v>549.36285565156709</v>
      </c>
      <c r="AF393" s="344"/>
      <c r="AG393" s="359">
        <f t="shared" ca="1" si="201"/>
        <v>38.027107943220244</v>
      </c>
      <c r="AH393" s="357">
        <f t="shared" ca="1" si="202"/>
        <v>47.564051135095333</v>
      </c>
    </row>
    <row r="394" spans="1:34" x14ac:dyDescent="0.25">
      <c r="A394" s="402">
        <f t="shared" ca="1" si="180"/>
        <v>0.01</v>
      </c>
      <c r="B394" s="357">
        <f t="shared" ca="1" si="181"/>
        <v>3.8999999999999608</v>
      </c>
      <c r="C394" s="342"/>
      <c r="D394" s="359">
        <f t="shared" ca="1" si="182"/>
        <v>11.10748567240412</v>
      </c>
      <c r="E394" s="360">
        <f t="shared" ca="1" si="183"/>
        <v>36.260446545132879</v>
      </c>
      <c r="F394" s="357">
        <f t="shared" ca="1" si="184"/>
        <v>37.923557607575553</v>
      </c>
      <c r="G394" s="359">
        <f t="shared" ca="1" si="185"/>
        <v>60.573973424521235</v>
      </c>
      <c r="H394" s="360">
        <f t="shared" ca="1" si="186"/>
        <v>251.14417813446175</v>
      </c>
      <c r="I394" s="357">
        <f t="shared" ca="1" si="187"/>
        <v>258.34590081375177</v>
      </c>
      <c r="J394" s="359">
        <f t="shared" ca="1" si="188"/>
        <v>124.26443176041943</v>
      </c>
      <c r="K394" s="360">
        <f t="shared" ca="1" si="189"/>
        <v>551.87248441058443</v>
      </c>
      <c r="L394" s="357">
        <f t="shared" ca="1" si="174"/>
        <v>565.68974539958799</v>
      </c>
      <c r="M394" s="359">
        <f t="shared" ca="1" si="190"/>
        <v>1.3341245455288484</v>
      </c>
      <c r="N394" s="357">
        <f t="shared" ca="1" si="191"/>
        <v>76.439705803612057</v>
      </c>
      <c r="O394" s="343"/>
      <c r="P394" s="363">
        <f t="shared" ca="1" si="192"/>
        <v>13</v>
      </c>
      <c r="Q394" s="357">
        <f t="shared" ca="1" si="193"/>
        <v>638.59000000000538</v>
      </c>
      <c r="R394" s="359">
        <f t="shared" ca="1" si="194"/>
        <v>0.31989033247540377</v>
      </c>
      <c r="S394" s="360">
        <f t="shared" ca="1" si="195"/>
        <v>9.7896169169344311</v>
      </c>
      <c r="T394" s="357">
        <f t="shared" ca="1" si="175"/>
        <v>96.03614195512678</v>
      </c>
      <c r="U394" s="364">
        <f t="shared" ca="1" si="176"/>
        <v>0</v>
      </c>
      <c r="V394" s="359">
        <f t="shared" ca="1" si="177"/>
        <v>1.1592109782049522</v>
      </c>
      <c r="W394" s="357">
        <f t="shared" ca="1" si="178"/>
        <v>175.12383259632401</v>
      </c>
      <c r="X394" s="343"/>
      <c r="Y394" s="367" t="str">
        <f t="shared" ca="1" si="196"/>
        <v/>
      </c>
      <c r="Z394" s="368" t="str">
        <f t="shared" ca="1" si="197"/>
        <v/>
      </c>
      <c r="AA394" s="369" t="str">
        <f t="shared" ca="1" si="198"/>
        <v/>
      </c>
      <c r="AB394" s="344"/>
      <c r="AC394" s="363" t="e">
        <f t="shared" ca="1" si="199"/>
        <v>#N/A</v>
      </c>
      <c r="AD394" s="376" t="e">
        <f t="shared" ca="1" si="200"/>
        <v>#N/A</v>
      </c>
      <c r="AE394" s="377">
        <f t="shared" ca="1" si="179"/>
        <v>551.87248441058443</v>
      </c>
      <c r="AF394" s="344"/>
      <c r="AG394" s="359">
        <f t="shared" ca="1" si="201"/>
        <v>37.853791095636943</v>
      </c>
      <c r="AH394" s="357">
        <f t="shared" ca="1" si="202"/>
        <v>47.390529463497337</v>
      </c>
    </row>
    <row r="395" spans="1:34" x14ac:dyDescent="0.25">
      <c r="A395" s="402">
        <f t="shared" ca="1" si="180"/>
        <v>0.01</v>
      </c>
      <c r="B395" s="357">
        <f t="shared" ca="1" si="181"/>
        <v>3.9099999999999606</v>
      </c>
      <c r="C395" s="342"/>
      <c r="D395" s="359">
        <f t="shared" ca="1" si="182"/>
        <v>11.070911699279511</v>
      </c>
      <c r="E395" s="360">
        <f t="shared" ca="1" si="183"/>
        <v>36.09081948940144</v>
      </c>
      <c r="F395" s="357">
        <f t="shared" ca="1" si="184"/>
        <v>37.750660090517663</v>
      </c>
      <c r="G395" s="359">
        <f t="shared" ca="1" si="185"/>
        <v>60.684682541514029</v>
      </c>
      <c r="H395" s="360">
        <f t="shared" ca="1" si="186"/>
        <v>251.50508632935578</v>
      </c>
      <c r="I395" s="357">
        <f t="shared" ca="1" si="187"/>
        <v>258.72270705274605</v>
      </c>
      <c r="J395" s="359">
        <f t="shared" ca="1" si="188"/>
        <v>124.87072504024961</v>
      </c>
      <c r="K395" s="360">
        <f t="shared" ca="1" si="189"/>
        <v>554.38573073290354</v>
      </c>
      <c r="L395" s="357">
        <f t="shared" ca="1" si="174"/>
        <v>568.27478952733168</v>
      </c>
      <c r="M395" s="359">
        <f t="shared" ca="1" si="190"/>
        <v>1.3340356420103934</v>
      </c>
      <c r="N395" s="357">
        <f t="shared" ca="1" si="191"/>
        <v>76.434612007220721</v>
      </c>
      <c r="O395" s="343"/>
      <c r="P395" s="363">
        <f t="shared" ca="1" si="192"/>
        <v>13</v>
      </c>
      <c r="Q395" s="357">
        <f t="shared" ca="1" si="193"/>
        <v>637.21000000000549</v>
      </c>
      <c r="R395" s="359">
        <f t="shared" ca="1" si="194"/>
        <v>0.31919904595538934</v>
      </c>
      <c r="S395" s="360">
        <f t="shared" ca="1" si="195"/>
        <v>9.7864249264748775</v>
      </c>
      <c r="T395" s="357">
        <f t="shared" ca="1" si="175"/>
        <v>96.004828528718548</v>
      </c>
      <c r="U395" s="364">
        <f t="shared" ca="1" si="176"/>
        <v>0</v>
      </c>
      <c r="V395" s="359">
        <f t="shared" ca="1" si="177"/>
        <v>1.1589194535857736</v>
      </c>
      <c r="W395" s="357">
        <f t="shared" ca="1" si="178"/>
        <v>175.59088356432255</v>
      </c>
      <c r="X395" s="343"/>
      <c r="Y395" s="367" t="str">
        <f t="shared" ca="1" si="196"/>
        <v/>
      </c>
      <c r="Z395" s="368" t="str">
        <f t="shared" ca="1" si="197"/>
        <v/>
      </c>
      <c r="AA395" s="369" t="str">
        <f t="shared" ca="1" si="198"/>
        <v/>
      </c>
      <c r="AB395" s="344"/>
      <c r="AC395" s="363" t="e">
        <f t="shared" ca="1" si="199"/>
        <v>#N/A</v>
      </c>
      <c r="AD395" s="376" t="e">
        <f t="shared" ca="1" si="200"/>
        <v>#N/A</v>
      </c>
      <c r="AE395" s="377">
        <f t="shared" ca="1" si="179"/>
        <v>554.38573073290354</v>
      </c>
      <c r="AF395" s="344"/>
      <c r="AG395" s="359">
        <f t="shared" ca="1" si="201"/>
        <v>37.68052165433911</v>
      </c>
      <c r="AH395" s="357">
        <f t="shared" ca="1" si="202"/>
        <v>47.217055347107987</v>
      </c>
    </row>
    <row r="396" spans="1:34" x14ac:dyDescent="0.25">
      <c r="A396" s="402">
        <f t="shared" ca="1" si="180"/>
        <v>0.01</v>
      </c>
      <c r="B396" s="357">
        <f t="shared" ca="1" si="181"/>
        <v>3.9199999999999604</v>
      </c>
      <c r="C396" s="342"/>
      <c r="D396" s="359">
        <f t="shared" ca="1" si="182"/>
        <v>11.034314651128048</v>
      </c>
      <c r="E396" s="360">
        <f t="shared" ca="1" si="183"/>
        <v>35.921247865039845</v>
      </c>
      <c r="F396" s="357">
        <f t="shared" ca="1" si="184"/>
        <v>37.577814571921671</v>
      </c>
      <c r="G396" s="359">
        <f t="shared" ca="1" si="185"/>
        <v>60.795025688025312</v>
      </c>
      <c r="H396" s="360">
        <f t="shared" ca="1" si="186"/>
        <v>251.86429880800617</v>
      </c>
      <c r="I396" s="357">
        <f t="shared" ca="1" si="187"/>
        <v>259.09778108362156</v>
      </c>
      <c r="J396" s="359">
        <f t="shared" ca="1" si="188"/>
        <v>125.47812358139731</v>
      </c>
      <c r="K396" s="360">
        <f t="shared" ca="1" si="189"/>
        <v>556.9025776585903</v>
      </c>
      <c r="L396" s="357">
        <f t="shared" ca="1" si="174"/>
        <v>570.86359185035667</v>
      </c>
      <c r="M396" s="359">
        <f t="shared" ca="1" si="190"/>
        <v>1.3339468344679746</v>
      </c>
      <c r="N396" s="357">
        <f t="shared" ca="1" si="191"/>
        <v>76.429523709851196</v>
      </c>
      <c r="O396" s="343"/>
      <c r="P396" s="363">
        <f t="shared" ca="1" si="192"/>
        <v>13</v>
      </c>
      <c r="Q396" s="357">
        <f t="shared" ca="1" si="193"/>
        <v>635.8300000000055</v>
      </c>
      <c r="R396" s="359">
        <f t="shared" ca="1" si="194"/>
        <v>0.31850775943537485</v>
      </c>
      <c r="S396" s="360">
        <f t="shared" ca="1" si="195"/>
        <v>9.7832398488805232</v>
      </c>
      <c r="T396" s="357">
        <f t="shared" ca="1" si="175"/>
        <v>95.973582917517945</v>
      </c>
      <c r="U396" s="364">
        <f t="shared" ca="1" si="176"/>
        <v>0</v>
      </c>
      <c r="V396" s="359">
        <f t="shared" ca="1" si="177"/>
        <v>1.1586275827494361</v>
      </c>
      <c r="W396" s="357">
        <f t="shared" ca="1" si="178"/>
        <v>176.05601544226269</v>
      </c>
      <c r="X396" s="343"/>
      <c r="Y396" s="367" t="str">
        <f t="shared" ca="1" si="196"/>
        <v/>
      </c>
      <c r="Z396" s="368" t="str">
        <f t="shared" ca="1" si="197"/>
        <v/>
      </c>
      <c r="AA396" s="369" t="str">
        <f t="shared" ca="1" si="198"/>
        <v/>
      </c>
      <c r="AB396" s="344"/>
      <c r="AC396" s="363" t="e">
        <f t="shared" ca="1" si="199"/>
        <v>#N/A</v>
      </c>
      <c r="AD396" s="376" t="e">
        <f t="shared" ca="1" si="200"/>
        <v>#N/A</v>
      </c>
      <c r="AE396" s="377">
        <f t="shared" ca="1" si="179"/>
        <v>556.9025776585903</v>
      </c>
      <c r="AF396" s="344"/>
      <c r="AG396" s="359">
        <f t="shared" ca="1" si="201"/>
        <v>37.50730091519781</v>
      </c>
      <c r="AH396" s="357">
        <f t="shared" ca="1" si="202"/>
        <v>47.043630080105537</v>
      </c>
    </row>
    <row r="397" spans="1:34" x14ac:dyDescent="0.25">
      <c r="A397" s="402">
        <f t="shared" ca="1" si="180"/>
        <v>0.01</v>
      </c>
      <c r="B397" s="357">
        <f t="shared" ca="1" si="181"/>
        <v>3.9299999999999602</v>
      </c>
      <c r="C397" s="342"/>
      <c r="D397" s="359">
        <f t="shared" ca="1" si="182"/>
        <v>10.997694931003037</v>
      </c>
      <c r="E397" s="360">
        <f t="shared" ca="1" si="183"/>
        <v>35.75173290419437</v>
      </c>
      <c r="F397" s="357">
        <f t="shared" ca="1" si="184"/>
        <v>37.405022382672946</v>
      </c>
      <c r="G397" s="359">
        <f t="shared" ca="1" si="185"/>
        <v>60.905002637335343</v>
      </c>
      <c r="H397" s="360">
        <f t="shared" ca="1" si="186"/>
        <v>252.22181613704811</v>
      </c>
      <c r="I397" s="357">
        <f t="shared" ca="1" si="187"/>
        <v>259.47112340629491</v>
      </c>
      <c r="J397" s="359">
        <f t="shared" ca="1" si="188"/>
        <v>126.08662372302412</v>
      </c>
      <c r="K397" s="360">
        <f t="shared" ca="1" si="189"/>
        <v>559.42300823331561</v>
      </c>
      <c r="L397" s="357">
        <f t="shared" ca="1" si="174"/>
        <v>573.45613504668665</v>
      </c>
      <c r="M397" s="359">
        <f t="shared" ca="1" si="190"/>
        <v>1.3338581220680326</v>
      </c>
      <c r="N397" s="357">
        <f t="shared" ca="1" si="191"/>
        <v>76.424440863744039</v>
      </c>
      <c r="O397" s="343"/>
      <c r="P397" s="363">
        <f t="shared" ca="1" si="192"/>
        <v>13</v>
      </c>
      <c r="Q397" s="357">
        <f t="shared" ca="1" si="193"/>
        <v>634.4500000000055</v>
      </c>
      <c r="R397" s="359">
        <f t="shared" ca="1" si="194"/>
        <v>0.31781647291536036</v>
      </c>
      <c r="S397" s="360">
        <f t="shared" ca="1" si="195"/>
        <v>9.7800616841513701</v>
      </c>
      <c r="T397" s="357">
        <f t="shared" ca="1" si="175"/>
        <v>95.942405121524942</v>
      </c>
      <c r="U397" s="364">
        <f t="shared" ca="1" si="176"/>
        <v>0</v>
      </c>
      <c r="V397" s="359">
        <f t="shared" ca="1" si="177"/>
        <v>1.1583353679418555</v>
      </c>
      <c r="W397" s="357">
        <f t="shared" ca="1" si="178"/>
        <v>176.51921979148241</v>
      </c>
      <c r="X397" s="343"/>
      <c r="Y397" s="367" t="str">
        <f t="shared" ca="1" si="196"/>
        <v/>
      </c>
      <c r="Z397" s="368" t="str">
        <f t="shared" ca="1" si="197"/>
        <v/>
      </c>
      <c r="AA397" s="369" t="str">
        <f t="shared" ca="1" si="198"/>
        <v/>
      </c>
      <c r="AB397" s="344"/>
      <c r="AC397" s="363" t="e">
        <f t="shared" ca="1" si="199"/>
        <v>#N/A</v>
      </c>
      <c r="AD397" s="376" t="e">
        <f t="shared" ca="1" si="200"/>
        <v>#N/A</v>
      </c>
      <c r="AE397" s="377">
        <f t="shared" ca="1" si="179"/>
        <v>559.42300823331561</v>
      </c>
      <c r="AF397" s="344"/>
      <c r="AG397" s="359">
        <f t="shared" ca="1" si="201"/>
        <v>37.334130166878943</v>
      </c>
      <c r="AH397" s="357">
        <f t="shared" ca="1" si="202"/>
        <v>46.870254949472567</v>
      </c>
    </row>
    <row r="398" spans="1:34" x14ac:dyDescent="0.25">
      <c r="A398" s="402">
        <f t="shared" ca="1" si="180"/>
        <v>0.01</v>
      </c>
      <c r="B398" s="357">
        <f t="shared" ca="1" si="181"/>
        <v>3.93999999999996</v>
      </c>
      <c r="C398" s="342"/>
      <c r="D398" s="359">
        <f t="shared" ca="1" si="182"/>
        <v>10.961052939863759</v>
      </c>
      <c r="E398" s="360">
        <f t="shared" ca="1" si="183"/>
        <v>35.582275832068206</v>
      </c>
      <c r="F398" s="357">
        <f t="shared" ca="1" si="184"/>
        <v>37.232284847157594</v>
      </c>
      <c r="G398" s="359">
        <f t="shared" ca="1" si="185"/>
        <v>61.01461316673398</v>
      </c>
      <c r="H398" s="360">
        <f t="shared" ca="1" si="186"/>
        <v>252.57763889536878</v>
      </c>
      <c r="I398" s="357">
        <f t="shared" ca="1" si="187"/>
        <v>259.84273453349721</v>
      </c>
      <c r="J398" s="359">
        <f t="shared" ca="1" si="188"/>
        <v>126.69622180204446</v>
      </c>
      <c r="K398" s="360">
        <f t="shared" ca="1" si="189"/>
        <v>561.94700550847767</v>
      </c>
      <c r="L398" s="357">
        <f t="shared" ca="1" si="174"/>
        <v>576.0524017994004</v>
      </c>
      <c r="M398" s="359">
        <f t="shared" ca="1" si="190"/>
        <v>1.3337695039823707</v>
      </c>
      <c r="N398" s="357">
        <f t="shared" ca="1" si="191"/>
        <v>76.419363421447088</v>
      </c>
      <c r="O398" s="343"/>
      <c r="P398" s="363">
        <f t="shared" ca="1" si="192"/>
        <v>13</v>
      </c>
      <c r="Q398" s="357">
        <f t="shared" ca="1" si="193"/>
        <v>633.07000000000551</v>
      </c>
      <c r="R398" s="359">
        <f t="shared" ca="1" si="194"/>
        <v>0.31712518639534587</v>
      </c>
      <c r="S398" s="360">
        <f t="shared" ca="1" si="195"/>
        <v>9.7768904322874164</v>
      </c>
      <c r="T398" s="357">
        <f t="shared" ca="1" si="175"/>
        <v>95.911295140739554</v>
      </c>
      <c r="U398" s="364">
        <f t="shared" ca="1" si="176"/>
        <v>0</v>
      </c>
      <c r="V398" s="359">
        <f t="shared" ca="1" si="177"/>
        <v>1.1580428114065784</v>
      </c>
      <c r="W398" s="357">
        <f t="shared" ca="1" si="178"/>
        <v>176.98048825794831</v>
      </c>
      <c r="X398" s="343"/>
      <c r="Y398" s="367" t="str">
        <f t="shared" ca="1" si="196"/>
        <v/>
      </c>
      <c r="Z398" s="368" t="str">
        <f t="shared" ca="1" si="197"/>
        <v/>
      </c>
      <c r="AA398" s="369" t="str">
        <f t="shared" ca="1" si="198"/>
        <v/>
      </c>
      <c r="AB398" s="344"/>
      <c r="AC398" s="363" t="e">
        <f t="shared" ca="1" si="199"/>
        <v>#N/A</v>
      </c>
      <c r="AD398" s="376" t="e">
        <f t="shared" ca="1" si="200"/>
        <v>#N/A</v>
      </c>
      <c r="AE398" s="377">
        <f t="shared" ca="1" si="179"/>
        <v>561.94700550847767</v>
      </c>
      <c r="AF398" s="344"/>
      <c r="AG398" s="359">
        <f t="shared" ca="1" si="201"/>
        <v>37.161010690833919</v>
      </c>
      <c r="AH398" s="357">
        <f t="shared" ca="1" si="202"/>
        <v>46.696931234986515</v>
      </c>
    </row>
    <row r="399" spans="1:34" x14ac:dyDescent="0.25">
      <c r="A399" s="402">
        <f t="shared" ca="1" si="180"/>
        <v>0.01</v>
      </c>
      <c r="B399" s="357">
        <f t="shared" ca="1" si="181"/>
        <v>3.9499999999999598</v>
      </c>
      <c r="C399" s="342"/>
      <c r="D399" s="359">
        <f t="shared" ca="1" si="182"/>
        <v>10.924389076576707</v>
      </c>
      <c r="E399" s="360">
        <f t="shared" ca="1" si="183"/>
        <v>35.412877866912197</v>
      </c>
      <c r="F399" s="357">
        <f t="shared" ca="1" si="184"/>
        <v>37.059603283268807</v>
      </c>
      <c r="G399" s="359">
        <f t="shared" ca="1" si="185"/>
        <v>61.123857057499748</v>
      </c>
      <c r="H399" s="360">
        <f t="shared" ca="1" si="186"/>
        <v>252.9317676740379</v>
      </c>
      <c r="I399" s="357">
        <f t="shared" ca="1" si="187"/>
        <v>260.2126149907017</v>
      </c>
      <c r="J399" s="359">
        <f t="shared" ca="1" si="188"/>
        <v>127.30691415316564</v>
      </c>
      <c r="K399" s="360">
        <f t="shared" ca="1" si="189"/>
        <v>564.47455254132467</v>
      </c>
      <c r="L399" s="357">
        <f t="shared" ca="1" si="174"/>
        <v>578.65237479676023</v>
      </c>
      <c r="M399" s="359">
        <f t="shared" ca="1" si="190"/>
        <v>1.3336809793880957</v>
      </c>
      <c r="N399" s="357">
        <f t="shared" ca="1" si="191"/>
        <v>76.414291335812024</v>
      </c>
      <c r="O399" s="343"/>
      <c r="P399" s="363">
        <f t="shared" ca="1" si="192"/>
        <v>13</v>
      </c>
      <c r="Q399" s="357">
        <f t="shared" ca="1" si="193"/>
        <v>631.69000000000551</v>
      </c>
      <c r="R399" s="359">
        <f t="shared" ca="1" si="194"/>
        <v>0.31643389987533138</v>
      </c>
      <c r="S399" s="360">
        <f t="shared" ca="1" si="195"/>
        <v>9.7737260932886638</v>
      </c>
      <c r="T399" s="357">
        <f t="shared" ca="1" si="175"/>
        <v>95.880252975161795</v>
      </c>
      <c r="U399" s="364">
        <f t="shared" ca="1" si="176"/>
        <v>0</v>
      </c>
      <c r="V399" s="359">
        <f t="shared" ca="1" si="177"/>
        <v>1.1577499153847655</v>
      </c>
      <c r="W399" s="357">
        <f t="shared" ca="1" si="178"/>
        <v>177.43981257213807</v>
      </c>
      <c r="X399" s="343"/>
      <c r="Y399" s="367" t="str">
        <f t="shared" ca="1" si="196"/>
        <v/>
      </c>
      <c r="Z399" s="368" t="str">
        <f t="shared" ca="1" si="197"/>
        <v/>
      </c>
      <c r="AA399" s="369" t="str">
        <f t="shared" ca="1" si="198"/>
        <v/>
      </c>
      <c r="AB399" s="344"/>
      <c r="AC399" s="363" t="e">
        <f t="shared" ca="1" si="199"/>
        <v>#N/A</v>
      </c>
      <c r="AD399" s="376" t="e">
        <f t="shared" ca="1" si="200"/>
        <v>#N/A</v>
      </c>
      <c r="AE399" s="377">
        <f t="shared" ca="1" si="179"/>
        <v>564.47455254132467</v>
      </c>
      <c r="AF399" s="344"/>
      <c r="AG399" s="359">
        <f t="shared" ca="1" si="201"/>
        <v>36.987943761290651</v>
      </c>
      <c r="AH399" s="357">
        <f t="shared" ca="1" si="202"/>
        <v>46.523660209210604</v>
      </c>
    </row>
    <row r="400" spans="1:34" x14ac:dyDescent="0.25">
      <c r="A400" s="402">
        <f t="shared" ca="1" si="180"/>
        <v>0.01</v>
      </c>
      <c r="B400" s="357">
        <f t="shared" ca="1" si="181"/>
        <v>3.9599999999999596</v>
      </c>
      <c r="C400" s="342"/>
      <c r="D400" s="359">
        <f t="shared" ca="1" si="182"/>
        <v>10.887703737916983</v>
      </c>
      <c r="E400" s="360">
        <f t="shared" ca="1" si="183"/>
        <v>35.243540220015987</v>
      </c>
      <c r="F400" s="357">
        <f t="shared" ca="1" si="184"/>
        <v>36.886979002414058</v>
      </c>
      <c r="G400" s="359">
        <f t="shared" ca="1" si="185"/>
        <v>61.232734094878921</v>
      </c>
      <c r="H400" s="360">
        <f t="shared" ca="1" si="186"/>
        <v>253.28420307623807</v>
      </c>
      <c r="I400" s="357">
        <f t="shared" ca="1" si="187"/>
        <v>260.58076531605155</v>
      </c>
      <c r="J400" s="359">
        <f t="shared" ca="1" si="188"/>
        <v>127.91869710892753</v>
      </c>
      <c r="K400" s="360">
        <f t="shared" ca="1" si="189"/>
        <v>567.00563239507608</v>
      </c>
      <c r="L400" s="357">
        <f t="shared" ca="1" si="174"/>
        <v>581.25603673233854</v>
      </c>
      <c r="M400" s="359">
        <f t="shared" ca="1" si="190"/>
        <v>1.3335925474675612</v>
      </c>
      <c r="N400" s="357">
        <f t="shared" ca="1" si="191"/>
        <v>76.409224559991159</v>
      </c>
      <c r="O400" s="343"/>
      <c r="P400" s="363">
        <f t="shared" ca="1" si="192"/>
        <v>13</v>
      </c>
      <c r="Q400" s="357">
        <f t="shared" ca="1" si="193"/>
        <v>630.31000000000563</v>
      </c>
      <c r="R400" s="359">
        <f t="shared" ca="1" si="194"/>
        <v>0.31574261335531695</v>
      </c>
      <c r="S400" s="360">
        <f t="shared" ca="1" si="195"/>
        <v>9.7705686671551106</v>
      </c>
      <c r="T400" s="357">
        <f t="shared" ca="1" si="175"/>
        <v>95.849278624791637</v>
      </c>
      <c r="U400" s="364">
        <f t="shared" ca="1" si="176"/>
        <v>0</v>
      </c>
      <c r="V400" s="359">
        <f t="shared" ca="1" si="177"/>
        <v>1.1574566821151704</v>
      </c>
      <c r="W400" s="357">
        <f t="shared" ca="1" si="178"/>
        <v>177.89718454891928</v>
      </c>
      <c r="X400" s="343"/>
      <c r="Y400" s="367" t="str">
        <f t="shared" ca="1" si="196"/>
        <v/>
      </c>
      <c r="Z400" s="368" t="str">
        <f t="shared" ca="1" si="197"/>
        <v/>
      </c>
      <c r="AA400" s="369" t="str">
        <f t="shared" ca="1" si="198"/>
        <v/>
      </c>
      <c r="AB400" s="344"/>
      <c r="AC400" s="363" t="e">
        <f t="shared" ca="1" si="199"/>
        <v>#N/A</v>
      </c>
      <c r="AD400" s="376" t="e">
        <f t="shared" ca="1" si="200"/>
        <v>#N/A</v>
      </c>
      <c r="AE400" s="377">
        <f t="shared" ca="1" si="179"/>
        <v>567.00563239507608</v>
      </c>
      <c r="AF400" s="344"/>
      <c r="AG400" s="359">
        <f t="shared" ca="1" si="201"/>
        <v>36.814930645245056</v>
      </c>
      <c r="AH400" s="357">
        <f t="shared" ca="1" si="202"/>
        <v>46.350443137485208</v>
      </c>
    </row>
    <row r="401" spans="1:34" x14ac:dyDescent="0.25">
      <c r="A401" s="402">
        <f t="shared" ca="1" si="180"/>
        <v>0.01</v>
      </c>
      <c r="B401" s="357">
        <f t="shared" ca="1" si="181"/>
        <v>3.9699999999999593</v>
      </c>
      <c r="C401" s="342"/>
      <c r="D401" s="359">
        <f t="shared" ca="1" si="182"/>
        <v>10.850997318569553</v>
      </c>
      <c r="E401" s="360">
        <f t="shared" ca="1" si="183"/>
        <v>35.074264095699441</v>
      </c>
      <c r="F401" s="357">
        <f t="shared" ca="1" si="184"/>
        <v>36.714413309522932</v>
      </c>
      <c r="G401" s="359">
        <f t="shared" ca="1" si="185"/>
        <v>61.341244068064618</v>
      </c>
      <c r="H401" s="360">
        <f t="shared" ca="1" si="186"/>
        <v>253.63494571719505</v>
      </c>
      <c r="I401" s="357">
        <f t="shared" ca="1" si="187"/>
        <v>260.94718606028761</v>
      </c>
      <c r="J401" s="359">
        <f t="shared" ca="1" si="188"/>
        <v>128.53156699974224</v>
      </c>
      <c r="K401" s="360">
        <f t="shared" ca="1" si="189"/>
        <v>569.54022813904328</v>
      </c>
      <c r="L401" s="357">
        <f t="shared" ca="1" si="174"/>
        <v>583.86337030514483</v>
      </c>
      <c r="M401" s="359">
        <f t="shared" ca="1" si="190"/>
        <v>1.3335042074083103</v>
      </c>
      <c r="N401" s="357">
        <f t="shared" ca="1" si="191"/>
        <v>76.404163047434153</v>
      </c>
      <c r="O401" s="343"/>
      <c r="P401" s="363">
        <f t="shared" ca="1" si="192"/>
        <v>13</v>
      </c>
      <c r="Q401" s="357">
        <f t="shared" ca="1" si="193"/>
        <v>628.93000000000563</v>
      </c>
      <c r="R401" s="359">
        <f t="shared" ca="1" si="194"/>
        <v>0.31505132683530246</v>
      </c>
      <c r="S401" s="360">
        <f t="shared" ca="1" si="195"/>
        <v>9.7674181538867568</v>
      </c>
      <c r="T401" s="357">
        <f t="shared" ca="1" si="175"/>
        <v>95.818372089629094</v>
      </c>
      <c r="U401" s="364">
        <f t="shared" ca="1" si="176"/>
        <v>0</v>
      </c>
      <c r="V401" s="359">
        <f t="shared" ca="1" si="177"/>
        <v>1.1571631138341252</v>
      </c>
      <c r="W401" s="357">
        <f t="shared" ca="1" si="178"/>
        <v>178.35259608742615</v>
      </c>
      <c r="X401" s="343"/>
      <c r="Y401" s="367" t="str">
        <f t="shared" ca="1" si="196"/>
        <v/>
      </c>
      <c r="Z401" s="368" t="str">
        <f t="shared" ca="1" si="197"/>
        <v/>
      </c>
      <c r="AA401" s="369" t="str">
        <f t="shared" ca="1" si="198"/>
        <v/>
      </c>
      <c r="AB401" s="344"/>
      <c r="AC401" s="363" t="e">
        <f t="shared" ca="1" si="199"/>
        <v>#N/A</v>
      </c>
      <c r="AD401" s="376" t="e">
        <f t="shared" ca="1" si="200"/>
        <v>#N/A</v>
      </c>
      <c r="AE401" s="377">
        <f t="shared" ca="1" si="179"/>
        <v>569.54022813904328</v>
      </c>
      <c r="AF401" s="344"/>
      <c r="AG401" s="359">
        <f t="shared" ca="1" si="201"/>
        <v>36.641972602452846</v>
      </c>
      <c r="AH401" s="357">
        <f t="shared" ca="1" si="202"/>
        <v>46.177281277919533</v>
      </c>
    </row>
    <row r="402" spans="1:34" x14ac:dyDescent="0.25">
      <c r="A402" s="402">
        <f t="shared" ca="1" si="180"/>
        <v>0.01</v>
      </c>
      <c r="B402" s="357">
        <f t="shared" ca="1" si="181"/>
        <v>3.9799999999999591</v>
      </c>
      <c r="C402" s="342"/>
      <c r="D402" s="359">
        <f t="shared" ca="1" si="182"/>
        <v>10.814270211130635</v>
      </c>
      <c r="E402" s="360">
        <f t="shared" ca="1" si="183"/>
        <v>34.905050691304623</v>
      </c>
      <c r="F402" s="357">
        <f t="shared" ca="1" si="184"/>
        <v>36.541907503055896</v>
      </c>
      <c r="G402" s="359">
        <f t="shared" ca="1" si="185"/>
        <v>61.449386770175927</v>
      </c>
      <c r="H402" s="360">
        <f t="shared" ca="1" si="186"/>
        <v>253.9839962241081</v>
      </c>
      <c r="I402" s="357">
        <f t="shared" ca="1" si="187"/>
        <v>261.3118777866755</v>
      </c>
      <c r="J402" s="359">
        <f t="shared" ca="1" si="188"/>
        <v>129.14552015393343</v>
      </c>
      <c r="K402" s="360">
        <f t="shared" ca="1" si="189"/>
        <v>572.07832284874985</v>
      </c>
      <c r="L402" s="357">
        <f t="shared" ca="1" si="174"/>
        <v>586.4743582197508</v>
      </c>
      <c r="M402" s="359">
        <f t="shared" ca="1" si="190"/>
        <v>1.3334159584030199</v>
      </c>
      <c r="N402" s="357">
        <f t="shared" ca="1" si="191"/>
        <v>76.399106751884773</v>
      </c>
      <c r="O402" s="343"/>
      <c r="P402" s="363">
        <f t="shared" ca="1" si="192"/>
        <v>13</v>
      </c>
      <c r="Q402" s="357">
        <f t="shared" ca="1" si="193"/>
        <v>627.55000000000564</v>
      </c>
      <c r="R402" s="359">
        <f t="shared" ca="1" si="194"/>
        <v>0.31436004031528797</v>
      </c>
      <c r="S402" s="360">
        <f t="shared" ca="1" si="195"/>
        <v>9.7642745534836042</v>
      </c>
      <c r="T402" s="357">
        <f t="shared" ca="1" si="175"/>
        <v>95.787533369674165</v>
      </c>
      <c r="U402" s="364">
        <f t="shared" ca="1" si="176"/>
        <v>0</v>
      </c>
      <c r="V402" s="359">
        <f t="shared" ca="1" si="177"/>
        <v>1.1568692127755156</v>
      </c>
      <c r="W402" s="357">
        <f t="shared" ca="1" si="178"/>
        <v>178.80603917093049</v>
      </c>
      <c r="X402" s="343"/>
      <c r="Y402" s="367" t="str">
        <f t="shared" ca="1" si="196"/>
        <v/>
      </c>
      <c r="Z402" s="368" t="str">
        <f t="shared" ca="1" si="197"/>
        <v/>
      </c>
      <c r="AA402" s="369" t="str">
        <f t="shared" ca="1" si="198"/>
        <v/>
      </c>
      <c r="AB402" s="344"/>
      <c r="AC402" s="363" t="e">
        <f t="shared" ca="1" si="199"/>
        <v>#N/A</v>
      </c>
      <c r="AD402" s="376" t="e">
        <f t="shared" ca="1" si="200"/>
        <v>#N/A</v>
      </c>
      <c r="AE402" s="377">
        <f t="shared" ca="1" si="179"/>
        <v>572.07832284874985</v>
      </c>
      <c r="AF402" s="344"/>
      <c r="AG402" s="359">
        <f t="shared" ca="1" si="201"/>
        <v>36.469070885421708</v>
      </c>
      <c r="AH402" s="357">
        <f t="shared" ca="1" si="202"/>
        <v>46.004175881383745</v>
      </c>
    </row>
    <row r="403" spans="1:34" x14ac:dyDescent="0.25">
      <c r="A403" s="402">
        <f t="shared" ca="1" si="180"/>
        <v>0.01</v>
      </c>
      <c r="B403" s="357">
        <f t="shared" ca="1" si="181"/>
        <v>3.9899999999999589</v>
      </c>
      <c r="C403" s="342"/>
      <c r="D403" s="359">
        <f t="shared" ca="1" si="182"/>
        <v>10.777522806109118</v>
      </c>
      <c r="E403" s="360">
        <f t="shared" ca="1" si="183"/>
        <v>34.735901197188127</v>
      </c>
      <c r="F403" s="357">
        <f t="shared" ca="1" si="184"/>
        <v>36.369462875013951</v>
      </c>
      <c r="G403" s="359">
        <f t="shared" ca="1" si="185"/>
        <v>61.557161998237021</v>
      </c>
      <c r="H403" s="360">
        <f t="shared" ca="1" si="186"/>
        <v>254.33135523607999</v>
      </c>
      <c r="I403" s="357">
        <f t="shared" ca="1" si="187"/>
        <v>261.6748410709335</v>
      </c>
      <c r="J403" s="359">
        <f t="shared" ca="1" si="188"/>
        <v>129.76055289777551</v>
      </c>
      <c r="K403" s="360">
        <f t="shared" ca="1" si="189"/>
        <v>574.61989960605081</v>
      </c>
      <c r="L403" s="357">
        <f t="shared" ca="1" si="174"/>
        <v>589.08898318641502</v>
      </c>
      <c r="M403" s="359">
        <f t="shared" ca="1" si="190"/>
        <v>1.333327799649445</v>
      </c>
      <c r="N403" s="357">
        <f t="shared" ca="1" si="191"/>
        <v>76.39405562737781</v>
      </c>
      <c r="O403" s="343"/>
      <c r="P403" s="363">
        <f t="shared" ca="1" si="192"/>
        <v>13</v>
      </c>
      <c r="Q403" s="357">
        <f t="shared" ca="1" si="193"/>
        <v>626.17000000000564</v>
      </c>
      <c r="R403" s="359">
        <f t="shared" ca="1" si="194"/>
        <v>0.31366875379527348</v>
      </c>
      <c r="S403" s="360">
        <f t="shared" ca="1" si="195"/>
        <v>9.7611378659456509</v>
      </c>
      <c r="T403" s="357">
        <f t="shared" ca="1" si="175"/>
        <v>95.756762464926837</v>
      </c>
      <c r="U403" s="364">
        <f t="shared" ca="1" si="176"/>
        <v>0</v>
      </c>
      <c r="V403" s="359">
        <f t="shared" ca="1" si="177"/>
        <v>1.1565749811707684</v>
      </c>
      <c r="W403" s="357">
        <f t="shared" ca="1" si="178"/>
        <v>179.25750586671253</v>
      </c>
      <c r="X403" s="343"/>
      <c r="Y403" s="367" t="str">
        <f t="shared" ca="1" si="196"/>
        <v/>
      </c>
      <c r="Z403" s="368" t="str">
        <f t="shared" ca="1" si="197"/>
        <v/>
      </c>
      <c r="AA403" s="369" t="str">
        <f t="shared" ca="1" si="198"/>
        <v/>
      </c>
      <c r="AB403" s="344"/>
      <c r="AC403" s="363" t="e">
        <f t="shared" ca="1" si="199"/>
        <v>#N/A</v>
      </c>
      <c r="AD403" s="376" t="e">
        <f t="shared" ca="1" si="200"/>
        <v>#N/A</v>
      </c>
      <c r="AE403" s="377">
        <f t="shared" ca="1" si="179"/>
        <v>574.61989960605081</v>
      </c>
      <c r="AF403" s="344"/>
      <c r="AG403" s="359">
        <f t="shared" ca="1" si="201"/>
        <v>36.296226739404048</v>
      </c>
      <c r="AH403" s="357">
        <f t="shared" ca="1" si="202"/>
        <v>45.831128191501563</v>
      </c>
    </row>
    <row r="404" spans="1:34" x14ac:dyDescent="0.25">
      <c r="A404" s="402">
        <f t="shared" ca="1" si="180"/>
        <v>0.01</v>
      </c>
      <c r="B404" s="357">
        <f t="shared" ca="1" si="181"/>
        <v>3.9999999999999587</v>
      </c>
      <c r="C404" s="342"/>
      <c r="D404" s="359">
        <f t="shared" ca="1" si="182"/>
        <v>10.740755491927898</v>
      </c>
      <c r="E404" s="360">
        <f t="shared" ca="1" si="183"/>
        <v>34.566816796713681</v>
      </c>
      <c r="F404" s="357">
        <f t="shared" ca="1" si="184"/>
        <v>36.197080710948867</v>
      </c>
      <c r="G404" s="359">
        <f t="shared" ca="1" si="185"/>
        <v>61.664569553156298</v>
      </c>
      <c r="H404" s="360">
        <f t="shared" ca="1" si="186"/>
        <v>254.67702340404713</v>
      </c>
      <c r="I404" s="357">
        <f t="shared" ca="1" si="187"/>
        <v>262.0360765011597</v>
      </c>
      <c r="J404" s="359">
        <f t="shared" ca="1" si="188"/>
        <v>130.37666155553248</v>
      </c>
      <c r="K404" s="360">
        <f t="shared" ca="1" si="189"/>
        <v>577.16494149925143</v>
      </c>
      <c r="L404" s="357">
        <f t="shared" ca="1" si="174"/>
        <v>591.70722792120785</v>
      </c>
      <c r="M404" s="359">
        <f t="shared" ca="1" si="190"/>
        <v>1.3332397303503647</v>
      </c>
      <c r="N404" s="357">
        <f t="shared" ca="1" si="191"/>
        <v>76.389009628235826</v>
      </c>
      <c r="O404" s="343"/>
      <c r="P404" s="363">
        <f t="shared" ca="1" si="192"/>
        <v>13</v>
      </c>
      <c r="Q404" s="357">
        <f t="shared" ca="1" si="193"/>
        <v>624.79000000000565</v>
      </c>
      <c r="R404" s="359">
        <f t="shared" ca="1" si="194"/>
        <v>0.31297746727525899</v>
      </c>
      <c r="S404" s="360">
        <f t="shared" ca="1" si="195"/>
        <v>9.7580080912728988</v>
      </c>
      <c r="T404" s="357">
        <f t="shared" ca="1" si="175"/>
        <v>95.726059375387138</v>
      </c>
      <c r="U404" s="364">
        <f t="shared" ca="1" si="176"/>
        <v>0</v>
      </c>
      <c r="V404" s="359">
        <f t="shared" ca="1" si="177"/>
        <v>1.1562804212488305</v>
      </c>
      <c r="W404" s="357">
        <f t="shared" ca="1" si="178"/>
        <v>179.7069883259262</v>
      </c>
      <c r="X404" s="343"/>
      <c r="Y404" s="367" t="str">
        <f t="shared" ca="1" si="196"/>
        <v/>
      </c>
      <c r="Z404" s="368" t="str">
        <f t="shared" ca="1" si="197"/>
        <v/>
      </c>
      <c r="AA404" s="369" t="str">
        <f t="shared" ca="1" si="198"/>
        <v/>
      </c>
      <c r="AB404" s="344"/>
      <c r="AC404" s="363">
        <f t="shared" ca="1" si="199"/>
        <v>3.9999999999999587</v>
      </c>
      <c r="AD404" s="376">
        <f t="shared" ca="1" si="200"/>
        <v>130.37666155553248</v>
      </c>
      <c r="AE404" s="377">
        <f t="shared" ca="1" si="179"/>
        <v>577.16494149925143</v>
      </c>
      <c r="AF404" s="344"/>
      <c r="AG404" s="359">
        <f t="shared" ca="1" si="201"/>
        <v>36.123441402389851</v>
      </c>
      <c r="AH404" s="357">
        <f t="shared" ca="1" si="202"/>
        <v>45.658139444643041</v>
      </c>
    </row>
    <row r="405" spans="1:34" x14ac:dyDescent="0.25">
      <c r="A405" s="402">
        <f t="shared" ca="1" si="180"/>
        <v>0.01</v>
      </c>
      <c r="B405" s="357">
        <f t="shared" ca="1" si="181"/>
        <v>4.0099999999999589</v>
      </c>
      <c r="C405" s="342"/>
      <c r="D405" s="359">
        <f t="shared" ca="1" si="182"/>
        <v>10.693110305624803</v>
      </c>
      <c r="E405" s="360">
        <f t="shared" ca="1" si="183"/>
        <v>34.352953269626354</v>
      </c>
      <c r="F405" s="357">
        <f t="shared" ca="1" si="184"/>
        <v>35.978716018687926</v>
      </c>
      <c r="G405" s="359">
        <f t="shared" ca="1" si="185"/>
        <v>61.771500656212545</v>
      </c>
      <c r="H405" s="360">
        <f t="shared" ca="1" si="186"/>
        <v>255.0205529367434</v>
      </c>
      <c r="I405" s="357">
        <f t="shared" ca="1" si="187"/>
        <v>262.39512326543496</v>
      </c>
      <c r="J405" s="359">
        <f t="shared" ca="1" si="188"/>
        <v>130.99384190657932</v>
      </c>
      <c r="K405" s="360">
        <f t="shared" ca="1" si="189"/>
        <v>579.7134293809554</v>
      </c>
      <c r="L405" s="357">
        <f t="shared" ca="1" si="174"/>
        <v>594.32907283934367</v>
      </c>
      <c r="M405" s="359">
        <f t="shared" ca="1" si="190"/>
        <v>1.3331517495588159</v>
      </c>
      <c r="N405" s="357">
        <f t="shared" ca="1" si="191"/>
        <v>76.383968700201862</v>
      </c>
      <c r="O405" s="343"/>
      <c r="P405" s="363">
        <f t="shared" ca="1" si="192"/>
        <v>14</v>
      </c>
      <c r="Q405" s="357">
        <f t="shared" ca="1" si="193"/>
        <v>622.96000000000936</v>
      </c>
      <c r="R405" s="359">
        <f t="shared" ca="1" si="194"/>
        <v>0.31206076123785031</v>
      </c>
      <c r="S405" s="360">
        <f t="shared" ca="1" si="195"/>
        <v>9.7548874836605197</v>
      </c>
      <c r="T405" s="357">
        <f t="shared" ca="1" si="175"/>
        <v>95.695446214709705</v>
      </c>
      <c r="U405" s="364">
        <f t="shared" ca="1" si="176"/>
        <v>0</v>
      </c>
      <c r="V405" s="359">
        <f t="shared" ca="1" si="177"/>
        <v>1.1559855354955708</v>
      </c>
      <c r="W405" s="357">
        <f t="shared" ca="1" si="178"/>
        <v>180.15384523530582</v>
      </c>
      <c r="X405" s="343"/>
      <c r="Y405" s="367" t="str">
        <f t="shared" ca="1" si="196"/>
        <v/>
      </c>
      <c r="Z405" s="368" t="str">
        <f t="shared" ca="1" si="197"/>
        <v/>
      </c>
      <c r="AA405" s="369" t="str">
        <f t="shared" ca="1" si="198"/>
        <v/>
      </c>
      <c r="AB405" s="344"/>
      <c r="AC405" s="363" t="e">
        <f t="shared" ca="1" si="199"/>
        <v>#N/A</v>
      </c>
      <c r="AD405" s="376" t="e">
        <f t="shared" ca="1" si="200"/>
        <v>#N/A</v>
      </c>
      <c r="AE405" s="377">
        <f t="shared" ca="1" si="179"/>
        <v>579.7134293809554</v>
      </c>
      <c r="AF405" s="344"/>
      <c r="AG405" s="359">
        <f t="shared" ca="1" si="201"/>
        <v>35.90457487248289</v>
      </c>
      <c r="AH405" s="357">
        <f t="shared" ca="1" si="202"/>
        <v>45.439069637300683</v>
      </c>
    </row>
    <row r="406" spans="1:34" x14ac:dyDescent="0.25">
      <c r="A406" s="402">
        <f t="shared" ca="1" si="180"/>
        <v>0.01</v>
      </c>
      <c r="B406" s="357">
        <f t="shared" ca="1" si="181"/>
        <v>4.0199999999999587</v>
      </c>
      <c r="C406" s="342"/>
      <c r="D406" s="359">
        <f t="shared" ca="1" si="182"/>
        <v>10.634578268706544</v>
      </c>
      <c r="E406" s="360">
        <f t="shared" ca="1" si="183"/>
        <v>34.094324834657556</v>
      </c>
      <c r="F406" s="357">
        <f t="shared" ca="1" si="184"/>
        <v>35.714384229388479</v>
      </c>
      <c r="G406" s="359">
        <f t="shared" ca="1" si="185"/>
        <v>61.87784643889961</v>
      </c>
      <c r="H406" s="360">
        <f t="shared" ca="1" si="186"/>
        <v>255.36149618508998</v>
      </c>
      <c r="I406" s="357">
        <f t="shared" ca="1" si="187"/>
        <v>262.75152066887028</v>
      </c>
      <c r="J406" s="359">
        <f t="shared" ca="1" si="188"/>
        <v>131.61208864205489</v>
      </c>
      <c r="K406" s="360">
        <f t="shared" ca="1" si="189"/>
        <v>582.26533962656458</v>
      </c>
      <c r="L406" s="357">
        <f t="shared" ca="1" si="174"/>
        <v>596.95449374903171</v>
      </c>
      <c r="M406" s="359">
        <f t="shared" ca="1" si="190"/>
        <v>1.3330638561794772</v>
      </c>
      <c r="N406" s="357">
        <f t="shared" ca="1" si="191"/>
        <v>76.37893278051861</v>
      </c>
      <c r="O406" s="343"/>
      <c r="P406" s="363">
        <f t="shared" ca="1" si="192"/>
        <v>14</v>
      </c>
      <c r="Q406" s="357">
        <f t="shared" ca="1" si="193"/>
        <v>620.68000000000939</v>
      </c>
      <c r="R406" s="359">
        <f t="shared" ca="1" si="194"/>
        <v>0.31091863568304379</v>
      </c>
      <c r="S406" s="360">
        <f t="shared" ca="1" si="195"/>
        <v>9.7517782973036891</v>
      </c>
      <c r="T406" s="357">
        <f t="shared" ca="1" si="175"/>
        <v>95.664945096549189</v>
      </c>
      <c r="U406" s="364">
        <f t="shared" ca="1" si="176"/>
        <v>0</v>
      </c>
      <c r="V406" s="359">
        <f t="shared" ca="1" si="177"/>
        <v>1.1556903269127246</v>
      </c>
      <c r="W406" s="357">
        <f t="shared" ca="1" si="178"/>
        <v>180.59743278981904</v>
      </c>
      <c r="X406" s="343"/>
      <c r="Y406" s="367" t="str">
        <f t="shared" ca="1" si="196"/>
        <v/>
      </c>
      <c r="Z406" s="368" t="str">
        <f t="shared" ca="1" si="197"/>
        <v/>
      </c>
      <c r="AA406" s="369" t="str">
        <f t="shared" ca="1" si="198"/>
        <v/>
      </c>
      <c r="AB406" s="344"/>
      <c r="AC406" s="363" t="e">
        <f t="shared" ca="1" si="199"/>
        <v>#N/A</v>
      </c>
      <c r="AD406" s="376" t="e">
        <f t="shared" ca="1" si="200"/>
        <v>#N/A</v>
      </c>
      <c r="AE406" s="377">
        <f t="shared" ca="1" si="179"/>
        <v>582.26533962656458</v>
      </c>
      <c r="AF406" s="344"/>
      <c r="AG406" s="359">
        <f t="shared" ca="1" si="201"/>
        <v>35.639638852522637</v>
      </c>
      <c r="AH406" s="357">
        <f t="shared" ca="1" si="202"/>
        <v>45.173930470353959</v>
      </c>
    </row>
    <row r="407" spans="1:34" x14ac:dyDescent="0.25">
      <c r="A407" s="402">
        <f t="shared" ca="1" si="180"/>
        <v>0.01</v>
      </c>
      <c r="B407" s="357">
        <f t="shared" ca="1" si="181"/>
        <v>4.0299999999999585</v>
      </c>
      <c r="C407" s="342"/>
      <c r="D407" s="359">
        <f t="shared" ca="1" si="182"/>
        <v>10.576023750126833</v>
      </c>
      <c r="E407" s="360">
        <f t="shared" ca="1" si="183"/>
        <v>33.835818397836647</v>
      </c>
      <c r="F407" s="357">
        <f t="shared" ca="1" si="184"/>
        <v>35.450174682427559</v>
      </c>
      <c r="G407" s="359">
        <f t="shared" ca="1" si="185"/>
        <v>61.983606676400875</v>
      </c>
      <c r="H407" s="360">
        <f t="shared" ca="1" si="186"/>
        <v>255.69985436906833</v>
      </c>
      <c r="I407" s="357">
        <f t="shared" ca="1" si="187"/>
        <v>263.10526984645804</v>
      </c>
      <c r="J407" s="359">
        <f t="shared" ca="1" si="188"/>
        <v>132.23139590763139</v>
      </c>
      <c r="K407" s="360">
        <f t="shared" ca="1" si="189"/>
        <v>584.82064637933536</v>
      </c>
      <c r="L407" s="357">
        <f t="shared" ca="1" si="174"/>
        <v>599.58346416093264</v>
      </c>
      <c r="M407" s="359">
        <f t="shared" ca="1" si="190"/>
        <v>1.3329760491240985</v>
      </c>
      <c r="N407" s="357">
        <f t="shared" ca="1" si="191"/>
        <v>76.373901806833942</v>
      </c>
      <c r="O407" s="343"/>
      <c r="P407" s="363">
        <f t="shared" ca="1" si="192"/>
        <v>14</v>
      </c>
      <c r="Q407" s="357">
        <f t="shared" ca="1" si="193"/>
        <v>618.40000000000941</v>
      </c>
      <c r="R407" s="359">
        <f t="shared" ca="1" si="194"/>
        <v>0.30977651012823726</v>
      </c>
      <c r="S407" s="360">
        <f t="shared" ca="1" si="195"/>
        <v>9.7486805322024068</v>
      </c>
      <c r="T407" s="357">
        <f t="shared" ca="1" si="175"/>
        <v>95.63455602090562</v>
      </c>
      <c r="U407" s="364">
        <f t="shared" ca="1" si="176"/>
        <v>0</v>
      </c>
      <c r="V407" s="359">
        <f t="shared" ca="1" si="177"/>
        <v>1.1553947987576278</v>
      </c>
      <c r="W407" s="357">
        <f t="shared" ca="1" si="178"/>
        <v>181.03774010937636</v>
      </c>
      <c r="X407" s="343"/>
      <c r="Y407" s="367" t="str">
        <f t="shared" ca="1" si="196"/>
        <v/>
      </c>
      <c r="Z407" s="368" t="str">
        <f t="shared" ca="1" si="197"/>
        <v/>
      </c>
      <c r="AA407" s="369" t="str">
        <f t="shared" ca="1" si="198"/>
        <v/>
      </c>
      <c r="AB407" s="344"/>
      <c r="AC407" s="363" t="e">
        <f t="shared" ca="1" si="199"/>
        <v>#N/A</v>
      </c>
      <c r="AD407" s="376" t="e">
        <f t="shared" ca="1" si="200"/>
        <v>#N/A</v>
      </c>
      <c r="AE407" s="377">
        <f t="shared" ca="1" si="179"/>
        <v>584.82064637933536</v>
      </c>
      <c r="AF407" s="344"/>
      <c r="AG407" s="359">
        <f t="shared" ca="1" si="201"/>
        <v>35.374816330660622</v>
      </c>
      <c r="AH407" s="357">
        <f t="shared" ca="1" si="202"/>
        <v>44.90890492964823</v>
      </c>
    </row>
    <row r="408" spans="1:34" x14ac:dyDescent="0.25">
      <c r="A408" s="402">
        <f t="shared" ca="1" si="180"/>
        <v>0.01</v>
      </c>
      <c r="B408" s="357">
        <f t="shared" ca="1" si="181"/>
        <v>4.0399999999999583</v>
      </c>
      <c r="C408" s="342"/>
      <c r="D408" s="359">
        <f t="shared" ca="1" si="182"/>
        <v>10.517447403476584</v>
      </c>
      <c r="E408" s="360">
        <f t="shared" ca="1" si="183"/>
        <v>33.57743602713272</v>
      </c>
      <c r="F408" s="357">
        <f t="shared" ca="1" si="184"/>
        <v>35.18608972365481</v>
      </c>
      <c r="G408" s="359">
        <f t="shared" ca="1" si="185"/>
        <v>62.088781150435643</v>
      </c>
      <c r="H408" s="360">
        <f t="shared" ca="1" si="186"/>
        <v>256.03562872933963</v>
      </c>
      <c r="I408" s="357">
        <f t="shared" ca="1" si="187"/>
        <v>263.45637195477912</v>
      </c>
      <c r="J408" s="359">
        <f t="shared" ca="1" si="188"/>
        <v>132.85175784676557</v>
      </c>
      <c r="K408" s="360">
        <f t="shared" ca="1" si="189"/>
        <v>587.37932379482743</v>
      </c>
      <c r="L408" s="357">
        <f t="shared" ca="1" si="174"/>
        <v>602.2159575971433</v>
      </c>
      <c r="M408" s="359">
        <f t="shared" ca="1" si="190"/>
        <v>1.3328883273114063</v>
      </c>
      <c r="N408" s="357">
        <f t="shared" ca="1" si="191"/>
        <v>76.368875717195436</v>
      </c>
      <c r="O408" s="343"/>
      <c r="P408" s="363">
        <f t="shared" ca="1" si="192"/>
        <v>14</v>
      </c>
      <c r="Q408" s="357">
        <f t="shared" ca="1" si="193"/>
        <v>616.12000000000944</v>
      </c>
      <c r="R408" s="359">
        <f t="shared" ca="1" si="194"/>
        <v>0.30863438457343073</v>
      </c>
      <c r="S408" s="360">
        <f t="shared" ca="1" si="195"/>
        <v>9.745594188356673</v>
      </c>
      <c r="T408" s="357">
        <f t="shared" ca="1" si="175"/>
        <v>95.604278987778969</v>
      </c>
      <c r="U408" s="364">
        <f t="shared" ca="1" si="176"/>
        <v>0</v>
      </c>
      <c r="V408" s="359">
        <f t="shared" ca="1" si="177"/>
        <v>1.1550989542834118</v>
      </c>
      <c r="W408" s="357">
        <f t="shared" ca="1" si="178"/>
        <v>181.4747564854172</v>
      </c>
      <c r="X408" s="343"/>
      <c r="Y408" s="367" t="str">
        <f t="shared" ca="1" si="196"/>
        <v/>
      </c>
      <c r="Z408" s="368" t="str">
        <f t="shared" ca="1" si="197"/>
        <v/>
      </c>
      <c r="AA408" s="369" t="str">
        <f t="shared" ca="1" si="198"/>
        <v/>
      </c>
      <c r="AB408" s="344"/>
      <c r="AC408" s="363" t="e">
        <f t="shared" ca="1" si="199"/>
        <v>#N/A</v>
      </c>
      <c r="AD408" s="376" t="e">
        <f t="shared" ca="1" si="200"/>
        <v>#N/A</v>
      </c>
      <c r="AE408" s="377">
        <f t="shared" ca="1" si="179"/>
        <v>587.37932379482743</v>
      </c>
      <c r="AF408" s="344"/>
      <c r="AG408" s="359">
        <f t="shared" ca="1" si="201"/>
        <v>35.110109465736834</v>
      </c>
      <c r="AH408" s="357">
        <f t="shared" ca="1" si="202"/>
        <v>44.64399517172977</v>
      </c>
    </row>
    <row r="409" spans="1:34" x14ac:dyDescent="0.25">
      <c r="A409" s="402">
        <f t="shared" ca="1" si="180"/>
        <v>0.01</v>
      </c>
      <c r="B409" s="357">
        <f t="shared" ca="1" si="181"/>
        <v>4.0499999999999581</v>
      </c>
      <c r="C409" s="342"/>
      <c r="D409" s="359">
        <f t="shared" ca="1" si="182"/>
        <v>10.458849877896753</v>
      </c>
      <c r="E409" s="360">
        <f t="shared" ca="1" si="183"/>
        <v>33.319179775407513</v>
      </c>
      <c r="F409" s="357">
        <f t="shared" ca="1" si="184"/>
        <v>34.922131688576883</v>
      </c>
      <c r="G409" s="359">
        <f t="shared" ca="1" si="185"/>
        <v>62.19336964921461</v>
      </c>
      <c r="H409" s="360">
        <f t="shared" ca="1" si="186"/>
        <v>256.3688205270937</v>
      </c>
      <c r="I409" s="357">
        <f t="shared" ca="1" si="187"/>
        <v>263.80482817184571</v>
      </c>
      <c r="J409" s="359">
        <f t="shared" ca="1" si="188"/>
        <v>133.47316860076381</v>
      </c>
      <c r="K409" s="360">
        <f t="shared" ca="1" si="189"/>
        <v>589.94134604110957</v>
      </c>
      <c r="L409" s="357">
        <f t="shared" ca="1" si="174"/>
        <v>604.85194759141189</v>
      </c>
      <c r="M409" s="359">
        <f t="shared" ca="1" si="190"/>
        <v>1.3328006896670093</v>
      </c>
      <c r="N409" s="357">
        <f t="shared" ca="1" si="191"/>
        <v>76.363854450045025</v>
      </c>
      <c r="O409" s="343"/>
      <c r="P409" s="363">
        <f t="shared" ca="1" si="192"/>
        <v>14</v>
      </c>
      <c r="Q409" s="357">
        <f t="shared" ca="1" si="193"/>
        <v>613.84000000000947</v>
      </c>
      <c r="R409" s="359">
        <f t="shared" ca="1" si="194"/>
        <v>0.3074922590186242</v>
      </c>
      <c r="S409" s="360">
        <f t="shared" ca="1" si="195"/>
        <v>9.7425192657664876</v>
      </c>
      <c r="T409" s="357">
        <f t="shared" ca="1" si="175"/>
        <v>95.574113997169249</v>
      </c>
      <c r="U409" s="364">
        <f t="shared" ca="1" si="176"/>
        <v>0</v>
      </c>
      <c r="V409" s="359">
        <f t="shared" ca="1" si="177"/>
        <v>1.1548027967389709</v>
      </c>
      <c r="W409" s="357">
        <f t="shared" ca="1" si="178"/>
        <v>181.90847138048144</v>
      </c>
      <c r="X409" s="343"/>
      <c r="Y409" s="367" t="str">
        <f t="shared" ca="1" si="196"/>
        <v/>
      </c>
      <c r="Z409" s="368" t="str">
        <f t="shared" ca="1" si="197"/>
        <v/>
      </c>
      <c r="AA409" s="369" t="str">
        <f t="shared" ca="1" si="198"/>
        <v/>
      </c>
      <c r="AB409" s="344"/>
      <c r="AC409" s="363" t="e">
        <f t="shared" ca="1" si="199"/>
        <v>#N/A</v>
      </c>
      <c r="AD409" s="376" t="e">
        <f t="shared" ca="1" si="200"/>
        <v>#N/A</v>
      </c>
      <c r="AE409" s="377">
        <f t="shared" ca="1" si="179"/>
        <v>589.94134604110957</v>
      </c>
      <c r="AF409" s="344"/>
      <c r="AG409" s="359">
        <f t="shared" ca="1" si="201"/>
        <v>34.845520400896191</v>
      </c>
      <c r="AH409" s="357">
        <f t="shared" ca="1" si="202"/>
        <v>44.379203337462037</v>
      </c>
    </row>
    <row r="410" spans="1:34" x14ac:dyDescent="0.25">
      <c r="A410" s="402">
        <f t="shared" ca="1" si="180"/>
        <v>0.01</v>
      </c>
      <c r="B410" s="357">
        <f t="shared" ca="1" si="181"/>
        <v>4.0599999999999579</v>
      </c>
      <c r="C410" s="342"/>
      <c r="D410" s="359">
        <f t="shared" ca="1" si="182"/>
        <v>10.400231818082801</v>
      </c>
      <c r="E410" s="360">
        <f t="shared" ca="1" si="183"/>
        <v>33.061051680408674</v>
      </c>
      <c r="F410" s="357">
        <f t="shared" ca="1" si="184"/>
        <v>34.658302902544364</v>
      </c>
      <c r="G410" s="359">
        <f t="shared" ca="1" si="185"/>
        <v>62.297371967395435</v>
      </c>
      <c r="H410" s="360">
        <f t="shared" ca="1" si="186"/>
        <v>256.69943104389779</v>
      </c>
      <c r="I410" s="357">
        <f t="shared" ca="1" si="187"/>
        <v>264.15063969694427</v>
      </c>
      <c r="J410" s="359">
        <f t="shared" ca="1" si="188"/>
        <v>134.09562230884686</v>
      </c>
      <c r="K410" s="360">
        <f t="shared" ca="1" si="189"/>
        <v>592.50668729896449</v>
      </c>
      <c r="L410" s="357">
        <f t="shared" ca="1" si="174"/>
        <v>607.49140768935138</v>
      </c>
      <c r="M410" s="359">
        <f t="shared" ca="1" si="190"/>
        <v>1.3327131351233048</v>
      </c>
      <c r="N410" s="357">
        <f t="shared" ca="1" si="191"/>
        <v>76.358837944213562</v>
      </c>
      <c r="O410" s="343"/>
      <c r="P410" s="363">
        <f t="shared" ca="1" si="192"/>
        <v>14</v>
      </c>
      <c r="Q410" s="357">
        <f t="shared" ca="1" si="193"/>
        <v>611.5600000000095</v>
      </c>
      <c r="R410" s="359">
        <f t="shared" ca="1" si="194"/>
        <v>0.30635013346381768</v>
      </c>
      <c r="S410" s="360">
        <f t="shared" ca="1" si="195"/>
        <v>9.7394557644318489</v>
      </c>
      <c r="T410" s="357">
        <f t="shared" ca="1" si="175"/>
        <v>95.544061049076447</v>
      </c>
      <c r="U410" s="364">
        <f t="shared" ca="1" si="176"/>
        <v>0</v>
      </c>
      <c r="V410" s="359">
        <f t="shared" ca="1" si="177"/>
        <v>1.154506329368935</v>
      </c>
      <c r="W410" s="357">
        <f t="shared" ca="1" si="178"/>
        <v>182.33887442777419</v>
      </c>
      <c r="X410" s="343"/>
      <c r="Y410" s="367" t="str">
        <f t="shared" ca="1" si="196"/>
        <v/>
      </c>
      <c r="Z410" s="368" t="str">
        <f t="shared" ca="1" si="197"/>
        <v/>
      </c>
      <c r="AA410" s="369" t="str">
        <f t="shared" ca="1" si="198"/>
        <v/>
      </c>
      <c r="AB410" s="344"/>
      <c r="AC410" s="363" t="e">
        <f t="shared" ca="1" si="199"/>
        <v>#N/A</v>
      </c>
      <c r="AD410" s="376" t="e">
        <f t="shared" ca="1" si="200"/>
        <v>#N/A</v>
      </c>
      <c r="AE410" s="377">
        <f t="shared" ca="1" si="179"/>
        <v>592.50668729896449</v>
      </c>
      <c r="AF410" s="344"/>
      <c r="AG410" s="359">
        <f t="shared" ca="1" si="201"/>
        <v>34.581051263582651</v>
      </c>
      <c r="AH410" s="357">
        <f t="shared" ca="1" si="202"/>
        <v>44.114531552019606</v>
      </c>
    </row>
    <row r="411" spans="1:34" x14ac:dyDescent="0.25">
      <c r="A411" s="402">
        <f t="shared" ca="1" si="180"/>
        <v>0.01</v>
      </c>
      <c r="B411" s="357">
        <f t="shared" ca="1" si="181"/>
        <v>4.0699999999999577</v>
      </c>
      <c r="C411" s="342"/>
      <c r="D411" s="359">
        <f t="shared" ca="1" si="182"/>
        <v>10.341593864289333</v>
      </c>
      <c r="E411" s="360">
        <f t="shared" ca="1" si="183"/>
        <v>32.803053764764186</v>
      </c>
      <c r="F411" s="357">
        <f t="shared" ca="1" si="184"/>
        <v>34.394605680948239</v>
      </c>
      <c r="G411" s="359">
        <f t="shared" ca="1" si="185"/>
        <v>62.400787906038332</v>
      </c>
      <c r="H411" s="360">
        <f t="shared" ca="1" si="186"/>
        <v>257.02746158154542</v>
      </c>
      <c r="I411" s="357">
        <f t="shared" ca="1" si="187"/>
        <v>264.49380775047871</v>
      </c>
      <c r="J411" s="359">
        <f t="shared" ca="1" si="188"/>
        <v>134.71911310821403</v>
      </c>
      <c r="K411" s="360">
        <f t="shared" ca="1" si="189"/>
        <v>595.07532176209168</v>
      </c>
      <c r="L411" s="357">
        <f t="shared" ca="1" si="174"/>
        <v>610.13431144865206</v>
      </c>
      <c r="M411" s="359">
        <f t="shared" ca="1" si="190"/>
        <v>1.3326256626193884</v>
      </c>
      <c r="N411" s="357">
        <f t="shared" ca="1" si="191"/>
        <v>76.353826138915707</v>
      </c>
      <c r="O411" s="343"/>
      <c r="P411" s="363">
        <f t="shared" ca="1" si="192"/>
        <v>14</v>
      </c>
      <c r="Q411" s="357">
        <f t="shared" ca="1" si="193"/>
        <v>609.28000000000952</v>
      </c>
      <c r="R411" s="359">
        <f t="shared" ca="1" si="194"/>
        <v>0.30520800790901115</v>
      </c>
      <c r="S411" s="360">
        <f t="shared" ca="1" si="195"/>
        <v>9.7364036843527586</v>
      </c>
      <c r="T411" s="357">
        <f t="shared" ca="1" si="175"/>
        <v>95.514120143500563</v>
      </c>
      <c r="U411" s="364">
        <f t="shared" ca="1" si="176"/>
        <v>0</v>
      </c>
      <c r="V411" s="359">
        <f t="shared" ca="1" si="177"/>
        <v>1.1542095554136393</v>
      </c>
      <c r="W411" s="357">
        <f t="shared" ca="1" si="178"/>
        <v>182.76595543072398</v>
      </c>
      <c r="X411" s="343"/>
      <c r="Y411" s="367" t="str">
        <f t="shared" ca="1" si="196"/>
        <v/>
      </c>
      <c r="Z411" s="368" t="str">
        <f t="shared" ca="1" si="197"/>
        <v/>
      </c>
      <c r="AA411" s="369" t="str">
        <f t="shared" ca="1" si="198"/>
        <v/>
      </c>
      <c r="AB411" s="344"/>
      <c r="AC411" s="363" t="e">
        <f t="shared" ca="1" si="199"/>
        <v>#N/A</v>
      </c>
      <c r="AD411" s="376" t="e">
        <f t="shared" ca="1" si="200"/>
        <v>#N/A</v>
      </c>
      <c r="AE411" s="377">
        <f t="shared" ca="1" si="179"/>
        <v>595.07532176209168</v>
      </c>
      <c r="AF411" s="344"/>
      <c r="AG411" s="359">
        <f t="shared" ca="1" si="201"/>
        <v>34.316704165534475</v>
      </c>
      <c r="AH411" s="357">
        <f t="shared" ca="1" si="202"/>
        <v>43.849981924883274</v>
      </c>
    </row>
    <row r="412" spans="1:34" x14ac:dyDescent="0.25">
      <c r="A412" s="402">
        <f t="shared" ca="1" si="180"/>
        <v>0.01</v>
      </c>
      <c r="B412" s="357">
        <f t="shared" ca="1" si="181"/>
        <v>4.0799999999999574</v>
      </c>
      <c r="C412" s="342"/>
      <c r="D412" s="359">
        <f t="shared" ca="1" si="182"/>
        <v>10.282936652334644</v>
      </c>
      <c r="E412" s="360">
        <f t="shared" ca="1" si="183"/>
        <v>32.54518803597756</v>
      </c>
      <c r="F412" s="357">
        <f t="shared" ca="1" si="184"/>
        <v>34.131042329425924</v>
      </c>
      <c r="G412" s="359">
        <f t="shared" ca="1" si="185"/>
        <v>62.503617272561677</v>
      </c>
      <c r="H412" s="360">
        <f t="shared" ca="1" si="186"/>
        <v>257.35291346190519</v>
      </c>
      <c r="I412" s="357">
        <f t="shared" ca="1" si="187"/>
        <v>264.83433357381313</v>
      </c>
      <c r="J412" s="359">
        <f t="shared" ca="1" si="188"/>
        <v>135.34363513410702</v>
      </c>
      <c r="K412" s="360">
        <f t="shared" ca="1" si="189"/>
        <v>597.64722363730891</v>
      </c>
      <c r="L412" s="357">
        <f t="shared" ca="1" si="174"/>
        <v>612.78063243929125</v>
      </c>
      <c r="M412" s="359">
        <f t="shared" ca="1" si="190"/>
        <v>1.3325382711009617</v>
      </c>
      <c r="N412" s="357">
        <f t="shared" ca="1" si="191"/>
        <v>76.348818973744613</v>
      </c>
      <c r="O412" s="343"/>
      <c r="P412" s="363">
        <f t="shared" ca="1" si="192"/>
        <v>14</v>
      </c>
      <c r="Q412" s="357">
        <f t="shared" ca="1" si="193"/>
        <v>607.00000000000955</v>
      </c>
      <c r="R412" s="359">
        <f t="shared" ca="1" si="194"/>
        <v>0.30406588235420456</v>
      </c>
      <c r="S412" s="360">
        <f t="shared" ca="1" si="195"/>
        <v>9.7333630255292167</v>
      </c>
      <c r="T412" s="357">
        <f t="shared" ca="1" si="175"/>
        <v>95.484291280441624</v>
      </c>
      <c r="U412" s="364">
        <f t="shared" ca="1" si="176"/>
        <v>0</v>
      </c>
      <c r="V412" s="359">
        <f t="shared" ca="1" si="177"/>
        <v>1.1539124781090975</v>
      </c>
      <c r="W412" s="357">
        <f t="shared" ca="1" si="178"/>
        <v>183.18970436253355</v>
      </c>
      <c r="X412" s="343"/>
      <c r="Y412" s="367" t="str">
        <f t="shared" ca="1" si="196"/>
        <v/>
      </c>
      <c r="Z412" s="368" t="str">
        <f t="shared" ca="1" si="197"/>
        <v/>
      </c>
      <c r="AA412" s="369" t="str">
        <f t="shared" ca="1" si="198"/>
        <v/>
      </c>
      <c r="AB412" s="344"/>
      <c r="AC412" s="363" t="e">
        <f t="shared" ca="1" si="199"/>
        <v>#N/A</v>
      </c>
      <c r="AD412" s="376" t="e">
        <f t="shared" ca="1" si="200"/>
        <v>#N/A</v>
      </c>
      <c r="AE412" s="377">
        <f t="shared" ca="1" si="179"/>
        <v>597.64722363730891</v>
      </c>
      <c r="AF412" s="344"/>
      <c r="AG412" s="359">
        <f t="shared" ca="1" si="201"/>
        <v>34.052481202780271</v>
      </c>
      <c r="AH412" s="357">
        <f t="shared" ca="1" si="202"/>
        <v>43.585556549835907</v>
      </c>
    </row>
    <row r="413" spans="1:34" x14ac:dyDescent="0.25">
      <c r="A413" s="402">
        <f t="shared" ca="1" si="180"/>
        <v>0.01</v>
      </c>
      <c r="B413" s="357">
        <f t="shared" ca="1" si="181"/>
        <v>4.0899999999999572</v>
      </c>
      <c r="C413" s="342"/>
      <c r="D413" s="359">
        <f t="shared" ca="1" si="182"/>
        <v>10.224260813605554</v>
      </c>
      <c r="E413" s="360">
        <f t="shared" ca="1" si="183"/>
        <v>32.28745648642419</v>
      </c>
      <c r="F413" s="357">
        <f t="shared" ca="1" si="184"/>
        <v>33.867615144077767</v>
      </c>
      <c r="G413" s="359">
        <f t="shared" ca="1" si="185"/>
        <v>62.605859880697729</v>
      </c>
      <c r="H413" s="360">
        <f t="shared" ca="1" si="186"/>
        <v>257.67578802676945</v>
      </c>
      <c r="I413" s="357">
        <f t="shared" ca="1" si="187"/>
        <v>265.17221842911482</v>
      </c>
      <c r="J413" s="359">
        <f t="shared" ca="1" si="188"/>
        <v>135.96918251987333</v>
      </c>
      <c r="K413" s="360">
        <f t="shared" ca="1" si="189"/>
        <v>600.2223671447523</v>
      </c>
      <c r="L413" s="357">
        <f t="shared" ca="1" si="174"/>
        <v>615.43034424374332</v>
      </c>
      <c r="M413" s="359">
        <f t="shared" ca="1" si="190"/>
        <v>1.3324509595202445</v>
      </c>
      <c r="N413" s="357">
        <f t="shared" ca="1" si="191"/>
        <v>76.343816388666909</v>
      </c>
      <c r="O413" s="343"/>
      <c r="P413" s="363">
        <f t="shared" ca="1" si="192"/>
        <v>14</v>
      </c>
      <c r="Q413" s="357">
        <f t="shared" ca="1" si="193"/>
        <v>604.72000000000958</v>
      </c>
      <c r="R413" s="359">
        <f t="shared" ca="1" si="194"/>
        <v>0.30292375679939804</v>
      </c>
      <c r="S413" s="360">
        <f t="shared" ca="1" si="195"/>
        <v>9.7303337879612233</v>
      </c>
      <c r="T413" s="357">
        <f t="shared" ca="1" si="175"/>
        <v>95.454574459899604</v>
      </c>
      <c r="U413" s="364">
        <f t="shared" ca="1" si="176"/>
        <v>0</v>
      </c>
      <c r="V413" s="359">
        <f t="shared" ca="1" si="177"/>
        <v>1.1536151006869706</v>
      </c>
      <c r="W413" s="357">
        <f t="shared" ca="1" si="178"/>
        <v>183.61011136572378</v>
      </c>
      <c r="X413" s="343"/>
      <c r="Y413" s="367" t="str">
        <f t="shared" ca="1" si="196"/>
        <v/>
      </c>
      <c r="Z413" s="368" t="str">
        <f t="shared" ca="1" si="197"/>
        <v/>
      </c>
      <c r="AA413" s="369" t="str">
        <f t="shared" ca="1" si="198"/>
        <v/>
      </c>
      <c r="AB413" s="344"/>
      <c r="AC413" s="363" t="e">
        <f t="shared" ca="1" si="199"/>
        <v>#N/A</v>
      </c>
      <c r="AD413" s="376" t="e">
        <f t="shared" ca="1" si="200"/>
        <v>#N/A</v>
      </c>
      <c r="AE413" s="377">
        <f t="shared" ca="1" si="179"/>
        <v>600.2223671447523</v>
      </c>
      <c r="AF413" s="344"/>
      <c r="AG413" s="359">
        <f t="shared" ca="1" si="201"/>
        <v>33.788384455636219</v>
      </c>
      <c r="AH413" s="357">
        <f t="shared" ca="1" si="202"/>
        <v>43.321257504959483</v>
      </c>
    </row>
    <row r="414" spans="1:34" x14ac:dyDescent="0.25">
      <c r="A414" s="402">
        <f t="shared" ca="1" si="180"/>
        <v>0.01</v>
      </c>
      <c r="B414" s="357">
        <f t="shared" ca="1" si="181"/>
        <v>4.099999999999957</v>
      </c>
      <c r="C414" s="342"/>
      <c r="D414" s="359">
        <f t="shared" ca="1" si="182"/>
        <v>10.165566975062145</v>
      </c>
      <c r="E414" s="360">
        <f t="shared" ca="1" si="183"/>
        <v>32.029861093348643</v>
      </c>
      <c r="F414" s="357">
        <f t="shared" ca="1" si="184"/>
        <v>33.604326411694124</v>
      </c>
      <c r="G414" s="359">
        <f t="shared" ca="1" si="185"/>
        <v>62.707515550448349</v>
      </c>
      <c r="H414" s="360">
        <f t="shared" ca="1" si="186"/>
        <v>257.99608663770294</v>
      </c>
      <c r="I414" s="357">
        <f t="shared" ca="1" si="187"/>
        <v>265.50746359919685</v>
      </c>
      <c r="J414" s="359">
        <f t="shared" ca="1" si="188"/>
        <v>136.59574939702907</v>
      </c>
      <c r="K414" s="360">
        <f t="shared" ca="1" si="189"/>
        <v>602.80072651807461</v>
      </c>
      <c r="L414" s="357">
        <f t="shared" ca="1" si="174"/>
        <v>618.08342045718598</v>
      </c>
      <c r="M414" s="359">
        <f t="shared" ca="1" si="190"/>
        <v>1.332363726835885</v>
      </c>
      <c r="N414" s="357">
        <f t="shared" ca="1" si="191"/>
        <v>76.33881832401751</v>
      </c>
      <c r="O414" s="343"/>
      <c r="P414" s="363">
        <f t="shared" ca="1" si="192"/>
        <v>14</v>
      </c>
      <c r="Q414" s="357">
        <f t="shared" ca="1" si="193"/>
        <v>602.4400000000096</v>
      </c>
      <c r="R414" s="359">
        <f t="shared" ca="1" si="194"/>
        <v>0.30178163124459151</v>
      </c>
      <c r="S414" s="360">
        <f t="shared" ca="1" si="195"/>
        <v>9.7273159716487765</v>
      </c>
      <c r="T414" s="357">
        <f t="shared" ca="1" si="175"/>
        <v>95.424969681874501</v>
      </c>
      <c r="U414" s="364">
        <f t="shared" ca="1" si="176"/>
        <v>0</v>
      </c>
      <c r="V414" s="359">
        <f t="shared" ca="1" si="177"/>
        <v>1.1533174263745416</v>
      </c>
      <c r="W414" s="357">
        <f t="shared" ca="1" si="178"/>
        <v>184.02716675167088</v>
      </c>
      <c r="X414" s="343"/>
      <c r="Y414" s="367" t="str">
        <f t="shared" ca="1" si="196"/>
        <v/>
      </c>
      <c r="Z414" s="368" t="str">
        <f t="shared" ca="1" si="197"/>
        <v/>
      </c>
      <c r="AA414" s="369" t="str">
        <f t="shared" ca="1" si="198"/>
        <v/>
      </c>
      <c r="AB414" s="344"/>
      <c r="AC414" s="363" t="e">
        <f t="shared" ca="1" si="199"/>
        <v>#N/A</v>
      </c>
      <c r="AD414" s="376" t="e">
        <f t="shared" ca="1" si="200"/>
        <v>#N/A</v>
      </c>
      <c r="AE414" s="377">
        <f t="shared" ca="1" si="179"/>
        <v>602.80072651807461</v>
      </c>
      <c r="AF414" s="344"/>
      <c r="AG414" s="359">
        <f t="shared" ca="1" si="201"/>
        <v>33.524415988704142</v>
      </c>
      <c r="AH414" s="357">
        <f t="shared" ca="1" si="202"/>
        <v>43.057086852633027</v>
      </c>
    </row>
    <row r="415" spans="1:34" x14ac:dyDescent="0.25">
      <c r="A415" s="402">
        <f t="shared" ca="1" si="180"/>
        <v>0.01</v>
      </c>
      <c r="B415" s="357">
        <f t="shared" ca="1" si="181"/>
        <v>4.1099999999999568</v>
      </c>
      <c r="C415" s="342"/>
      <c r="D415" s="359">
        <f t="shared" ca="1" si="182"/>
        <v>10.046690723855686</v>
      </c>
      <c r="E415" s="360">
        <f t="shared" ca="1" si="183"/>
        <v>31.524868199790227</v>
      </c>
      <c r="F415" s="357">
        <f t="shared" ca="1" si="184"/>
        <v>33.087056525399063</v>
      </c>
      <c r="G415" s="359">
        <f t="shared" ca="1" si="185"/>
        <v>62.807982457686904</v>
      </c>
      <c r="H415" s="360">
        <f t="shared" ca="1" si="186"/>
        <v>258.31133531970085</v>
      </c>
      <c r="I415" s="357">
        <f t="shared" ca="1" si="187"/>
        <v>265.83752296290311</v>
      </c>
      <c r="J415" s="359">
        <f t="shared" ca="1" si="188"/>
        <v>137.22332688706973</v>
      </c>
      <c r="K415" s="360">
        <f t="shared" ca="1" si="189"/>
        <v>605.38226362786168</v>
      </c>
      <c r="L415" s="357">
        <f t="shared" ca="1" si="174"/>
        <v>620.73982195211988</v>
      </c>
      <c r="M415" s="359">
        <f t="shared" ca="1" si="190"/>
        <v>1.3322765711777014</v>
      </c>
      <c r="N415" s="357">
        <f t="shared" ca="1" si="191"/>
        <v>76.333824672642905</v>
      </c>
      <c r="O415" s="343"/>
      <c r="P415" s="363">
        <f t="shared" ca="1" si="192"/>
        <v>15</v>
      </c>
      <c r="Q415" s="357">
        <f t="shared" ca="1" si="193"/>
        <v>597.6833333333642</v>
      </c>
      <c r="R415" s="359">
        <f t="shared" ca="1" si="194"/>
        <v>0.299398863457016</v>
      </c>
      <c r="S415" s="360">
        <f t="shared" ca="1" si="195"/>
        <v>9.7243219830142067</v>
      </c>
      <c r="T415" s="357">
        <f t="shared" ca="1" si="175"/>
        <v>95.395598653369376</v>
      </c>
      <c r="U415" s="364">
        <f t="shared" ca="1" si="176"/>
        <v>0</v>
      </c>
      <c r="V415" s="359">
        <f t="shared" ca="1" si="177"/>
        <v>1.1530194598230608</v>
      </c>
      <c r="W415" s="357">
        <f t="shared" ca="1" si="178"/>
        <v>184.43732641982726</v>
      </c>
      <c r="X415" s="343"/>
      <c r="Y415" s="367" t="str">
        <f t="shared" ca="1" si="196"/>
        <v/>
      </c>
      <c r="Z415" s="368" t="str">
        <f t="shared" ca="1" si="197"/>
        <v/>
      </c>
      <c r="AA415" s="369" t="str">
        <f t="shared" ca="1" si="198"/>
        <v/>
      </c>
      <c r="AB415" s="344"/>
      <c r="AC415" s="363" t="e">
        <f t="shared" ca="1" si="199"/>
        <v>#N/A</v>
      </c>
      <c r="AD415" s="376" t="e">
        <f t="shared" ca="1" si="200"/>
        <v>#N/A</v>
      </c>
      <c r="AE415" s="377">
        <f t="shared" ca="1" si="179"/>
        <v>605.38226362786168</v>
      </c>
      <c r="AF415" s="344"/>
      <c r="AG415" s="359">
        <f t="shared" ca="1" si="201"/>
        <v>33.005835404087975</v>
      </c>
      <c r="AH415" s="357">
        <f t="shared" ca="1" si="202"/>
        <v>42.538304192748882</v>
      </c>
    </row>
    <row r="416" spans="1:34" x14ac:dyDescent="0.25">
      <c r="A416" s="402">
        <f t="shared" ca="1" si="180"/>
        <v>0.01</v>
      </c>
      <c r="B416" s="357">
        <f t="shared" ca="1" si="181"/>
        <v>4.1199999999999566</v>
      </c>
      <c r="C416" s="342"/>
      <c r="D416" s="359">
        <f t="shared" ca="1" si="182"/>
        <v>9.867586373496211</v>
      </c>
      <c r="E416" s="360">
        <f t="shared" ca="1" si="183"/>
        <v>30.772571080633981</v>
      </c>
      <c r="F416" s="357">
        <f t="shared" ca="1" si="184"/>
        <v>32.315946400362144</v>
      </c>
      <c r="G416" s="359">
        <f t="shared" ca="1" si="185"/>
        <v>62.906658321421865</v>
      </c>
      <c r="H416" s="360">
        <f t="shared" ca="1" si="186"/>
        <v>258.61906103050717</v>
      </c>
      <c r="I416" s="357">
        <f t="shared" ca="1" si="187"/>
        <v>266.15985119748865</v>
      </c>
      <c r="J416" s="359">
        <f t="shared" ca="1" si="188"/>
        <v>137.85190009096527</v>
      </c>
      <c r="K416" s="360">
        <f t="shared" ca="1" si="189"/>
        <v>607.96691560961267</v>
      </c>
      <c r="L416" s="357">
        <f t="shared" ca="1" si="174"/>
        <v>623.39948414684727</v>
      </c>
      <c r="M416" s="359">
        <f t="shared" ca="1" si="190"/>
        <v>1.3321894898535371</v>
      </c>
      <c r="N416" s="357">
        <f t="shared" ca="1" si="191"/>
        <v>76.328835280293887</v>
      </c>
      <c r="O416" s="343"/>
      <c r="P416" s="363">
        <f t="shared" ca="1" si="192"/>
        <v>15</v>
      </c>
      <c r="Q416" s="357">
        <f t="shared" ca="1" si="193"/>
        <v>590.45000000003108</v>
      </c>
      <c r="R416" s="359">
        <f t="shared" ca="1" si="194"/>
        <v>0.29577545343665029</v>
      </c>
      <c r="S416" s="360">
        <f t="shared" ca="1" si="195"/>
        <v>9.7213642284798407</v>
      </c>
      <c r="T416" s="357">
        <f t="shared" ca="1" si="175"/>
        <v>95.366583081387247</v>
      </c>
      <c r="U416" s="364">
        <f t="shared" ca="1" si="176"/>
        <v>0</v>
      </c>
      <c r="V416" s="359">
        <f t="shared" ca="1" si="177"/>
        <v>1.1527212085334189</v>
      </c>
      <c r="W416" s="357">
        <f t="shared" ca="1" si="178"/>
        <v>184.83703429312794</v>
      </c>
      <c r="X416" s="343"/>
      <c r="Y416" s="367" t="str">
        <f t="shared" ca="1" si="196"/>
        <v/>
      </c>
      <c r="Z416" s="368" t="str">
        <f t="shared" ca="1" si="197"/>
        <v/>
      </c>
      <c r="AA416" s="369" t="str">
        <f t="shared" ca="1" si="198"/>
        <v/>
      </c>
      <c r="AB416" s="344"/>
      <c r="AC416" s="363" t="e">
        <f t="shared" ca="1" si="199"/>
        <v>#N/A</v>
      </c>
      <c r="AD416" s="376" t="e">
        <f t="shared" ca="1" si="200"/>
        <v>#N/A</v>
      </c>
      <c r="AE416" s="377">
        <f t="shared" ca="1" si="179"/>
        <v>607.96691560961267</v>
      </c>
      <c r="AF416" s="344"/>
      <c r="AG416" s="359">
        <f t="shared" ca="1" si="201"/>
        <v>32.232722541960221</v>
      </c>
      <c r="AH416" s="357">
        <f t="shared" ca="1" si="202"/>
        <v>41.764989361343289</v>
      </c>
    </row>
    <row r="417" spans="1:34" x14ac:dyDescent="0.25">
      <c r="A417" s="402">
        <f t="shared" ca="1" si="180"/>
        <v>0.01</v>
      </c>
      <c r="B417" s="357">
        <f t="shared" ca="1" si="181"/>
        <v>4.1299999999999564</v>
      </c>
      <c r="C417" s="342"/>
      <c r="D417" s="359">
        <f t="shared" ca="1" si="182"/>
        <v>9.6884548168365772</v>
      </c>
      <c r="E417" s="360">
        <f t="shared" ca="1" si="183"/>
        <v>30.020745336436363</v>
      </c>
      <c r="F417" s="357">
        <f t="shared" ca="1" si="184"/>
        <v>31.545384881041624</v>
      </c>
      <c r="G417" s="359">
        <f t="shared" ca="1" si="185"/>
        <v>63.003542869590234</v>
      </c>
      <c r="H417" s="360">
        <f t="shared" ca="1" si="186"/>
        <v>258.91926848387152</v>
      </c>
      <c r="I417" s="357">
        <f t="shared" ca="1" si="187"/>
        <v>266.47445282117275</v>
      </c>
      <c r="J417" s="359">
        <f t="shared" ca="1" si="188"/>
        <v>138.48145109692032</v>
      </c>
      <c r="K417" s="360">
        <f t="shared" ca="1" si="189"/>
        <v>610.55460725718456</v>
      </c>
      <c r="L417" s="357">
        <f t="shared" ca="1" si="174"/>
        <v>626.06232975709668</v>
      </c>
      <c r="M417" s="359">
        <f t="shared" ca="1" si="190"/>
        <v>1.3321024801879862</v>
      </c>
      <c r="N417" s="357">
        <f t="shared" ca="1" si="191"/>
        <v>76.323849993680966</v>
      </c>
      <c r="O417" s="343"/>
      <c r="P417" s="363">
        <f t="shared" ca="1" si="192"/>
        <v>15</v>
      </c>
      <c r="Q417" s="357">
        <f t="shared" ca="1" si="193"/>
        <v>583.21666666669807</v>
      </c>
      <c r="R417" s="359">
        <f t="shared" ca="1" si="194"/>
        <v>0.29215204341628465</v>
      </c>
      <c r="S417" s="360">
        <f t="shared" ca="1" si="195"/>
        <v>9.7184427080456786</v>
      </c>
      <c r="T417" s="357">
        <f t="shared" ca="1" si="175"/>
        <v>95.337922965928115</v>
      </c>
      <c r="U417" s="364">
        <f t="shared" ca="1" si="176"/>
        <v>0</v>
      </c>
      <c r="V417" s="359">
        <f t="shared" ca="1" si="177"/>
        <v>1.1524226814229737</v>
      </c>
      <c r="W417" s="357">
        <f t="shared" ca="1" si="178"/>
        <v>185.2262666464986</v>
      </c>
      <c r="X417" s="343"/>
      <c r="Y417" s="367" t="str">
        <f t="shared" ca="1" si="196"/>
        <v/>
      </c>
      <c r="Z417" s="368" t="str">
        <f t="shared" ca="1" si="197"/>
        <v/>
      </c>
      <c r="AA417" s="369" t="str">
        <f t="shared" ca="1" si="198"/>
        <v/>
      </c>
      <c r="AB417" s="344"/>
      <c r="AC417" s="363" t="e">
        <f t="shared" ca="1" si="199"/>
        <v>#N/A</v>
      </c>
      <c r="AD417" s="376" t="e">
        <f t="shared" ca="1" si="200"/>
        <v>#N/A</v>
      </c>
      <c r="AE417" s="377">
        <f t="shared" ca="1" si="179"/>
        <v>610.55460725718456</v>
      </c>
      <c r="AF417" s="344"/>
      <c r="AG417" s="359">
        <f t="shared" ca="1" si="201"/>
        <v>31.46006149874729</v>
      </c>
      <c r="AH417" s="357">
        <f t="shared" ca="1" si="202"/>
        <v>40.992126448794174</v>
      </c>
    </row>
    <row r="418" spans="1:34" x14ac:dyDescent="0.25">
      <c r="A418" s="402">
        <f t="shared" ca="1" si="180"/>
        <v>0.01</v>
      </c>
      <c r="B418" s="357">
        <f t="shared" ca="1" si="181"/>
        <v>4.1399999999999562</v>
      </c>
      <c r="C418" s="342"/>
      <c r="D418" s="359">
        <f t="shared" ca="1" si="182"/>
        <v>9.5092991631678672</v>
      </c>
      <c r="E418" s="360">
        <f t="shared" ca="1" si="183"/>
        <v>29.269402061849938</v>
      </c>
      <c r="F418" s="357">
        <f t="shared" ca="1" si="184"/>
        <v>30.775390617063671</v>
      </c>
      <c r="G418" s="359">
        <f t="shared" ca="1" si="185"/>
        <v>63.098635861221915</v>
      </c>
      <c r="H418" s="360">
        <f t="shared" ca="1" si="186"/>
        <v>259.21196250449003</v>
      </c>
      <c r="I418" s="357">
        <f t="shared" ca="1" si="187"/>
        <v>266.78133246720284</v>
      </c>
      <c r="J418" s="359">
        <f t="shared" ca="1" si="188"/>
        <v>139.11196199057437</v>
      </c>
      <c r="K418" s="360">
        <f t="shared" ca="1" si="189"/>
        <v>613.14526341212638</v>
      </c>
      <c r="L418" s="357">
        <f t="shared" ca="1" si="174"/>
        <v>628.72828154425565</v>
      </c>
      <c r="M418" s="359">
        <f t="shared" ca="1" si="190"/>
        <v>1.3320155395218858</v>
      </c>
      <c r="N418" s="357">
        <f t="shared" ca="1" si="191"/>
        <v>76.318868660445361</v>
      </c>
      <c r="O418" s="343"/>
      <c r="P418" s="363">
        <f t="shared" ca="1" si="192"/>
        <v>15</v>
      </c>
      <c r="Q418" s="357">
        <f t="shared" ca="1" si="193"/>
        <v>575.98333333336495</v>
      </c>
      <c r="R418" s="359">
        <f t="shared" ca="1" si="194"/>
        <v>0.28852863339591894</v>
      </c>
      <c r="S418" s="360">
        <f t="shared" ca="1" si="195"/>
        <v>9.7155574217117202</v>
      </c>
      <c r="T418" s="357">
        <f t="shared" ca="1" si="175"/>
        <v>95.309618306991979</v>
      </c>
      <c r="U418" s="364">
        <f t="shared" ca="1" si="176"/>
        <v>0</v>
      </c>
      <c r="V418" s="359">
        <f t="shared" ca="1" si="177"/>
        <v>1.1521238873949968</v>
      </c>
      <c r="W418" s="357">
        <f t="shared" ca="1" si="178"/>
        <v>185.60500093902326</v>
      </c>
      <c r="X418" s="343"/>
      <c r="Y418" s="367" t="str">
        <f t="shared" ca="1" si="196"/>
        <v/>
      </c>
      <c r="Z418" s="368" t="str">
        <f t="shared" ca="1" si="197"/>
        <v/>
      </c>
      <c r="AA418" s="369" t="str">
        <f t="shared" ca="1" si="198"/>
        <v/>
      </c>
      <c r="AB418" s="344"/>
      <c r="AC418" s="363" t="e">
        <f t="shared" ca="1" si="199"/>
        <v>#N/A</v>
      </c>
      <c r="AD418" s="376" t="e">
        <f t="shared" ca="1" si="200"/>
        <v>#N/A</v>
      </c>
      <c r="AE418" s="377">
        <f t="shared" ca="1" si="179"/>
        <v>613.14526341212638</v>
      </c>
      <c r="AF418" s="344"/>
      <c r="AG418" s="359">
        <f t="shared" ca="1" si="201"/>
        <v>30.687863777278256</v>
      </c>
      <c r="AH418" s="357">
        <f t="shared" ca="1" si="202"/>
        <v>40.219726951911873</v>
      </c>
    </row>
    <row r="419" spans="1:34" x14ac:dyDescent="0.25">
      <c r="A419" s="402">
        <f t="shared" ca="1" si="180"/>
        <v>0.01</v>
      </c>
      <c r="B419" s="357">
        <f t="shared" ca="1" si="181"/>
        <v>4.1499999999999559</v>
      </c>
      <c r="C419" s="342"/>
      <c r="D419" s="359">
        <f t="shared" ca="1" si="182"/>
        <v>9.3301224887568495</v>
      </c>
      <c r="E419" s="360">
        <f t="shared" ca="1" si="183"/>
        <v>28.518552237438286</v>
      </c>
      <c r="F419" s="357">
        <f t="shared" ca="1" si="184"/>
        <v>30.005982859668212</v>
      </c>
      <c r="G419" s="359">
        <f t="shared" ca="1" si="185"/>
        <v>63.191937086109483</v>
      </c>
      <c r="H419" s="360">
        <f t="shared" ca="1" si="186"/>
        <v>259.49714802686441</v>
      </c>
      <c r="I419" s="357">
        <f t="shared" ca="1" si="187"/>
        <v>267.08049488266863</v>
      </c>
      <c r="J419" s="359">
        <f t="shared" ca="1" si="188"/>
        <v>139.74341485531102</v>
      </c>
      <c r="K419" s="360">
        <f t="shared" ca="1" si="189"/>
        <v>615.73880896478317</v>
      </c>
      <c r="L419" s="357">
        <f t="shared" ca="1" si="174"/>
        <v>631.39726231651764</v>
      </c>
      <c r="M419" s="359">
        <f t="shared" ca="1" si="190"/>
        <v>1.3319286652118179</v>
      </c>
      <c r="N419" s="357">
        <f t="shared" ca="1" si="191"/>
        <v>76.313891129130354</v>
      </c>
      <c r="O419" s="343"/>
      <c r="P419" s="363">
        <f t="shared" ca="1" si="192"/>
        <v>15</v>
      </c>
      <c r="Q419" s="357">
        <f t="shared" ca="1" si="193"/>
        <v>568.75000000003183</v>
      </c>
      <c r="R419" s="359">
        <f t="shared" ca="1" si="194"/>
        <v>0.28490522337555324</v>
      </c>
      <c r="S419" s="360">
        <f t="shared" ca="1" si="195"/>
        <v>9.7127083694779639</v>
      </c>
      <c r="T419" s="357">
        <f t="shared" ca="1" si="175"/>
        <v>95.281669104578825</v>
      </c>
      <c r="U419" s="364">
        <f t="shared" ca="1" si="176"/>
        <v>0</v>
      </c>
      <c r="V419" s="359">
        <f t="shared" ca="1" si="177"/>
        <v>1.1518248353385367</v>
      </c>
      <c r="W419" s="357">
        <f t="shared" ca="1" si="178"/>
        <v>185.97321580915002</v>
      </c>
      <c r="X419" s="343"/>
      <c r="Y419" s="367" t="str">
        <f t="shared" ca="1" si="196"/>
        <v/>
      </c>
      <c r="Z419" s="368" t="str">
        <f t="shared" ca="1" si="197"/>
        <v/>
      </c>
      <c r="AA419" s="369" t="str">
        <f t="shared" ca="1" si="198"/>
        <v/>
      </c>
      <c r="AB419" s="344"/>
      <c r="AC419" s="363" t="e">
        <f t="shared" ca="1" si="199"/>
        <v>#N/A</v>
      </c>
      <c r="AD419" s="376" t="e">
        <f t="shared" ca="1" si="200"/>
        <v>#N/A</v>
      </c>
      <c r="AE419" s="377">
        <f t="shared" ca="1" si="179"/>
        <v>615.73880896478317</v>
      </c>
      <c r="AF419" s="344"/>
      <c r="AG419" s="359">
        <f t="shared" ca="1" si="201"/>
        <v>29.916140761809196</v>
      </c>
      <c r="AH419" s="357">
        <f t="shared" ca="1" si="202"/>
        <v>39.447802248962383</v>
      </c>
    </row>
    <row r="420" spans="1:34" x14ac:dyDescent="0.25">
      <c r="A420" s="402">
        <f t="shared" ca="1" si="180"/>
        <v>0.01</v>
      </c>
      <c r="B420" s="357">
        <f t="shared" ca="1" si="181"/>
        <v>4.1599999999999557</v>
      </c>
      <c r="C420" s="342"/>
      <c r="D420" s="359">
        <f t="shared" ca="1" si="182"/>
        <v>9.150927836855308</v>
      </c>
      <c r="E420" s="360">
        <f t="shared" ca="1" si="183"/>
        <v>27.768206729566714</v>
      </c>
      <c r="F420" s="357">
        <f t="shared" ca="1" si="184"/>
        <v>29.237181554508421</v>
      </c>
      <c r="G420" s="359">
        <f t="shared" ca="1" si="185"/>
        <v>63.283446364478039</v>
      </c>
      <c r="H420" s="360">
        <f t="shared" ca="1" si="186"/>
        <v>259.77483009416005</v>
      </c>
      <c r="I420" s="357">
        <f t="shared" ca="1" si="187"/>
        <v>267.37194492731561</v>
      </c>
      <c r="J420" s="359">
        <f t="shared" ca="1" si="188"/>
        <v>140.37579177256396</v>
      </c>
      <c r="K420" s="360">
        <f t="shared" ca="1" si="189"/>
        <v>618.33516885538825</v>
      </c>
      <c r="L420" s="357">
        <f t="shared" ca="1" si="174"/>
        <v>634.06919493001374</v>
      </c>
      <c r="M420" s="359">
        <f t="shared" ca="1" si="190"/>
        <v>1.331841854629618</v>
      </c>
      <c r="N420" s="357">
        <f t="shared" ca="1" si="191"/>
        <v>76.308917249153239</v>
      </c>
      <c r="O420" s="343"/>
      <c r="P420" s="363">
        <f t="shared" ca="1" si="192"/>
        <v>15</v>
      </c>
      <c r="Q420" s="357">
        <f t="shared" ca="1" si="193"/>
        <v>561.51666666669871</v>
      </c>
      <c r="R420" s="359">
        <f t="shared" ca="1" si="194"/>
        <v>0.28128181335518754</v>
      </c>
      <c r="S420" s="360">
        <f t="shared" ca="1" si="195"/>
        <v>9.7098955513444114</v>
      </c>
      <c r="T420" s="357">
        <f t="shared" ca="1" si="175"/>
        <v>95.254075358688681</v>
      </c>
      <c r="U420" s="364">
        <f t="shared" ca="1" si="176"/>
        <v>0</v>
      </c>
      <c r="V420" s="359">
        <f t="shared" ca="1" si="177"/>
        <v>1.1515255341282824</v>
      </c>
      <c r="W420" s="357">
        <f t="shared" ca="1" si="178"/>
        <v>186.33089106981382</v>
      </c>
      <c r="X420" s="343"/>
      <c r="Y420" s="367" t="str">
        <f t="shared" ca="1" si="196"/>
        <v/>
      </c>
      <c r="Z420" s="368" t="str">
        <f t="shared" ca="1" si="197"/>
        <v/>
      </c>
      <c r="AA420" s="369" t="str">
        <f t="shared" ca="1" si="198"/>
        <v/>
      </c>
      <c r="AB420" s="344"/>
      <c r="AC420" s="363" t="e">
        <f t="shared" ca="1" si="199"/>
        <v>#N/A</v>
      </c>
      <c r="AD420" s="376" t="e">
        <f t="shared" ca="1" si="200"/>
        <v>#N/A</v>
      </c>
      <c r="AE420" s="377">
        <f t="shared" ca="1" si="179"/>
        <v>618.33516885538825</v>
      </c>
      <c r="AF420" s="344"/>
      <c r="AG420" s="359">
        <f t="shared" ca="1" si="201"/>
        <v>29.144903717917124</v>
      </c>
      <c r="AH420" s="357">
        <f t="shared" ca="1" si="202"/>
        <v>38.676363599560219</v>
      </c>
    </row>
    <row r="421" spans="1:34" x14ac:dyDescent="0.25">
      <c r="A421" s="402">
        <f t="shared" ca="1" si="180"/>
        <v>0.01</v>
      </c>
      <c r="B421" s="357">
        <f t="shared" ca="1" si="181"/>
        <v>4.1699999999999555</v>
      </c>
      <c r="C421" s="342"/>
      <c r="D421" s="359">
        <f t="shared" ca="1" si="182"/>
        <v>8.9717182177109542</v>
      </c>
      <c r="E421" s="360">
        <f t="shared" ca="1" si="183"/>
        <v>27.018376290308368</v>
      </c>
      <c r="F421" s="357">
        <f t="shared" ca="1" si="184"/>
        <v>28.469007449201737</v>
      </c>
      <c r="G421" s="359">
        <f t="shared" ca="1" si="185"/>
        <v>63.37316354665515</v>
      </c>
      <c r="H421" s="360">
        <f t="shared" ca="1" si="186"/>
        <v>260.04501385706311</v>
      </c>
      <c r="I421" s="357">
        <f t="shared" ca="1" si="187"/>
        <v>267.65568757235712</v>
      </c>
      <c r="J421" s="359">
        <f t="shared" ca="1" si="188"/>
        <v>141.00907482211963</v>
      </c>
      <c r="K421" s="360">
        <f t="shared" ca="1" si="189"/>
        <v>620.93426807514436</v>
      </c>
      <c r="L421" s="357">
        <f t="shared" ca="1" si="174"/>
        <v>636.74400228993557</v>
      </c>
      <c r="M421" s="359">
        <f t="shared" ca="1" si="190"/>
        <v>1.3317551051618894</v>
      </c>
      <c r="N421" s="357">
        <f t="shared" ca="1" si="191"/>
        <v>76.303946870777381</v>
      </c>
      <c r="O421" s="343"/>
      <c r="P421" s="363">
        <f t="shared" ca="1" si="192"/>
        <v>15</v>
      </c>
      <c r="Q421" s="357">
        <f t="shared" ca="1" si="193"/>
        <v>554.28333333336559</v>
      </c>
      <c r="R421" s="359">
        <f t="shared" ca="1" si="194"/>
        <v>0.27765840333482183</v>
      </c>
      <c r="S421" s="360">
        <f t="shared" ca="1" si="195"/>
        <v>9.7071189673110627</v>
      </c>
      <c r="T421" s="357">
        <f t="shared" ca="1" si="175"/>
        <v>95.226837069321533</v>
      </c>
      <c r="U421" s="364">
        <f t="shared" ca="1" si="176"/>
        <v>0</v>
      </c>
      <c r="V421" s="359">
        <f t="shared" ca="1" si="177"/>
        <v>1.151225992624431</v>
      </c>
      <c r="W421" s="357">
        <f t="shared" ca="1" si="178"/>
        <v>186.67800770347748</v>
      </c>
      <c r="X421" s="343"/>
      <c r="Y421" s="367" t="str">
        <f t="shared" ca="1" si="196"/>
        <v/>
      </c>
      <c r="Z421" s="368" t="str">
        <f t="shared" ca="1" si="197"/>
        <v/>
      </c>
      <c r="AA421" s="369" t="str">
        <f t="shared" ca="1" si="198"/>
        <v/>
      </c>
      <c r="AB421" s="344"/>
      <c r="AC421" s="363" t="e">
        <f t="shared" ca="1" si="199"/>
        <v>#N/A</v>
      </c>
      <c r="AD421" s="376" t="e">
        <f t="shared" ca="1" si="200"/>
        <v>#N/A</v>
      </c>
      <c r="AE421" s="377">
        <f t="shared" ca="1" si="179"/>
        <v>620.93426807514436</v>
      </c>
      <c r="AF421" s="344"/>
      <c r="AG421" s="359">
        <f t="shared" ca="1" si="201"/>
        <v>28.374163792409181</v>
      </c>
      <c r="AH421" s="357">
        <f t="shared" ca="1" si="202"/>
        <v>37.905422144576548</v>
      </c>
    </row>
    <row r="422" spans="1:34" x14ac:dyDescent="0.25">
      <c r="A422" s="402">
        <f t="shared" ca="1" si="180"/>
        <v>0.01</v>
      </c>
      <c r="B422" s="357">
        <f t="shared" ca="1" si="181"/>
        <v>4.1799999999999553</v>
      </c>
      <c r="C422" s="342"/>
      <c r="D422" s="359">
        <f t="shared" ca="1" si="182"/>
        <v>8.7924966085799987</v>
      </c>
      <c r="E422" s="360">
        <f t="shared" ca="1" si="183"/>
        <v>26.269071557364974</v>
      </c>
      <c r="F422" s="357">
        <f t="shared" ca="1" si="184"/>
        <v>27.701482218427451</v>
      </c>
      <c r="G422" s="359">
        <f t="shared" ca="1" si="185"/>
        <v>63.46108851274095</v>
      </c>
      <c r="H422" s="360">
        <f t="shared" ca="1" si="186"/>
        <v>260.30770457263674</v>
      </c>
      <c r="I422" s="357">
        <f t="shared" ca="1" si="187"/>
        <v>267.9317278992861</v>
      </c>
      <c r="J422" s="359">
        <f t="shared" ca="1" si="188"/>
        <v>141.6432460824166</v>
      </c>
      <c r="K422" s="360">
        <f t="shared" ca="1" si="189"/>
        <v>623.53603166729283</v>
      </c>
      <c r="L422" s="357">
        <f t="shared" ca="1" si="174"/>
        <v>639.42160735164339</v>
      </c>
      <c r="M422" s="359">
        <f t="shared" ca="1" si="190"/>
        <v>1.3316684142095265</v>
      </c>
      <c r="N422" s="357">
        <f t="shared" ca="1" si="191"/>
        <v>76.298979845085015</v>
      </c>
      <c r="O422" s="343"/>
      <c r="P422" s="363">
        <f t="shared" ca="1" si="192"/>
        <v>15</v>
      </c>
      <c r="Q422" s="357">
        <f t="shared" ca="1" si="193"/>
        <v>547.05000000003247</v>
      </c>
      <c r="R422" s="359">
        <f t="shared" ca="1" si="194"/>
        <v>0.27403499331445613</v>
      </c>
      <c r="S422" s="360">
        <f t="shared" ca="1" si="195"/>
        <v>9.7043786173779178</v>
      </c>
      <c r="T422" s="357">
        <f t="shared" ca="1" si="175"/>
        <v>95.199954236477382</v>
      </c>
      <c r="U422" s="364">
        <f t="shared" ca="1" si="176"/>
        <v>0</v>
      </c>
      <c r="V422" s="359">
        <f t="shared" ca="1" si="177"/>
        <v>1.1509262196725552</v>
      </c>
      <c r="W422" s="357">
        <f t="shared" ca="1" si="178"/>
        <v>187.01454785709279</v>
      </c>
      <c r="X422" s="343"/>
      <c r="Y422" s="367" t="str">
        <f t="shared" ca="1" si="196"/>
        <v/>
      </c>
      <c r="Z422" s="368" t="str">
        <f t="shared" ca="1" si="197"/>
        <v/>
      </c>
      <c r="AA422" s="369" t="str">
        <f t="shared" ca="1" si="198"/>
        <v/>
      </c>
      <c r="AB422" s="344"/>
      <c r="AC422" s="363" t="e">
        <f t="shared" ca="1" si="199"/>
        <v>#N/A</v>
      </c>
      <c r="AD422" s="376" t="e">
        <f t="shared" ca="1" si="200"/>
        <v>#N/A</v>
      </c>
      <c r="AE422" s="377">
        <f t="shared" ca="1" si="179"/>
        <v>623.53603166729283</v>
      </c>
      <c r="AF422" s="344"/>
      <c r="AG422" s="359">
        <f t="shared" ca="1" si="201"/>
        <v>27.603932013246567</v>
      </c>
      <c r="AH422" s="357">
        <f t="shared" ca="1" si="202"/>
        <v>37.134988906062077</v>
      </c>
    </row>
    <row r="423" spans="1:34" x14ac:dyDescent="0.25">
      <c r="A423" s="402">
        <f t="shared" ca="1" si="180"/>
        <v>0.01</v>
      </c>
      <c r="B423" s="357">
        <f t="shared" ca="1" si="181"/>
        <v>4.1899999999999551</v>
      </c>
      <c r="C423" s="342"/>
      <c r="D423" s="359">
        <f t="shared" ca="1" si="182"/>
        <v>8.613265953741216</v>
      </c>
      <c r="E423" s="360">
        <f t="shared" ca="1" si="183"/>
        <v>25.520303054002575</v>
      </c>
      <c r="F423" s="357">
        <f t="shared" ca="1" si="184"/>
        <v>26.934628609988494</v>
      </c>
      <c r="G423" s="359">
        <f t="shared" ca="1" si="185"/>
        <v>63.547221172278363</v>
      </c>
      <c r="H423" s="360">
        <f t="shared" ca="1" si="186"/>
        <v>260.56290760317677</v>
      </c>
      <c r="I423" s="357">
        <f t="shared" ca="1" si="187"/>
        <v>268.20007109868578</v>
      </c>
      <c r="J423" s="359">
        <f t="shared" ca="1" si="188"/>
        <v>142.2782876308417</v>
      </c>
      <c r="K423" s="360">
        <f t="shared" ca="1" si="189"/>
        <v>626.14038472817185</v>
      </c>
      <c r="L423" s="357">
        <f t="shared" ca="1" si="174"/>
        <v>642.101933121765</v>
      </c>
      <c r="M423" s="359">
        <f t="shared" ca="1" si="190"/>
        <v>1.3315817791872413</v>
      </c>
      <c r="N423" s="357">
        <f t="shared" ca="1" si="191"/>
        <v>76.29401602395005</v>
      </c>
      <c r="O423" s="343"/>
      <c r="P423" s="363">
        <f t="shared" ca="1" si="192"/>
        <v>15</v>
      </c>
      <c r="Q423" s="357">
        <f t="shared" ca="1" si="193"/>
        <v>539.81666666669935</v>
      </c>
      <c r="R423" s="359">
        <f t="shared" ca="1" si="194"/>
        <v>0.27041158329409043</v>
      </c>
      <c r="S423" s="360">
        <f t="shared" ca="1" si="195"/>
        <v>9.7016745015449768</v>
      </c>
      <c r="T423" s="357">
        <f t="shared" ca="1" si="175"/>
        <v>95.173426860156226</v>
      </c>
      <c r="U423" s="364">
        <f t="shared" ca="1" si="176"/>
        <v>0</v>
      </c>
      <c r="V423" s="359">
        <f t="shared" ca="1" si="177"/>
        <v>1.1506262241034757</v>
      </c>
      <c r="W423" s="357">
        <f t="shared" ca="1" si="178"/>
        <v>187.34049483698396</v>
      </c>
      <c r="X423" s="343"/>
      <c r="Y423" s="367" t="str">
        <f t="shared" ca="1" si="196"/>
        <v/>
      </c>
      <c r="Z423" s="368" t="str">
        <f t="shared" ca="1" si="197"/>
        <v/>
      </c>
      <c r="AA423" s="369" t="str">
        <f t="shared" ca="1" si="198"/>
        <v/>
      </c>
      <c r="AB423" s="344"/>
      <c r="AC423" s="363" t="e">
        <f t="shared" ca="1" si="199"/>
        <v>#N/A</v>
      </c>
      <c r="AD423" s="376" t="e">
        <f t="shared" ca="1" si="200"/>
        <v>#N/A</v>
      </c>
      <c r="AE423" s="377">
        <f t="shared" ca="1" si="179"/>
        <v>626.14038472817185</v>
      </c>
      <c r="AF423" s="344"/>
      <c r="AG423" s="359">
        <f t="shared" ca="1" si="201"/>
        <v>26.834219289483293</v>
      </c>
      <c r="AH423" s="357">
        <f t="shared" ca="1" si="202"/>
        <v>36.365074787184767</v>
      </c>
    </row>
    <row r="424" spans="1:34" x14ac:dyDescent="0.25">
      <c r="A424" s="402">
        <f t="shared" ca="1" si="180"/>
        <v>0.01</v>
      </c>
      <c r="B424" s="357">
        <f t="shared" ca="1" si="181"/>
        <v>4.1999999999999549</v>
      </c>
      <c r="C424" s="342"/>
      <c r="D424" s="359">
        <f t="shared" ca="1" si="182"/>
        <v>8.399720311734626</v>
      </c>
      <c r="E424" s="360">
        <f t="shared" ca="1" si="183"/>
        <v>24.631404472203876</v>
      </c>
      <c r="F424" s="357">
        <f t="shared" ca="1" si="184"/>
        <v>26.024246148326224</v>
      </c>
      <c r="G424" s="359">
        <f t="shared" ca="1" si="185"/>
        <v>63.631218375395711</v>
      </c>
      <c r="H424" s="360">
        <f t="shared" ca="1" si="186"/>
        <v>260.80922164789882</v>
      </c>
      <c r="I424" s="357">
        <f t="shared" ca="1" si="187"/>
        <v>268.45927446918296</v>
      </c>
      <c r="J424" s="359">
        <f t="shared" ca="1" si="188"/>
        <v>142.91417982858007</v>
      </c>
      <c r="K424" s="360">
        <f t="shared" ca="1" si="189"/>
        <v>628.74724537442728</v>
      </c>
      <c r="L424" s="357">
        <f t="shared" ca="1" si="174"/>
        <v>644.78489542017496</v>
      </c>
      <c r="M424" s="359">
        <f t="shared" ca="1" si="190"/>
        <v>1.3314951970561004</v>
      </c>
      <c r="N424" s="357">
        <f t="shared" ca="1" si="191"/>
        <v>76.28905523325443</v>
      </c>
      <c r="O424" s="343"/>
      <c r="P424" s="363">
        <f t="shared" ca="1" si="192"/>
        <v>16</v>
      </c>
      <c r="Q424" s="357">
        <f t="shared" ca="1" si="193"/>
        <v>531.17916666671226</v>
      </c>
      <c r="R424" s="359">
        <f t="shared" ca="1" si="194"/>
        <v>0.26608478089074533</v>
      </c>
      <c r="S424" s="360">
        <f t="shared" ca="1" si="195"/>
        <v>9.6990136537360687</v>
      </c>
      <c r="T424" s="357">
        <f t="shared" ca="1" si="175"/>
        <v>95.147323943150838</v>
      </c>
      <c r="U424" s="364">
        <f t="shared" ca="1" si="176"/>
        <v>0</v>
      </c>
      <c r="V424" s="359">
        <f t="shared" ca="1" si="177"/>
        <v>1.1503260155430548</v>
      </c>
      <c r="W424" s="357">
        <f t="shared" ca="1" si="178"/>
        <v>187.65380891814786</v>
      </c>
      <c r="X424" s="343"/>
      <c r="Y424" s="367" t="str">
        <f t="shared" ca="1" si="196"/>
        <v/>
      </c>
      <c r="Z424" s="368" t="str">
        <f t="shared" ca="1" si="197"/>
        <v/>
      </c>
      <c r="AA424" s="369" t="str">
        <f t="shared" ca="1" si="198"/>
        <v/>
      </c>
      <c r="AB424" s="344"/>
      <c r="AC424" s="363" t="e">
        <f t="shared" ca="1" si="199"/>
        <v>#N/A</v>
      </c>
      <c r="AD424" s="376" t="e">
        <f t="shared" ca="1" si="200"/>
        <v>#N/A</v>
      </c>
      <c r="AE424" s="377">
        <f t="shared" ca="1" si="179"/>
        <v>628.74724537442728</v>
      </c>
      <c r="AF424" s="344"/>
      <c r="AG424" s="359">
        <f t="shared" ca="1" si="201"/>
        <v>25.920236424935382</v>
      </c>
      <c r="AH424" s="357">
        <f t="shared" ca="1" si="202"/>
        <v>35.450890585898016</v>
      </c>
    </row>
    <row r="425" spans="1:34" x14ac:dyDescent="0.25">
      <c r="A425" s="402">
        <f t="shared" ca="1" si="180"/>
        <v>0.01</v>
      </c>
      <c r="B425" s="357">
        <f t="shared" ca="1" si="181"/>
        <v>4.2099999999999547</v>
      </c>
      <c r="C425" s="342"/>
      <c r="D425" s="359">
        <f t="shared" ca="1" si="182"/>
        <v>8.1518422049076307</v>
      </c>
      <c r="E425" s="360">
        <f t="shared" ca="1" si="183"/>
        <v>23.602461284578212</v>
      </c>
      <c r="F425" s="357">
        <f t="shared" ca="1" si="184"/>
        <v>24.970556862507625</v>
      </c>
      <c r="G425" s="359">
        <f t="shared" ca="1" si="185"/>
        <v>63.712736797444791</v>
      </c>
      <c r="H425" s="360">
        <f t="shared" ca="1" si="186"/>
        <v>261.04524626074459</v>
      </c>
      <c r="I425" s="357">
        <f t="shared" ca="1" si="187"/>
        <v>268.70789609825994</v>
      </c>
      <c r="J425" s="359">
        <f t="shared" ca="1" si="188"/>
        <v>143.55089960444428</v>
      </c>
      <c r="K425" s="360">
        <f t="shared" ca="1" si="189"/>
        <v>631.35651771397045</v>
      </c>
      <c r="L425" s="357">
        <f t="shared" ca="1" si="174"/>
        <v>647.47039564535794</v>
      </c>
      <c r="M425" s="359">
        <f t="shared" ca="1" si="190"/>
        <v>1.3314086643259422</v>
      </c>
      <c r="N425" s="357">
        <f t="shared" ca="1" si="191"/>
        <v>76.284097273026617</v>
      </c>
      <c r="O425" s="343"/>
      <c r="P425" s="363">
        <f t="shared" ca="1" si="192"/>
        <v>16</v>
      </c>
      <c r="Q425" s="357">
        <f t="shared" ca="1" si="193"/>
        <v>521.13750000004575</v>
      </c>
      <c r="R425" s="359">
        <f t="shared" ca="1" si="194"/>
        <v>0.26105458610440807</v>
      </c>
      <c r="S425" s="360">
        <f t="shared" ca="1" si="195"/>
        <v>9.6964031078750246</v>
      </c>
      <c r="T425" s="357">
        <f t="shared" ca="1" si="175"/>
        <v>95.121714488254</v>
      </c>
      <c r="U425" s="364">
        <f t="shared" ca="1" si="176"/>
        <v>0</v>
      </c>
      <c r="V425" s="359">
        <f t="shared" ca="1" si="177"/>
        <v>1.1500256052203288</v>
      </c>
      <c r="W425" s="357">
        <f t="shared" ca="1" si="178"/>
        <v>187.95244729643977</v>
      </c>
      <c r="X425" s="343"/>
      <c r="Y425" s="367" t="str">
        <f t="shared" ca="1" si="196"/>
        <v/>
      </c>
      <c r="Z425" s="368" t="str">
        <f t="shared" ca="1" si="197"/>
        <v/>
      </c>
      <c r="AA425" s="369" t="str">
        <f t="shared" ca="1" si="198"/>
        <v/>
      </c>
      <c r="AB425" s="344"/>
      <c r="AC425" s="363" t="e">
        <f t="shared" ca="1" si="199"/>
        <v>#N/A</v>
      </c>
      <c r="AD425" s="376" t="e">
        <f t="shared" ca="1" si="200"/>
        <v>#N/A</v>
      </c>
      <c r="AE425" s="377">
        <f t="shared" ca="1" si="179"/>
        <v>631.35651771397045</v>
      </c>
      <c r="AF425" s="344"/>
      <c r="AG425" s="359">
        <f t="shared" ca="1" si="201"/>
        <v>24.862062304626878</v>
      </c>
      <c r="AH425" s="357">
        <f t="shared" ca="1" si="202"/>
        <v>34.392515180299789</v>
      </c>
    </row>
    <row r="426" spans="1:34" x14ac:dyDescent="0.25">
      <c r="A426" s="402">
        <f t="shared" ca="1" si="180"/>
        <v>0.01</v>
      </c>
      <c r="B426" s="357">
        <f t="shared" ca="1" si="181"/>
        <v>4.2199999999999545</v>
      </c>
      <c r="C426" s="342"/>
      <c r="D426" s="359">
        <f t="shared" ca="1" si="182"/>
        <v>7.9039671751266356</v>
      </c>
      <c r="E426" s="360">
        <f t="shared" ca="1" si="183"/>
        <v>22.574310600679169</v>
      </c>
      <c r="F426" s="357">
        <f t="shared" ca="1" si="184"/>
        <v>23.918030775994399</v>
      </c>
      <c r="G426" s="359">
        <f t="shared" ca="1" si="185"/>
        <v>63.791776469196058</v>
      </c>
      <c r="H426" s="360">
        <f t="shared" ca="1" si="186"/>
        <v>261.27098936675139</v>
      </c>
      <c r="I426" s="357">
        <f t="shared" ca="1" si="187"/>
        <v>268.94594369459639</v>
      </c>
      <c r="J426" s="359">
        <f t="shared" ca="1" si="188"/>
        <v>144.1884221707775</v>
      </c>
      <c r="K426" s="360">
        <f t="shared" ca="1" si="189"/>
        <v>633.96809889210795</v>
      </c>
      <c r="L426" s="357">
        <f t="shared" ca="1" si="174"/>
        <v>650.15832802554485</v>
      </c>
      <c r="M426" s="359">
        <f t="shared" ca="1" si="190"/>
        <v>1.3313221775233572</v>
      </c>
      <c r="N426" s="357">
        <f t="shared" ca="1" si="191"/>
        <v>76.279141944254917</v>
      </c>
      <c r="O426" s="343"/>
      <c r="P426" s="363">
        <f t="shared" ca="1" si="192"/>
        <v>16</v>
      </c>
      <c r="Q426" s="357">
        <f t="shared" ca="1" si="193"/>
        <v>511.09583333337923</v>
      </c>
      <c r="R426" s="359">
        <f t="shared" ca="1" si="194"/>
        <v>0.25602439131807087</v>
      </c>
      <c r="S426" s="360">
        <f t="shared" ca="1" si="195"/>
        <v>9.6938428639618444</v>
      </c>
      <c r="T426" s="357">
        <f t="shared" ca="1" si="175"/>
        <v>95.096598495465699</v>
      </c>
      <c r="U426" s="364">
        <f t="shared" ca="1" si="176"/>
        <v>0</v>
      </c>
      <c r="V426" s="359">
        <f t="shared" ca="1" si="177"/>
        <v>1.1497250051545318</v>
      </c>
      <c r="W426" s="357">
        <f t="shared" ca="1" si="178"/>
        <v>188.23639279508023</v>
      </c>
      <c r="X426" s="343"/>
      <c r="Y426" s="367" t="str">
        <f t="shared" ca="1" si="196"/>
        <v/>
      </c>
      <c r="Z426" s="368" t="str">
        <f t="shared" ca="1" si="197"/>
        <v/>
      </c>
      <c r="AA426" s="369" t="str">
        <f t="shared" ca="1" si="198"/>
        <v/>
      </c>
      <c r="AB426" s="344"/>
      <c r="AC426" s="363" t="e">
        <f t="shared" ca="1" si="199"/>
        <v>#N/A</v>
      </c>
      <c r="AD426" s="376" t="e">
        <f t="shared" ca="1" si="200"/>
        <v>#N/A</v>
      </c>
      <c r="AE426" s="377">
        <f t="shared" ca="1" si="179"/>
        <v>633.96809889210795</v>
      </c>
      <c r="AF426" s="344"/>
      <c r="AG426" s="359">
        <f t="shared" ca="1" si="201"/>
        <v>23.804659048300813</v>
      </c>
      <c r="AH426" s="357">
        <f t="shared" ca="1" si="202"/>
        <v>33.334910682147338</v>
      </c>
    </row>
    <row r="427" spans="1:34" x14ac:dyDescent="0.25">
      <c r="A427" s="402">
        <f t="shared" ca="1" si="180"/>
        <v>0.01</v>
      </c>
      <c r="B427" s="357">
        <f t="shared" ca="1" si="181"/>
        <v>4.2299999999999542</v>
      </c>
      <c r="C427" s="342"/>
      <c r="D427" s="359">
        <f t="shared" ca="1" si="182"/>
        <v>7.656100155146758</v>
      </c>
      <c r="E427" s="360">
        <f t="shared" ca="1" si="183"/>
        <v>21.546970646397526</v>
      </c>
      <c r="F427" s="357">
        <f t="shared" ca="1" si="184"/>
        <v>22.866740336618921</v>
      </c>
      <c r="G427" s="359">
        <f t="shared" ca="1" si="185"/>
        <v>63.868337470747527</v>
      </c>
      <c r="H427" s="360">
        <f t="shared" ca="1" si="186"/>
        <v>261.48645907321537</v>
      </c>
      <c r="I427" s="357">
        <f t="shared" ca="1" si="187"/>
        <v>269.1734251554667</v>
      </c>
      <c r="J427" s="359">
        <f t="shared" ca="1" si="188"/>
        <v>144.82672274047721</v>
      </c>
      <c r="K427" s="360">
        <f t="shared" ca="1" si="189"/>
        <v>636.58188613430775</v>
      </c>
      <c r="L427" s="357">
        <f t="shared" ca="1" si="174"/>
        <v>652.84858686686289</v>
      </c>
      <c r="M427" s="359">
        <f t="shared" ca="1" si="190"/>
        <v>1.3312357331908684</v>
      </c>
      <c r="N427" s="357">
        <f t="shared" ca="1" si="191"/>
        <v>76.274189048840483</v>
      </c>
      <c r="O427" s="343"/>
      <c r="P427" s="363">
        <f t="shared" ca="1" si="192"/>
        <v>16</v>
      </c>
      <c r="Q427" s="357">
        <f t="shared" ca="1" si="193"/>
        <v>501.05416666671272</v>
      </c>
      <c r="R427" s="359">
        <f t="shared" ca="1" si="194"/>
        <v>0.2509941965317336</v>
      </c>
      <c r="S427" s="360">
        <f t="shared" ca="1" si="195"/>
        <v>9.6913329219965263</v>
      </c>
      <c r="T427" s="357">
        <f t="shared" ca="1" si="175"/>
        <v>95.071975964785935</v>
      </c>
      <c r="U427" s="364">
        <f t="shared" ca="1" si="176"/>
        <v>0</v>
      </c>
      <c r="V427" s="359">
        <f t="shared" ca="1" si="177"/>
        <v>1.149424227343727</v>
      </c>
      <c r="W427" s="357">
        <f t="shared" ca="1" si="178"/>
        <v>188.5056303426351</v>
      </c>
      <c r="X427" s="343"/>
      <c r="Y427" s="367" t="str">
        <f t="shared" ca="1" si="196"/>
        <v/>
      </c>
      <c r="Z427" s="368" t="str">
        <f t="shared" ca="1" si="197"/>
        <v/>
      </c>
      <c r="AA427" s="369" t="str">
        <f t="shared" ca="1" si="198"/>
        <v/>
      </c>
      <c r="AB427" s="344"/>
      <c r="AC427" s="363" t="e">
        <f t="shared" ca="1" si="199"/>
        <v>#N/A</v>
      </c>
      <c r="AD427" s="376" t="e">
        <f t="shared" ca="1" si="200"/>
        <v>#N/A</v>
      </c>
      <c r="AE427" s="377">
        <f t="shared" ca="1" si="179"/>
        <v>636.58188613430775</v>
      </c>
      <c r="AF427" s="344"/>
      <c r="AG427" s="359">
        <f t="shared" ca="1" si="201"/>
        <v>22.7480455154619</v>
      </c>
      <c r="AH427" s="357">
        <f t="shared" ca="1" si="202"/>
        <v>32.278095942987008</v>
      </c>
    </row>
    <row r="428" spans="1:34" x14ac:dyDescent="0.25">
      <c r="A428" s="402">
        <f t="shared" ca="1" si="180"/>
        <v>0.01</v>
      </c>
      <c r="B428" s="357">
        <f t="shared" ca="1" si="181"/>
        <v>4.239999999999954</v>
      </c>
      <c r="C428" s="342"/>
      <c r="D428" s="359">
        <f t="shared" ca="1" si="182"/>
        <v>7.4082460163544237</v>
      </c>
      <c r="E428" s="360">
        <f t="shared" ca="1" si="183"/>
        <v>20.520459433784595</v>
      </c>
      <c r="F428" s="357">
        <f t="shared" ca="1" si="184"/>
        <v>21.816767964399087</v>
      </c>
      <c r="G428" s="359">
        <f t="shared" ca="1" si="185"/>
        <v>63.942419930911072</v>
      </c>
      <c r="H428" s="360">
        <f t="shared" ca="1" si="186"/>
        <v>261.6916636675532</v>
      </c>
      <c r="I428" s="357">
        <f t="shared" ca="1" si="187"/>
        <v>269.39034856451849</v>
      </c>
      <c r="J428" s="359">
        <f t="shared" ca="1" si="188"/>
        <v>145.4657765274855</v>
      </c>
      <c r="K428" s="360">
        <f t="shared" ca="1" si="189"/>
        <v>639.19777674801162</v>
      </c>
      <c r="L428" s="357">
        <f t="shared" ca="1" si="174"/>
        <v>655.5410665552123</v>
      </c>
      <c r="M428" s="359">
        <f t="shared" ca="1" si="190"/>
        <v>1.3311493278861244</v>
      </c>
      <c r="N428" s="357">
        <f t="shared" ca="1" si="191"/>
        <v>76.269238389551106</v>
      </c>
      <c r="O428" s="343"/>
      <c r="P428" s="363">
        <f t="shared" ca="1" si="192"/>
        <v>16</v>
      </c>
      <c r="Q428" s="357">
        <f t="shared" ca="1" si="193"/>
        <v>491.0125000000462</v>
      </c>
      <c r="R428" s="359">
        <f t="shared" ca="1" si="194"/>
        <v>0.24596400174539634</v>
      </c>
      <c r="S428" s="360">
        <f t="shared" ca="1" si="195"/>
        <v>9.6888732819790722</v>
      </c>
      <c r="T428" s="357">
        <f t="shared" ca="1" si="175"/>
        <v>95.047846896214708</v>
      </c>
      <c r="U428" s="364">
        <f t="shared" ca="1" si="176"/>
        <v>0</v>
      </c>
      <c r="V428" s="359">
        <f t="shared" ca="1" si="177"/>
        <v>1.1491232837645988</v>
      </c>
      <c r="W428" s="357">
        <f t="shared" ca="1" si="178"/>
        <v>188.76014696251724</v>
      </c>
      <c r="X428" s="343"/>
      <c r="Y428" s="367" t="str">
        <f t="shared" ca="1" si="196"/>
        <v/>
      </c>
      <c r="Z428" s="368" t="str">
        <f t="shared" ca="1" si="197"/>
        <v/>
      </c>
      <c r="AA428" s="369" t="str">
        <f t="shared" ca="1" si="198"/>
        <v/>
      </c>
      <c r="AB428" s="344"/>
      <c r="AC428" s="363" t="e">
        <f t="shared" ca="1" si="199"/>
        <v>#N/A</v>
      </c>
      <c r="AD428" s="376" t="e">
        <f t="shared" ca="1" si="200"/>
        <v>#N/A</v>
      </c>
      <c r="AE428" s="377">
        <f t="shared" ca="1" si="179"/>
        <v>639.19777674801162</v>
      </c>
      <c r="AF428" s="344"/>
      <c r="AG428" s="359">
        <f t="shared" ca="1" si="201"/>
        <v>21.692240343422892</v>
      </c>
      <c r="AH428" s="357">
        <f t="shared" ca="1" si="202"/>
        <v>31.222089592198728</v>
      </c>
    </row>
    <row r="429" spans="1:34" x14ac:dyDescent="0.25">
      <c r="A429" s="402">
        <f t="shared" ca="1" si="180"/>
        <v>0.01</v>
      </c>
      <c r="B429" s="357">
        <f t="shared" ca="1" si="181"/>
        <v>4.2499999999999538</v>
      </c>
      <c r="C429" s="342"/>
      <c r="D429" s="359">
        <f t="shared" ca="1" si="182"/>
        <v>7.1604095687588263</v>
      </c>
      <c r="E429" s="360">
        <f t="shared" ca="1" si="183"/>
        <v>19.49479476088333</v>
      </c>
      <c r="F429" s="357">
        <f t="shared" ca="1" si="184"/>
        <v>20.768208588160345</v>
      </c>
      <c r="G429" s="359">
        <f t="shared" ca="1" si="185"/>
        <v>64.014024026598662</v>
      </c>
      <c r="H429" s="360">
        <f t="shared" ca="1" si="186"/>
        <v>261.88661161516205</v>
      </c>
      <c r="I429" s="357">
        <f t="shared" ca="1" si="187"/>
        <v>269.59672218954864</v>
      </c>
      <c r="J429" s="359">
        <f t="shared" ca="1" si="188"/>
        <v>146.10555874727305</v>
      </c>
      <c r="K429" s="360">
        <f t="shared" ca="1" si="189"/>
        <v>641.8156681244252</v>
      </c>
      <c r="L429" s="357">
        <f t="shared" ca="1" si="174"/>
        <v>658.23566155811943</v>
      </c>
      <c r="M429" s="359">
        <f t="shared" ca="1" si="190"/>
        <v>1.3310629581810995</v>
      </c>
      <c r="N429" s="357">
        <f t="shared" ca="1" si="191"/>
        <v>76.264289769975392</v>
      </c>
      <c r="O429" s="343"/>
      <c r="P429" s="363">
        <f t="shared" ca="1" si="192"/>
        <v>16</v>
      </c>
      <c r="Q429" s="357">
        <f t="shared" ca="1" si="193"/>
        <v>480.97083333337969</v>
      </c>
      <c r="R429" s="359">
        <f t="shared" ca="1" si="194"/>
        <v>0.24093380695905908</v>
      </c>
      <c r="S429" s="360">
        <f t="shared" ca="1" si="195"/>
        <v>9.686463943909482</v>
      </c>
      <c r="T429" s="357">
        <f t="shared" ca="1" si="175"/>
        <v>95.024211289752017</v>
      </c>
      <c r="U429" s="364">
        <f t="shared" ca="1" si="176"/>
        <v>0</v>
      </c>
      <c r="V429" s="359">
        <f t="shared" ca="1" si="177"/>
        <v>1.1488221863722456</v>
      </c>
      <c r="W429" s="357">
        <f t="shared" ca="1" si="178"/>
        <v>188.99993176232078</v>
      </c>
      <c r="X429" s="343"/>
      <c r="Y429" s="367" t="str">
        <f t="shared" ca="1" si="196"/>
        <v/>
      </c>
      <c r="Z429" s="368" t="str">
        <f t="shared" ca="1" si="197"/>
        <v/>
      </c>
      <c r="AA429" s="369" t="str">
        <f t="shared" ca="1" si="198"/>
        <v/>
      </c>
      <c r="AB429" s="344"/>
      <c r="AC429" s="363" t="e">
        <f t="shared" ca="1" si="199"/>
        <v>#N/A</v>
      </c>
      <c r="AD429" s="376" t="e">
        <f t="shared" ca="1" si="200"/>
        <v>#N/A</v>
      </c>
      <c r="AE429" s="377">
        <f t="shared" ca="1" si="179"/>
        <v>641.8156681244252</v>
      </c>
      <c r="AF429" s="344"/>
      <c r="AG429" s="359">
        <f t="shared" ca="1" si="201"/>
        <v>20.637261947134924</v>
      </c>
      <c r="AH429" s="357">
        <f t="shared" ca="1" si="202"/>
        <v>30.166910036824589</v>
      </c>
    </row>
    <row r="430" spans="1:34" x14ac:dyDescent="0.25">
      <c r="A430" s="402">
        <f t="shared" ca="1" si="180"/>
        <v>0.01</v>
      </c>
      <c r="B430" s="357">
        <f t="shared" ca="1" si="181"/>
        <v>4.2599999999999536</v>
      </c>
      <c r="C430" s="342"/>
      <c r="D430" s="359">
        <f t="shared" ca="1" si="182"/>
        <v>6.9125955609875103</v>
      </c>
      <c r="E430" s="360">
        <f t="shared" ca="1" si="183"/>
        <v>18.469994211593686</v>
      </c>
      <c r="F430" s="357">
        <f t="shared" ca="1" si="184"/>
        <v>19.721172976425326</v>
      </c>
      <c r="G430" s="359">
        <f t="shared" ca="1" si="185"/>
        <v>64.083149982208539</v>
      </c>
      <c r="H430" s="360">
        <f t="shared" ca="1" si="186"/>
        <v>262.07131155727797</v>
      </c>
      <c r="I430" s="357">
        <f t="shared" ca="1" si="187"/>
        <v>269.79255448027857</v>
      </c>
      <c r="J430" s="359">
        <f t="shared" ca="1" si="188"/>
        <v>146.7460446173171</v>
      </c>
      <c r="K430" s="360">
        <f t="shared" ca="1" si="189"/>
        <v>644.43545774028735</v>
      </c>
      <c r="L430" s="357">
        <f t="shared" ca="1" si="174"/>
        <v>660.93226642656907</v>
      </c>
      <c r="M430" s="359">
        <f t="shared" ca="1" si="190"/>
        <v>1.3309766206613036</v>
      </c>
      <c r="N430" s="357">
        <f t="shared" ca="1" si="191"/>
        <v>76.259342994477464</v>
      </c>
      <c r="O430" s="343"/>
      <c r="P430" s="363">
        <f t="shared" ca="1" si="192"/>
        <v>16</v>
      </c>
      <c r="Q430" s="357">
        <f t="shared" ca="1" si="193"/>
        <v>470.92916666671312</v>
      </c>
      <c r="R430" s="359">
        <f t="shared" ca="1" si="194"/>
        <v>0.23590361217272182</v>
      </c>
      <c r="S430" s="360">
        <f t="shared" ca="1" si="195"/>
        <v>9.6841049077877539</v>
      </c>
      <c r="T430" s="357">
        <f t="shared" ca="1" si="175"/>
        <v>95.001069145397864</v>
      </c>
      <c r="U430" s="364">
        <f t="shared" ca="1" si="176"/>
        <v>0</v>
      </c>
      <c r="V430" s="359">
        <f t="shared" ca="1" si="177"/>
        <v>1.1485209470999733</v>
      </c>
      <c r="W430" s="357">
        <f t="shared" ca="1" si="178"/>
        <v>189.22497592299581</v>
      </c>
      <c r="X430" s="343"/>
      <c r="Y430" s="367" t="str">
        <f t="shared" ca="1" si="196"/>
        <v/>
      </c>
      <c r="Z430" s="368" t="str">
        <f t="shared" ca="1" si="197"/>
        <v/>
      </c>
      <c r="AA430" s="369" t="str">
        <f t="shared" ca="1" si="198"/>
        <v/>
      </c>
      <c r="AB430" s="344"/>
      <c r="AC430" s="363" t="e">
        <f t="shared" ca="1" si="199"/>
        <v>#N/A</v>
      </c>
      <c r="AD430" s="376" t="e">
        <f t="shared" ca="1" si="200"/>
        <v>#N/A</v>
      </c>
      <c r="AE430" s="377">
        <f t="shared" ca="1" si="179"/>
        <v>644.43545774028735</v>
      </c>
      <c r="AF430" s="344"/>
      <c r="AG430" s="359">
        <f t="shared" ca="1" si="201"/>
        <v>19.583128519052192</v>
      </c>
      <c r="AH430" s="357">
        <f t="shared" ca="1" si="202"/>
        <v>29.112575461431728</v>
      </c>
    </row>
    <row r="431" spans="1:34" x14ac:dyDescent="0.25">
      <c r="A431" s="402">
        <f t="shared" ca="1" si="180"/>
        <v>0.01</v>
      </c>
      <c r="B431" s="357">
        <f t="shared" ca="1" si="181"/>
        <v>4.2699999999999534</v>
      </c>
      <c r="C431" s="342"/>
      <c r="D431" s="359">
        <f t="shared" ca="1" si="182"/>
        <v>6.6648086802858408</v>
      </c>
      <c r="E431" s="360">
        <f t="shared" ca="1" si="183"/>
        <v>17.446075155571585</v>
      </c>
      <c r="F431" s="357">
        <f t="shared" ca="1" si="184"/>
        <v>18.675792167366438</v>
      </c>
      <c r="G431" s="359">
        <f t="shared" ca="1" si="185"/>
        <v>64.149798069011396</v>
      </c>
      <c r="H431" s="360">
        <f t="shared" ca="1" si="186"/>
        <v>262.24577230883369</v>
      </c>
      <c r="I431" s="357">
        <f t="shared" ca="1" si="187"/>
        <v>269.97785406612815</v>
      </c>
      <c r="J431" s="359">
        <f t="shared" ca="1" si="188"/>
        <v>147.3872093575732</v>
      </c>
      <c r="K431" s="360">
        <f t="shared" ca="1" si="189"/>
        <v>647.05704315961793</v>
      </c>
      <c r="L431" s="357">
        <f t="shared" ca="1" si="174"/>
        <v>663.63077579681362</v>
      </c>
      <c r="M431" s="359">
        <f t="shared" ca="1" si="190"/>
        <v>1.3308903119249995</v>
      </c>
      <c r="N431" s="357">
        <f t="shared" ca="1" si="191"/>
        <v>76.254397868152125</v>
      </c>
      <c r="O431" s="343"/>
      <c r="P431" s="363">
        <f t="shared" ca="1" si="192"/>
        <v>16</v>
      </c>
      <c r="Q431" s="357">
        <f t="shared" ca="1" si="193"/>
        <v>460.8875000000466</v>
      </c>
      <c r="R431" s="359">
        <f t="shared" ca="1" si="194"/>
        <v>0.23087341738638456</v>
      </c>
      <c r="S431" s="360">
        <f t="shared" ca="1" si="195"/>
        <v>9.6817961736138898</v>
      </c>
      <c r="T431" s="357">
        <f t="shared" ca="1" si="175"/>
        <v>94.978420463152261</v>
      </c>
      <c r="U431" s="364">
        <f t="shared" ca="1" si="176"/>
        <v>0</v>
      </c>
      <c r="V431" s="359">
        <f t="shared" ca="1" si="177"/>
        <v>1.1482195778590989</v>
      </c>
      <c r="W431" s="357">
        <f t="shared" ca="1" si="178"/>
        <v>189.43527268786701</v>
      </c>
      <c r="X431" s="343"/>
      <c r="Y431" s="367" t="str">
        <f t="shared" ca="1" si="196"/>
        <v/>
      </c>
      <c r="Z431" s="368" t="str">
        <f t="shared" ca="1" si="197"/>
        <v/>
      </c>
      <c r="AA431" s="369" t="str">
        <f t="shared" ca="1" si="198"/>
        <v/>
      </c>
      <c r="AB431" s="344"/>
      <c r="AC431" s="363" t="e">
        <f t="shared" ca="1" si="199"/>
        <v>#N/A</v>
      </c>
      <c r="AD431" s="376" t="e">
        <f t="shared" ca="1" si="200"/>
        <v>#N/A</v>
      </c>
      <c r="AE431" s="377">
        <f t="shared" ca="1" si="179"/>
        <v>647.05704315961793</v>
      </c>
      <c r="AF431" s="344"/>
      <c r="AG431" s="359">
        <f t="shared" ca="1" si="201"/>
        <v>18.529858029030244</v>
      </c>
      <c r="AH431" s="357">
        <f t="shared" ca="1" si="202"/>
        <v>28.059103828008833</v>
      </c>
    </row>
    <row r="432" spans="1:34" x14ac:dyDescent="0.25">
      <c r="A432" s="402">
        <f t="shared" ca="1" si="180"/>
        <v>0.01</v>
      </c>
      <c r="B432" s="357">
        <f t="shared" ca="1" si="181"/>
        <v>4.2799999999999532</v>
      </c>
      <c r="C432" s="342"/>
      <c r="D432" s="359">
        <f t="shared" ca="1" si="182"/>
        <v>6.417053552520402</v>
      </c>
      <c r="E432" s="360">
        <f t="shared" ca="1" si="183"/>
        <v>16.42305474816115</v>
      </c>
      <c r="F432" s="357">
        <f t="shared" ca="1" si="184"/>
        <v>17.632223443372453</v>
      </c>
      <c r="G432" s="359">
        <f t="shared" ca="1" si="185"/>
        <v>64.213968604536603</v>
      </c>
      <c r="H432" s="360">
        <f t="shared" ca="1" si="186"/>
        <v>262.41000285631532</v>
      </c>
      <c r="I432" s="357">
        <f t="shared" ca="1" si="187"/>
        <v>270.15262975398895</v>
      </c>
      <c r="J432" s="359">
        <f t="shared" ca="1" si="188"/>
        <v>148.02902819094095</v>
      </c>
      <c r="K432" s="360">
        <f t="shared" ca="1" si="189"/>
        <v>649.68032203544362</v>
      </c>
      <c r="L432" s="357">
        <f t="shared" ca="1" si="174"/>
        <v>666.33108439216016</v>
      </c>
      <c r="M432" s="359">
        <f t="shared" ca="1" si="190"/>
        <v>1.330804028582429</v>
      </c>
      <c r="N432" s="357">
        <f t="shared" ca="1" si="191"/>
        <v>76.249454196780562</v>
      </c>
      <c r="O432" s="343"/>
      <c r="P432" s="363">
        <f t="shared" ca="1" si="192"/>
        <v>16</v>
      </c>
      <c r="Q432" s="357">
        <f t="shared" ca="1" si="193"/>
        <v>450.84583333338009</v>
      </c>
      <c r="R432" s="359">
        <f t="shared" ca="1" si="194"/>
        <v>0.22584322260004733</v>
      </c>
      <c r="S432" s="360">
        <f t="shared" ca="1" si="195"/>
        <v>9.6795377413878896</v>
      </c>
      <c r="T432" s="357">
        <f t="shared" ca="1" si="175"/>
        <v>94.956265243015196</v>
      </c>
      <c r="U432" s="364">
        <f t="shared" ca="1" si="176"/>
        <v>0</v>
      </c>
      <c r="V432" s="359">
        <f t="shared" ca="1" si="177"/>
        <v>1.1479180905387527</v>
      </c>
      <c r="W432" s="357">
        <f t="shared" ca="1" si="178"/>
        <v>189.6308173514999</v>
      </c>
      <c r="X432" s="343"/>
      <c r="Y432" s="367" t="str">
        <f t="shared" ca="1" si="196"/>
        <v/>
      </c>
      <c r="Z432" s="368" t="str">
        <f t="shared" ca="1" si="197"/>
        <v/>
      </c>
      <c r="AA432" s="369" t="str">
        <f t="shared" ca="1" si="198"/>
        <v/>
      </c>
      <c r="AB432" s="344"/>
      <c r="AC432" s="363" t="e">
        <f t="shared" ca="1" si="199"/>
        <v>#N/A</v>
      </c>
      <c r="AD432" s="376" t="e">
        <f t="shared" ca="1" si="200"/>
        <v>#N/A</v>
      </c>
      <c r="AE432" s="377">
        <f t="shared" ca="1" si="179"/>
        <v>649.68032203544362</v>
      </c>
      <c r="AF432" s="344"/>
      <c r="AG432" s="359">
        <f t="shared" ca="1" si="201"/>
        <v>17.477468224257546</v>
      </c>
      <c r="AH432" s="357">
        <f t="shared" ca="1" si="202"/>
        <v>27.006512875895975</v>
      </c>
    </row>
    <row r="433" spans="1:34" x14ac:dyDescent="0.25">
      <c r="A433" s="402">
        <f t="shared" ca="1" si="180"/>
        <v>0.01</v>
      </c>
      <c r="B433" s="357">
        <f t="shared" ca="1" si="181"/>
        <v>4.289999999999953</v>
      </c>
      <c r="C433" s="342"/>
      <c r="D433" s="359">
        <f t="shared" ca="1" si="182"/>
        <v>6.1693347421863303</v>
      </c>
      <c r="E433" s="360">
        <f t="shared" ca="1" si="183"/>
        <v>15.400949930359983</v>
      </c>
      <c r="F433" s="357">
        <f t="shared" ca="1" si="184"/>
        <v>16.59065851371194</v>
      </c>
      <c r="G433" s="359">
        <f t="shared" ca="1" si="185"/>
        <v>64.275661951958469</v>
      </c>
      <c r="H433" s="360">
        <f t="shared" ca="1" si="186"/>
        <v>262.5640123556189</v>
      </c>
      <c r="I433" s="357">
        <f t="shared" ca="1" si="187"/>
        <v>270.31689052599734</v>
      </c>
      <c r="J433" s="359">
        <f t="shared" ca="1" si="188"/>
        <v>148.67147634372341</v>
      </c>
      <c r="K433" s="360">
        <f t="shared" ca="1" si="189"/>
        <v>652.30519211150329</v>
      </c>
      <c r="L433" s="357">
        <f t="shared" ca="1" si="174"/>
        <v>669.03308702473566</v>
      </c>
      <c r="M433" s="359">
        <f t="shared" ca="1" si="190"/>
        <v>1.3307177672550459</v>
      </c>
      <c r="N433" s="357">
        <f t="shared" ca="1" si="191"/>
        <v>76.244511786786305</v>
      </c>
      <c r="O433" s="343"/>
      <c r="P433" s="363">
        <f t="shared" ca="1" si="192"/>
        <v>16</v>
      </c>
      <c r="Q433" s="357">
        <f t="shared" ca="1" si="193"/>
        <v>440.80416666671357</v>
      </c>
      <c r="R433" s="359">
        <f t="shared" ca="1" si="194"/>
        <v>0.22081302781371007</v>
      </c>
      <c r="S433" s="360">
        <f t="shared" ca="1" si="195"/>
        <v>9.6773296111097533</v>
      </c>
      <c r="T433" s="357">
        <f t="shared" ca="1" si="175"/>
        <v>94.934603484986681</v>
      </c>
      <c r="U433" s="364">
        <f t="shared" ca="1" si="176"/>
        <v>0</v>
      </c>
      <c r="V433" s="359">
        <f t="shared" ca="1" si="177"/>
        <v>1.1476164970056892</v>
      </c>
      <c r="W433" s="357">
        <f t="shared" ca="1" si="178"/>
        <v>189.81160724842067</v>
      </c>
      <c r="X433" s="343"/>
      <c r="Y433" s="367" t="str">
        <f t="shared" ca="1" si="196"/>
        <v/>
      </c>
      <c r="Z433" s="368" t="str">
        <f t="shared" ca="1" si="197"/>
        <v/>
      </c>
      <c r="AA433" s="369" t="str">
        <f t="shared" ca="1" si="198"/>
        <v/>
      </c>
      <c r="AB433" s="344"/>
      <c r="AC433" s="363" t="e">
        <f t="shared" ca="1" si="199"/>
        <v>#N/A</v>
      </c>
      <c r="AD433" s="376" t="e">
        <f t="shared" ca="1" si="200"/>
        <v>#N/A</v>
      </c>
      <c r="AE433" s="377">
        <f t="shared" ca="1" si="179"/>
        <v>652.30519211150329</v>
      </c>
      <c r="AF433" s="344"/>
      <c r="AG433" s="359">
        <f t="shared" ca="1" si="201"/>
        <v>16.42597662922006</v>
      </c>
      <c r="AH433" s="357">
        <f t="shared" ca="1" si="202"/>
        <v>25.954820121747431</v>
      </c>
    </row>
    <row r="434" spans="1:34" x14ac:dyDescent="0.25">
      <c r="A434" s="402">
        <f t="shared" ca="1" si="180"/>
        <v>0.01</v>
      </c>
      <c r="B434" s="357">
        <f t="shared" ca="1" si="181"/>
        <v>4.2999999999999527</v>
      </c>
      <c r="C434" s="342"/>
      <c r="D434" s="359">
        <f t="shared" ca="1" si="182"/>
        <v>5.9216567524184924</v>
      </c>
      <c r="E434" s="360">
        <f t="shared" ca="1" si="183"/>
        <v>14.379777428816789</v>
      </c>
      <c r="F434" s="357">
        <f t="shared" ca="1" si="184"/>
        <v>15.551334913626299</v>
      </c>
      <c r="G434" s="359">
        <f t="shared" ca="1" si="185"/>
        <v>64.334878519482658</v>
      </c>
      <c r="H434" s="360">
        <f t="shared" ca="1" si="186"/>
        <v>262.70781012990705</v>
      </c>
      <c r="I434" s="357">
        <f t="shared" ca="1" si="187"/>
        <v>270.47064553730758</v>
      </c>
      <c r="J434" s="359">
        <f t="shared" ca="1" si="188"/>
        <v>149.31452904608062</v>
      </c>
      <c r="K434" s="360">
        <f t="shared" ca="1" si="189"/>
        <v>654.93155122393091</v>
      </c>
      <c r="L434" s="357">
        <f t="shared" ca="1" si="174"/>
        <v>671.73667859722923</v>
      </c>
      <c r="M434" s="359">
        <f t="shared" ca="1" si="190"/>
        <v>1.3306315245747558</v>
      </c>
      <c r="N434" s="357">
        <f t="shared" ca="1" si="191"/>
        <v>76.239570445191788</v>
      </c>
      <c r="O434" s="343"/>
      <c r="P434" s="363">
        <f t="shared" ca="1" si="192"/>
        <v>16</v>
      </c>
      <c r="Q434" s="357">
        <f t="shared" ca="1" si="193"/>
        <v>430.76250000004705</v>
      </c>
      <c r="R434" s="359">
        <f t="shared" ca="1" si="194"/>
        <v>0.21578283302737283</v>
      </c>
      <c r="S434" s="360">
        <f t="shared" ca="1" si="195"/>
        <v>9.6751717827794792</v>
      </c>
      <c r="T434" s="357">
        <f t="shared" ca="1" si="175"/>
        <v>94.913435189066689</v>
      </c>
      <c r="U434" s="364">
        <f t="shared" ca="1" si="176"/>
        <v>0</v>
      </c>
      <c r="V434" s="359">
        <f t="shared" ca="1" si="177"/>
        <v>1.1473148091040977</v>
      </c>
      <c r="W434" s="357">
        <f t="shared" ca="1" si="178"/>
        <v>189.97764174169302</v>
      </c>
      <c r="X434" s="343"/>
      <c r="Y434" s="367" t="str">
        <f t="shared" ca="1" si="196"/>
        <v/>
      </c>
      <c r="Z434" s="368" t="str">
        <f t="shared" ca="1" si="197"/>
        <v/>
      </c>
      <c r="AA434" s="369" t="str">
        <f t="shared" ca="1" si="198"/>
        <v/>
      </c>
      <c r="AB434" s="344"/>
      <c r="AC434" s="363" t="e">
        <f t="shared" ca="1" si="199"/>
        <v>#N/A</v>
      </c>
      <c r="AD434" s="376" t="e">
        <f t="shared" ca="1" si="200"/>
        <v>#N/A</v>
      </c>
      <c r="AE434" s="377">
        <f t="shared" ca="1" si="179"/>
        <v>654.93155122393091</v>
      </c>
      <c r="AF434" s="344"/>
      <c r="AG434" s="359">
        <f t="shared" ca="1" si="201"/>
        <v>15.375400545698289</v>
      </c>
      <c r="AH434" s="357">
        <f t="shared" ca="1" si="202"/>
        <v>24.904042859526999</v>
      </c>
    </row>
    <row r="435" spans="1:34" x14ac:dyDescent="0.25">
      <c r="A435" s="402">
        <f t="shared" ca="1" si="180"/>
        <v>0.01</v>
      </c>
      <c r="B435" s="357">
        <f t="shared" ca="1" si="181"/>
        <v>4.3099999999999525</v>
      </c>
      <c r="C435" s="342"/>
      <c r="D435" s="359">
        <f t="shared" ca="1" si="182"/>
        <v>5.6740240250065366</v>
      </c>
      <c r="E435" s="360">
        <f t="shared" ca="1" si="183"/>
        <v>13.359553755861119</v>
      </c>
      <c r="F435" s="357">
        <f t="shared" ca="1" si="184"/>
        <v>14.514552187101547</v>
      </c>
      <c r="G435" s="359">
        <f t="shared" ca="1" si="185"/>
        <v>64.391618759732722</v>
      </c>
      <c r="H435" s="360">
        <f t="shared" ca="1" si="186"/>
        <v>262.84140566746566</v>
      </c>
      <c r="I435" s="357">
        <f t="shared" ca="1" si="187"/>
        <v>270.61390411386481</v>
      </c>
      <c r="J435" s="359">
        <f t="shared" ca="1" si="188"/>
        <v>149.95816153247671</v>
      </c>
      <c r="K435" s="360">
        <f t="shared" ca="1" si="189"/>
        <v>657.5592973029178</v>
      </c>
      <c r="L435" s="357">
        <f t="shared" ca="1" si="174"/>
        <v>674.4417541046131</v>
      </c>
      <c r="M435" s="359">
        <f t="shared" ca="1" si="190"/>
        <v>1.3305452971831622</v>
      </c>
      <c r="N435" s="357">
        <f t="shared" ca="1" si="191"/>
        <v>76.234629979575047</v>
      </c>
      <c r="O435" s="343"/>
      <c r="P435" s="363">
        <f t="shared" ca="1" si="192"/>
        <v>16</v>
      </c>
      <c r="Q435" s="357">
        <f t="shared" ca="1" si="193"/>
        <v>420.72083333338054</v>
      </c>
      <c r="R435" s="359">
        <f t="shared" ca="1" si="194"/>
        <v>0.21075263824103557</v>
      </c>
      <c r="S435" s="360">
        <f t="shared" ca="1" si="195"/>
        <v>9.673064256397069</v>
      </c>
      <c r="T435" s="357">
        <f t="shared" ca="1" si="175"/>
        <v>94.892760355255248</v>
      </c>
      <c r="U435" s="364">
        <f t="shared" ca="1" si="176"/>
        <v>0</v>
      </c>
      <c r="V435" s="359">
        <f t="shared" ca="1" si="177"/>
        <v>1.1470130386554194</v>
      </c>
      <c r="W435" s="357">
        <f t="shared" ca="1" si="178"/>
        <v>190.12892221135553</v>
      </c>
      <c r="X435" s="343"/>
      <c r="Y435" s="367" t="str">
        <f t="shared" ca="1" si="196"/>
        <v/>
      </c>
      <c r="Z435" s="368" t="str">
        <f t="shared" ca="1" si="197"/>
        <v/>
      </c>
      <c r="AA435" s="369" t="str">
        <f t="shared" ca="1" si="198"/>
        <v/>
      </c>
      <c r="AB435" s="344"/>
      <c r="AC435" s="363" t="e">
        <f t="shared" ca="1" si="199"/>
        <v>#N/A</v>
      </c>
      <c r="AD435" s="376" t="e">
        <f t="shared" ca="1" si="200"/>
        <v>#N/A</v>
      </c>
      <c r="AE435" s="377">
        <f t="shared" ca="1" si="179"/>
        <v>657.5592973029178</v>
      </c>
      <c r="AF435" s="344"/>
      <c r="AG435" s="359">
        <f t="shared" ca="1" si="201"/>
        <v>14.325757052796373</v>
      </c>
      <c r="AH435" s="357">
        <f t="shared" ca="1" si="202"/>
        <v>23.854198160535383</v>
      </c>
    </row>
    <row r="436" spans="1:34" x14ac:dyDescent="0.25">
      <c r="A436" s="402">
        <f t="shared" ca="1" si="180"/>
        <v>0.01</v>
      </c>
      <c r="B436" s="357">
        <f t="shared" ca="1" si="181"/>
        <v>4.3199999999999523</v>
      </c>
      <c r="C436" s="342"/>
      <c r="D436" s="359">
        <f t="shared" ca="1" si="182"/>
        <v>5.3709729203378487</v>
      </c>
      <c r="E436" s="360">
        <f t="shared" ca="1" si="183"/>
        <v>12.113879215571279</v>
      </c>
      <c r="F436" s="357">
        <f t="shared" ca="1" si="184"/>
        <v>13.251166732044855</v>
      </c>
      <c r="G436" s="359">
        <f t="shared" ca="1" si="185"/>
        <v>64.445328488936099</v>
      </c>
      <c r="H436" s="360">
        <f t="shared" ca="1" si="186"/>
        <v>262.96254445962137</v>
      </c>
      <c r="I436" s="357">
        <f t="shared" ca="1" si="187"/>
        <v>270.74434463664284</v>
      </c>
      <c r="J436" s="359">
        <f t="shared" ca="1" si="188"/>
        <v>150.60234626872005</v>
      </c>
      <c r="K436" s="360">
        <f t="shared" ca="1" si="189"/>
        <v>660.18831705355319</v>
      </c>
      <c r="L436" s="357">
        <f t="shared" ca="1" si="174"/>
        <v>677.14819698175847</v>
      </c>
      <c r="M436" s="359">
        <f t="shared" ca="1" si="190"/>
        <v>1.3304590809885024</v>
      </c>
      <c r="N436" s="357">
        <f t="shared" ca="1" si="191"/>
        <v>76.229690155495376</v>
      </c>
      <c r="O436" s="343"/>
      <c r="P436" s="363">
        <f t="shared" ca="1" si="192"/>
        <v>17</v>
      </c>
      <c r="Q436" s="357">
        <f t="shared" ca="1" si="193"/>
        <v>408.42500000006868</v>
      </c>
      <c r="R436" s="359">
        <f t="shared" ca="1" si="194"/>
        <v>0.20459325864997518</v>
      </c>
      <c r="S436" s="360">
        <f t="shared" ca="1" si="195"/>
        <v>9.6710183238105696</v>
      </c>
      <c r="T436" s="357">
        <f t="shared" ca="1" si="175"/>
        <v>94.872689756581693</v>
      </c>
      <c r="U436" s="364">
        <f t="shared" ca="1" si="176"/>
        <v>0</v>
      </c>
      <c r="V436" s="359">
        <f t="shared" ca="1" si="177"/>
        <v>1.1467111987577527</v>
      </c>
      <c r="W436" s="357">
        <f t="shared" ca="1" si="178"/>
        <v>190.26217592293634</v>
      </c>
      <c r="X436" s="343"/>
      <c r="Y436" s="367" t="str">
        <f t="shared" ca="1" si="196"/>
        <v/>
      </c>
      <c r="Z436" s="368" t="str">
        <f t="shared" ca="1" si="197"/>
        <v/>
      </c>
      <c r="AA436" s="369" t="str">
        <f t="shared" ca="1" si="198"/>
        <v/>
      </c>
      <c r="AB436" s="344"/>
      <c r="AC436" s="363" t="e">
        <f t="shared" ca="1" si="199"/>
        <v>#N/A</v>
      </c>
      <c r="AD436" s="376" t="e">
        <f t="shared" ca="1" si="200"/>
        <v>#N/A</v>
      </c>
      <c r="AE436" s="377">
        <f t="shared" ca="1" si="179"/>
        <v>660.18831705355319</v>
      </c>
      <c r="AF436" s="344"/>
      <c r="AG436" s="359">
        <f t="shared" ca="1" si="201"/>
        <v>13.043951652523543</v>
      </c>
      <c r="AH436" s="357">
        <f t="shared" ca="1" si="202"/>
        <v>22.572191518989928</v>
      </c>
    </row>
    <row r="437" spans="1:34" x14ac:dyDescent="0.25">
      <c r="A437" s="402">
        <f t="shared" ca="1" si="180"/>
        <v>0.01</v>
      </c>
      <c r="B437" s="357">
        <f t="shared" ca="1" si="181"/>
        <v>4.3299999999999521</v>
      </c>
      <c r="C437" s="342"/>
      <c r="D437" s="359">
        <f t="shared" ca="1" si="182"/>
        <v>5.0124907201669613</v>
      </c>
      <c r="E437" s="360">
        <f t="shared" ca="1" si="183"/>
        <v>10.642953608291927</v>
      </c>
      <c r="F437" s="357">
        <f t="shared" ca="1" si="184"/>
        <v>11.76424773319629</v>
      </c>
      <c r="G437" s="359">
        <f t="shared" ca="1" si="185"/>
        <v>64.495453396137762</v>
      </c>
      <c r="H437" s="360">
        <f t="shared" ca="1" si="186"/>
        <v>263.06897399570431</v>
      </c>
      <c r="I437" s="357">
        <f t="shared" ca="1" si="187"/>
        <v>270.8596473968131</v>
      </c>
      <c r="J437" s="359">
        <f t="shared" ca="1" si="188"/>
        <v>151.24705017814543</v>
      </c>
      <c r="K437" s="360">
        <f t="shared" ca="1" si="189"/>
        <v>662.81847464582984</v>
      </c>
      <c r="L437" s="357">
        <f t="shared" ca="1" si="174"/>
        <v>679.85586745972489</v>
      </c>
      <c r="M437" s="359">
        <f t="shared" ca="1" si="190"/>
        <v>1.3303728711667602</v>
      </c>
      <c r="N437" s="357">
        <f t="shared" ca="1" si="191"/>
        <v>76.224750696556967</v>
      </c>
      <c r="O437" s="343"/>
      <c r="P437" s="363">
        <f t="shared" ca="1" si="192"/>
        <v>17</v>
      </c>
      <c r="Q437" s="357">
        <f t="shared" ca="1" si="193"/>
        <v>393.87500000006906</v>
      </c>
      <c r="R437" s="359">
        <f t="shared" ca="1" si="194"/>
        <v>0.19730469425417044</v>
      </c>
      <c r="S437" s="360">
        <f t="shared" ca="1" si="195"/>
        <v>9.6690452768680277</v>
      </c>
      <c r="T437" s="357">
        <f t="shared" ca="1" si="175"/>
        <v>94.853334166075356</v>
      </c>
      <c r="U437" s="364">
        <f t="shared" ca="1" si="176"/>
        <v>0</v>
      </c>
      <c r="V437" s="359">
        <f t="shared" ca="1" si="177"/>
        <v>1.1464093050822239</v>
      </c>
      <c r="W437" s="357">
        <f t="shared" ca="1" si="178"/>
        <v>190.37413272007475</v>
      </c>
      <c r="X437" s="343"/>
      <c r="Y437" s="367" t="str">
        <f t="shared" ca="1" si="196"/>
        <v/>
      </c>
      <c r="Z437" s="368" t="str">
        <f t="shared" ca="1" si="197"/>
        <v/>
      </c>
      <c r="AA437" s="369" t="str">
        <f t="shared" ca="1" si="198"/>
        <v/>
      </c>
      <c r="AB437" s="344"/>
      <c r="AC437" s="363" t="e">
        <f t="shared" ca="1" si="199"/>
        <v>#N/A</v>
      </c>
      <c r="AD437" s="376" t="e">
        <f t="shared" ca="1" si="200"/>
        <v>#N/A</v>
      </c>
      <c r="AE437" s="377">
        <f t="shared" ca="1" si="179"/>
        <v>662.81847464582984</v>
      </c>
      <c r="AF437" s="344"/>
      <c r="AG437" s="359">
        <f t="shared" ca="1" si="201"/>
        <v>11.53017536377585</v>
      </c>
      <c r="AH437" s="357">
        <f t="shared" ca="1" si="202"/>
        <v>21.058213944271287</v>
      </c>
    </row>
    <row r="438" spans="1:34" x14ac:dyDescent="0.25">
      <c r="A438" s="402">
        <f t="shared" ca="1" si="180"/>
        <v>0.01</v>
      </c>
      <c r="B438" s="357">
        <f t="shared" ca="1" si="181"/>
        <v>4.3399999999999519</v>
      </c>
      <c r="C438" s="342"/>
      <c r="D438" s="359">
        <f t="shared" ca="1" si="182"/>
        <v>4.6540971346211339</v>
      </c>
      <c r="E438" s="360">
        <f t="shared" ca="1" si="183"/>
        <v>9.1734863329210707</v>
      </c>
      <c r="F438" s="357">
        <f t="shared" ca="1" si="184"/>
        <v>10.286567534351695</v>
      </c>
      <c r="G438" s="359">
        <f t="shared" ca="1" si="185"/>
        <v>64.54199436748398</v>
      </c>
      <c r="H438" s="360">
        <f t="shared" ca="1" si="186"/>
        <v>263.16070885903355</v>
      </c>
      <c r="I438" s="357">
        <f t="shared" ca="1" si="187"/>
        <v>270.95982677164773</v>
      </c>
      <c r="J438" s="359">
        <f t="shared" ca="1" si="188"/>
        <v>151.89223741696352</v>
      </c>
      <c r="K438" s="360">
        <f t="shared" ca="1" si="189"/>
        <v>665.44962306010348</v>
      </c>
      <c r="L438" s="357">
        <f t="shared" ca="1" si="174"/>
        <v>682.56461424422298</v>
      </c>
      <c r="M438" s="359">
        <f t="shared" ca="1" si="190"/>
        <v>1.3302866629040229</v>
      </c>
      <c r="N438" s="357">
        <f t="shared" ca="1" si="191"/>
        <v>76.21981132694296</v>
      </c>
      <c r="O438" s="343"/>
      <c r="P438" s="363">
        <f t="shared" ca="1" si="192"/>
        <v>17</v>
      </c>
      <c r="Q438" s="357">
        <f t="shared" ca="1" si="193"/>
        <v>379.32500000006945</v>
      </c>
      <c r="R438" s="359">
        <f t="shared" ca="1" si="194"/>
        <v>0.19001612985836566</v>
      </c>
      <c r="S438" s="360">
        <f t="shared" ca="1" si="195"/>
        <v>9.6671451155694434</v>
      </c>
      <c r="T438" s="357">
        <f t="shared" ca="1" si="175"/>
        <v>94.834693583736239</v>
      </c>
      <c r="U438" s="364">
        <f t="shared" ca="1" si="176"/>
        <v>0</v>
      </c>
      <c r="V438" s="359">
        <f t="shared" ca="1" si="177"/>
        <v>1.1461073745679369</v>
      </c>
      <c r="W438" s="357">
        <f t="shared" ca="1" si="178"/>
        <v>190.46480518091448</v>
      </c>
      <c r="X438" s="343"/>
      <c r="Y438" s="367" t="str">
        <f t="shared" ca="1" si="196"/>
        <v/>
      </c>
      <c r="Z438" s="368" t="str">
        <f t="shared" ca="1" si="197"/>
        <v/>
      </c>
      <c r="AA438" s="369" t="str">
        <f t="shared" ca="1" si="198"/>
        <v/>
      </c>
      <c r="AB438" s="344"/>
      <c r="AC438" s="363" t="e">
        <f t="shared" ca="1" si="199"/>
        <v>#N/A</v>
      </c>
      <c r="AD438" s="376" t="e">
        <f t="shared" ca="1" si="200"/>
        <v>#N/A</v>
      </c>
      <c r="AE438" s="377">
        <f t="shared" ca="1" si="179"/>
        <v>665.44962306010348</v>
      </c>
      <c r="AF438" s="344"/>
      <c r="AG438" s="359">
        <f t="shared" ca="1" si="201"/>
        <v>10.017836796623342</v>
      </c>
      <c r="AH438" s="357">
        <f t="shared" ca="1" si="202"/>
        <v>19.54567403521019</v>
      </c>
    </row>
    <row r="439" spans="1:34" x14ac:dyDescent="0.25">
      <c r="A439" s="402">
        <f t="shared" ca="1" si="180"/>
        <v>0.01</v>
      </c>
      <c r="B439" s="357">
        <f t="shared" ca="1" si="181"/>
        <v>4.3499999999999517</v>
      </c>
      <c r="C439" s="342"/>
      <c r="D439" s="359">
        <f t="shared" ca="1" si="182"/>
        <v>4.2958006878843085</v>
      </c>
      <c r="E439" s="360">
        <f t="shared" ca="1" si="183"/>
        <v>7.7055100988061955</v>
      </c>
      <c r="F439" s="357">
        <f t="shared" ca="1" si="184"/>
        <v>8.8220626518310095</v>
      </c>
      <c r="G439" s="359">
        <f t="shared" ca="1" si="185"/>
        <v>64.584952374362828</v>
      </c>
      <c r="H439" s="360">
        <f t="shared" ca="1" si="186"/>
        <v>263.2377639600216</v>
      </c>
      <c r="I439" s="357">
        <f t="shared" ca="1" si="187"/>
        <v>271.044897476176</v>
      </c>
      <c r="J439" s="359">
        <f t="shared" ca="1" si="188"/>
        <v>152.53787215067277</v>
      </c>
      <c r="K439" s="360">
        <f t="shared" ca="1" si="189"/>
        <v>668.08161542419873</v>
      </c>
      <c r="L439" s="357">
        <f t="shared" ca="1" si="174"/>
        <v>685.27428618624083</v>
      </c>
      <c r="M439" s="359">
        <f t="shared" ca="1" si="190"/>
        <v>1.3302004513949655</v>
      </c>
      <c r="N439" s="357">
        <f t="shared" ca="1" si="191"/>
        <v>76.214871771328518</v>
      </c>
      <c r="O439" s="343"/>
      <c r="P439" s="363">
        <f t="shared" ca="1" si="192"/>
        <v>17</v>
      </c>
      <c r="Q439" s="357">
        <f t="shared" ca="1" si="193"/>
        <v>364.77500000006984</v>
      </c>
      <c r="R439" s="359">
        <f t="shared" ca="1" si="194"/>
        <v>0.18272756546256091</v>
      </c>
      <c r="S439" s="360">
        <f t="shared" ca="1" si="195"/>
        <v>9.6653178399148185</v>
      </c>
      <c r="T439" s="357">
        <f t="shared" ca="1" si="175"/>
        <v>94.81676800956437</v>
      </c>
      <c r="U439" s="364">
        <f t="shared" ca="1" si="176"/>
        <v>0</v>
      </c>
      <c r="V439" s="359">
        <f t="shared" ca="1" si="177"/>
        <v>1.1458054241198772</v>
      </c>
      <c r="W439" s="357">
        <f t="shared" ca="1" si="178"/>
        <v>190.53420996439067</v>
      </c>
      <c r="X439" s="343"/>
      <c r="Y439" s="367" t="str">
        <f t="shared" ca="1" si="196"/>
        <v/>
      </c>
      <c r="Z439" s="368" t="str">
        <f t="shared" ca="1" si="197"/>
        <v/>
      </c>
      <c r="AA439" s="369" t="str">
        <f t="shared" ca="1" si="198"/>
        <v/>
      </c>
      <c r="AB439" s="344"/>
      <c r="AC439" s="363" t="e">
        <f t="shared" ca="1" si="199"/>
        <v>#N/A</v>
      </c>
      <c r="AD439" s="376" t="e">
        <f t="shared" ca="1" si="200"/>
        <v>#N/A</v>
      </c>
      <c r="AE439" s="377">
        <f t="shared" ca="1" si="179"/>
        <v>668.08161542419873</v>
      </c>
      <c r="AF439" s="344"/>
      <c r="AG439" s="359">
        <f t="shared" ca="1" si="201"/>
        <v>8.5069697267932227</v>
      </c>
      <c r="AH439" s="357">
        <f t="shared" ca="1" si="202"/>
        <v>18.034605556302282</v>
      </c>
    </row>
    <row r="440" spans="1:34" x14ac:dyDescent="0.25">
      <c r="A440" s="402">
        <f t="shared" ca="1" si="180"/>
        <v>0.01</v>
      </c>
      <c r="B440" s="357">
        <f t="shared" ca="1" si="181"/>
        <v>4.3599999999999515</v>
      </c>
      <c r="C440" s="342"/>
      <c r="D440" s="359">
        <f t="shared" ca="1" si="182"/>
        <v>3.9376097767211879</v>
      </c>
      <c r="E440" s="360">
        <f t="shared" ca="1" si="183"/>
        <v>6.2390571698967054</v>
      </c>
      <c r="F440" s="357">
        <f t="shared" ca="1" si="184"/>
        <v>7.3777100188994806</v>
      </c>
      <c r="G440" s="359">
        <f t="shared" ca="1" si="185"/>
        <v>64.624328472130045</v>
      </c>
      <c r="H440" s="360">
        <f t="shared" ca="1" si="186"/>
        <v>263.30015453172058</v>
      </c>
      <c r="I440" s="357">
        <f t="shared" ca="1" si="187"/>
        <v>271.11487455855627</v>
      </c>
      <c r="J440" s="359">
        <f t="shared" ca="1" si="188"/>
        <v>153.18391855490523</v>
      </c>
      <c r="K440" s="360">
        <f t="shared" ca="1" si="189"/>
        <v>670.71430501665748</v>
      </c>
      <c r="L440" s="357">
        <f t="shared" ca="1" si="174"/>
        <v>687.98473228540013</v>
      </c>
      <c r="M440" s="359">
        <f t="shared" ca="1" si="190"/>
        <v>1.3301142318413406</v>
      </c>
      <c r="N440" s="357">
        <f t="shared" ca="1" si="191"/>
        <v>76.209931754794312</v>
      </c>
      <c r="O440" s="343"/>
      <c r="P440" s="363">
        <f t="shared" ca="1" si="192"/>
        <v>17</v>
      </c>
      <c r="Q440" s="357">
        <f t="shared" ca="1" si="193"/>
        <v>350.22500000007022</v>
      </c>
      <c r="R440" s="359">
        <f t="shared" ca="1" si="194"/>
        <v>0.17543900106675614</v>
      </c>
      <c r="S440" s="360">
        <f t="shared" ca="1" si="195"/>
        <v>9.6635634499041512</v>
      </c>
      <c r="T440" s="357">
        <f t="shared" ca="1" si="175"/>
        <v>94.799557443559735</v>
      </c>
      <c r="U440" s="364">
        <f t="shared" ca="1" si="176"/>
        <v>0</v>
      </c>
      <c r="V440" s="359">
        <f t="shared" ca="1" si="177"/>
        <v>1.1455034706085605</v>
      </c>
      <c r="W440" s="357">
        <f t="shared" ca="1" si="178"/>
        <v>190.5823677845043</v>
      </c>
      <c r="X440" s="343"/>
      <c r="Y440" s="367" t="str">
        <f t="shared" ca="1" si="196"/>
        <v/>
      </c>
      <c r="Z440" s="368" t="str">
        <f t="shared" ca="1" si="197"/>
        <v/>
      </c>
      <c r="AA440" s="369" t="str">
        <f t="shared" ca="1" si="198"/>
        <v/>
      </c>
      <c r="AB440" s="344"/>
      <c r="AC440" s="363" t="e">
        <f t="shared" ca="1" si="199"/>
        <v>#N/A</v>
      </c>
      <c r="AD440" s="376" t="e">
        <f t="shared" ca="1" si="200"/>
        <v>#N/A</v>
      </c>
      <c r="AE440" s="377">
        <f t="shared" ca="1" si="179"/>
        <v>670.71430501665748</v>
      </c>
      <c r="AF440" s="344"/>
      <c r="AG440" s="359">
        <f t="shared" ca="1" si="201"/>
        <v>6.9976074671814228</v>
      </c>
      <c r="AH440" s="357">
        <f t="shared" ca="1" si="202"/>
        <v>16.525041809216191</v>
      </c>
    </row>
    <row r="441" spans="1:34" x14ac:dyDescent="0.25">
      <c r="A441" s="402">
        <f t="shared" ca="1" si="180"/>
        <v>0.01</v>
      </c>
      <c r="B441" s="357">
        <f t="shared" ca="1" si="181"/>
        <v>4.3699999999999513</v>
      </c>
      <c r="C441" s="342"/>
      <c r="D441" s="359">
        <f t="shared" ca="1" si="182"/>
        <v>3.5795326703721533</v>
      </c>
      <c r="E441" s="360">
        <f t="shared" ca="1" si="183"/>
        <v>4.7741593644843832</v>
      </c>
      <c r="F441" s="357">
        <f t="shared" ca="1" si="184"/>
        <v>5.9670471571586843</v>
      </c>
      <c r="G441" s="359">
        <f t="shared" ca="1" si="185"/>
        <v>64.660123798833766</v>
      </c>
      <c r="H441" s="360">
        <f t="shared" ca="1" si="186"/>
        <v>263.34789612536542</v>
      </c>
      <c r="I441" s="357">
        <f t="shared" ca="1" si="187"/>
        <v>271.16977339544462</v>
      </c>
      <c r="J441" s="359">
        <f t="shared" ca="1" si="188"/>
        <v>153.83034081626005</v>
      </c>
      <c r="K441" s="360">
        <f t="shared" ca="1" si="189"/>
        <v>673.34754526994288</v>
      </c>
      <c r="L441" s="357">
        <f t="shared" ca="1" si="174"/>
        <v>690.69580169326673</v>
      </c>
      <c r="M441" s="359">
        <f t="shared" ca="1" si="190"/>
        <v>1.3300279994504765</v>
      </c>
      <c r="N441" s="357">
        <f t="shared" ca="1" si="191"/>
        <v>76.204991002740471</v>
      </c>
      <c r="O441" s="343"/>
      <c r="P441" s="363">
        <f t="shared" ca="1" si="192"/>
        <v>17</v>
      </c>
      <c r="Q441" s="357">
        <f t="shared" ca="1" si="193"/>
        <v>335.67500000007061</v>
      </c>
      <c r="R441" s="359">
        <f t="shared" ca="1" si="194"/>
        <v>0.16815043667095139</v>
      </c>
      <c r="S441" s="360">
        <f t="shared" ca="1" si="195"/>
        <v>9.6618819455374414</v>
      </c>
      <c r="T441" s="357">
        <f t="shared" ca="1" si="175"/>
        <v>94.783061885722304</v>
      </c>
      <c r="U441" s="364">
        <f t="shared" ca="1" si="176"/>
        <v>0</v>
      </c>
      <c r="V441" s="359">
        <f t="shared" ca="1" si="177"/>
        <v>1.1452015308696917</v>
      </c>
      <c r="W441" s="357">
        <f t="shared" ca="1" si="178"/>
        <v>190.60930338423549</v>
      </c>
      <c r="X441" s="343"/>
      <c r="Y441" s="367" t="str">
        <f t="shared" ca="1" si="196"/>
        <v/>
      </c>
      <c r="Z441" s="368" t="str">
        <f t="shared" ca="1" si="197"/>
        <v/>
      </c>
      <c r="AA441" s="369" t="str">
        <f t="shared" ca="1" si="198"/>
        <v/>
      </c>
      <c r="AB441" s="344"/>
      <c r="AC441" s="363" t="e">
        <f t="shared" ca="1" si="199"/>
        <v>#N/A</v>
      </c>
      <c r="AD441" s="376" t="e">
        <f t="shared" ca="1" si="200"/>
        <v>#N/A</v>
      </c>
      <c r="AE441" s="377">
        <f t="shared" ca="1" si="179"/>
        <v>673.34754526994288</v>
      </c>
      <c r="AF441" s="344"/>
      <c r="AG441" s="359">
        <f t="shared" ca="1" si="201"/>
        <v>5.489782867568886</v>
      </c>
      <c r="AH441" s="357">
        <f t="shared" ca="1" si="202"/>
        <v>15.017015632506318</v>
      </c>
    </row>
    <row r="442" spans="1:34" x14ac:dyDescent="0.25">
      <c r="A442" s="402">
        <f t="shared" ca="1" si="180"/>
        <v>0.01</v>
      </c>
      <c r="B442" s="357">
        <f t="shared" ca="1" si="181"/>
        <v>4.379999999999951</v>
      </c>
      <c r="C442" s="342"/>
      <c r="D442" s="359">
        <f t="shared" ca="1" si="182"/>
        <v>3.2215775104588844</v>
      </c>
      <c r="E442" s="360">
        <f t="shared" ca="1" si="183"/>
        <v>3.3108480550332899</v>
      </c>
      <c r="F442" s="357">
        <f t="shared" ca="1" si="184"/>
        <v>4.6195537121471144</v>
      </c>
      <c r="G442" s="359">
        <f t="shared" ca="1" si="185"/>
        <v>64.692339573938355</v>
      </c>
      <c r="H442" s="360">
        <f t="shared" ca="1" si="186"/>
        <v>263.38100460591573</v>
      </c>
      <c r="I442" s="357">
        <f t="shared" ca="1" si="187"/>
        <v>271.20960968736188</v>
      </c>
      <c r="J442" s="359">
        <f t="shared" ca="1" si="188"/>
        <v>154.4771031331239</v>
      </c>
      <c r="K442" s="360">
        <f t="shared" ca="1" si="189"/>
        <v>675.98118977359934</v>
      </c>
      <c r="L442" s="357">
        <f t="shared" ca="1" si="174"/>
        <v>693.40734371661563</v>
      </c>
      <c r="M442" s="359">
        <f t="shared" ca="1" si="190"/>
        <v>1.3299417494337802</v>
      </c>
      <c r="N442" s="357">
        <f t="shared" ca="1" si="191"/>
        <v>76.200049240800851</v>
      </c>
      <c r="O442" s="343"/>
      <c r="P442" s="363">
        <f t="shared" ca="1" si="192"/>
        <v>17</v>
      </c>
      <c r="Q442" s="357">
        <f t="shared" ca="1" si="193"/>
        <v>321.125000000071</v>
      </c>
      <c r="R442" s="359">
        <f t="shared" ca="1" si="194"/>
        <v>0.16086187227514662</v>
      </c>
      <c r="S442" s="360">
        <f t="shared" ca="1" si="195"/>
        <v>9.6602733268146892</v>
      </c>
      <c r="T442" s="357">
        <f t="shared" ca="1" si="175"/>
        <v>94.767281336052108</v>
      </c>
      <c r="U442" s="364">
        <f t="shared" ca="1" si="176"/>
        <v>0</v>
      </c>
      <c r="V442" s="359">
        <f t="shared" ca="1" si="177"/>
        <v>1.1448996217038321</v>
      </c>
      <c r="W442" s="357">
        <f t="shared" ca="1" si="178"/>
        <v>190.61504550910917</v>
      </c>
      <c r="X442" s="343"/>
      <c r="Y442" s="367" t="str">
        <f t="shared" ca="1" si="196"/>
        <v/>
      </c>
      <c r="Z442" s="368" t="str">
        <f t="shared" ca="1" si="197"/>
        <v/>
      </c>
      <c r="AA442" s="369" t="str">
        <f t="shared" ca="1" si="198"/>
        <v/>
      </c>
      <c r="AB442" s="344"/>
      <c r="AC442" s="363" t="e">
        <f t="shared" ca="1" si="199"/>
        <v>#N/A</v>
      </c>
      <c r="AD442" s="376" t="e">
        <f t="shared" ca="1" si="200"/>
        <v>#N/A</v>
      </c>
      <c r="AE442" s="377">
        <f t="shared" ca="1" si="179"/>
        <v>675.98118977359934</v>
      </c>
      <c r="AF442" s="344"/>
      <c r="AG442" s="359">
        <f t="shared" ca="1" si="201"/>
        <v>3.9835283144272893</v>
      </c>
      <c r="AH442" s="357">
        <f t="shared" ca="1" si="202"/>
        <v>13.510559401415078</v>
      </c>
    </row>
    <row r="443" spans="1:34" x14ac:dyDescent="0.25">
      <c r="A443" s="402">
        <f t="shared" ca="1" si="180"/>
        <v>0.01</v>
      </c>
      <c r="B443" s="357">
        <f t="shared" ca="1" si="181"/>
        <v>4.3899999999999508</v>
      </c>
      <c r="C443" s="342"/>
      <c r="D443" s="359">
        <f t="shared" ca="1" si="182"/>
        <v>2.8637523109005105</v>
      </c>
      <c r="E443" s="360">
        <f t="shared" ca="1" si="183"/>
        <v>1.8491541680979111</v>
      </c>
      <c r="F443" s="357">
        <f t="shared" ca="1" si="184"/>
        <v>3.4088778851085135</v>
      </c>
      <c r="G443" s="359">
        <f t="shared" ca="1" si="185"/>
        <v>64.720977097047367</v>
      </c>
      <c r="H443" s="360">
        <f t="shared" ca="1" si="186"/>
        <v>263.39949614759672</v>
      </c>
      <c r="I443" s="357">
        <f t="shared" ca="1" si="187"/>
        <v>271.2343994540596</v>
      </c>
      <c r="J443" s="359">
        <f t="shared" ca="1" si="188"/>
        <v>155.12416971647883</v>
      </c>
      <c r="K443" s="360">
        <f t="shared" ca="1" si="189"/>
        <v>678.6150922773669</v>
      </c>
      <c r="L443" s="357">
        <f t="shared" ca="1" si="174"/>
        <v>696.11920782064772</v>
      </c>
      <c r="M443" s="359">
        <f t="shared" ca="1" si="190"/>
        <v>1.3298554770052473</v>
      </c>
      <c r="N443" s="357">
        <f t="shared" ca="1" si="191"/>
        <v>76.195106194757571</v>
      </c>
      <c r="O443" s="343"/>
      <c r="P443" s="363">
        <f t="shared" ca="1" si="192"/>
        <v>17</v>
      </c>
      <c r="Q443" s="357">
        <f t="shared" ca="1" si="193"/>
        <v>306.57500000007138</v>
      </c>
      <c r="R443" s="359">
        <f t="shared" ca="1" si="194"/>
        <v>0.15357330787934187</v>
      </c>
      <c r="S443" s="360">
        <f t="shared" ca="1" si="195"/>
        <v>9.6587375937358964</v>
      </c>
      <c r="T443" s="357">
        <f t="shared" ca="1" si="175"/>
        <v>94.752215794549144</v>
      </c>
      <c r="U443" s="364">
        <f t="shared" ca="1" si="176"/>
        <v>0</v>
      </c>
      <c r="V443" s="359">
        <f t="shared" ca="1" si="177"/>
        <v>1.144597759876073</v>
      </c>
      <c r="W443" s="357">
        <f t="shared" ca="1" si="178"/>
        <v>190.59962688042532</v>
      </c>
      <c r="X443" s="343"/>
      <c r="Y443" s="367" t="str">
        <f t="shared" ca="1" si="196"/>
        <v/>
      </c>
      <c r="Z443" s="368" t="str">
        <f t="shared" ca="1" si="197"/>
        <v/>
      </c>
      <c r="AA443" s="369" t="str">
        <f t="shared" ca="1" si="198"/>
        <v/>
      </c>
      <c r="AB443" s="344"/>
      <c r="AC443" s="363" t="e">
        <f t="shared" ca="1" si="199"/>
        <v>#N/A</v>
      </c>
      <c r="AD443" s="376" t="e">
        <f t="shared" ca="1" si="200"/>
        <v>#N/A</v>
      </c>
      <c r="AE443" s="377">
        <f t="shared" ca="1" si="179"/>
        <v>678.6150922773669</v>
      </c>
      <c r="AF443" s="344"/>
      <c r="AG443" s="359">
        <f t="shared" ca="1" si="201"/>
        <v>2.4788757308130105</v>
      </c>
      <c r="AH443" s="357">
        <f t="shared" ca="1" si="202"/>
        <v>12.00570502776338</v>
      </c>
    </row>
    <row r="444" spans="1:34" x14ac:dyDescent="0.25">
      <c r="A444" s="402">
        <f t="shared" ca="1" si="180"/>
        <v>0.01</v>
      </c>
      <c r="B444" s="357">
        <f t="shared" ca="1" si="181"/>
        <v>4.3999999999999506</v>
      </c>
      <c r="C444" s="342"/>
      <c r="D444" s="359">
        <f t="shared" ca="1" si="182"/>
        <v>2.5060649578400893</v>
      </c>
      <c r="E444" s="360">
        <f t="shared" ca="1" si="183"/>
        <v>0.38910818432841232</v>
      </c>
      <c r="F444" s="357">
        <f t="shared" ca="1" si="184"/>
        <v>2.5360928121867707</v>
      </c>
      <c r="G444" s="359">
        <f t="shared" ca="1" si="185"/>
        <v>64.746037746625774</v>
      </c>
      <c r="H444" s="360">
        <f t="shared" ca="1" si="186"/>
        <v>263.40338722944</v>
      </c>
      <c r="I444" s="357">
        <f t="shared" ca="1" si="187"/>
        <v>271.24415902988551</v>
      </c>
      <c r="J444" s="359">
        <f t="shared" ca="1" si="188"/>
        <v>155.77150479069721</v>
      </c>
      <c r="K444" s="360">
        <f t="shared" ca="1" si="189"/>
        <v>681.24910669425208</v>
      </c>
      <c r="L444" s="357">
        <f t="shared" ca="1" si="174"/>
        <v>698.83124363216234</v>
      </c>
      <c r="M444" s="359">
        <f t="shared" ca="1" si="190"/>
        <v>1.3297691773799716</v>
      </c>
      <c r="N444" s="357">
        <f t="shared" ca="1" si="191"/>
        <v>76.190161590455702</v>
      </c>
      <c r="O444" s="343"/>
      <c r="P444" s="363">
        <f t="shared" ca="1" si="192"/>
        <v>17</v>
      </c>
      <c r="Q444" s="357">
        <f t="shared" ca="1" si="193"/>
        <v>292.02500000007177</v>
      </c>
      <c r="R444" s="359">
        <f t="shared" ca="1" si="194"/>
        <v>0.14628474348353709</v>
      </c>
      <c r="S444" s="360">
        <f t="shared" ca="1" si="195"/>
        <v>9.6572747463010611</v>
      </c>
      <c r="T444" s="357">
        <f t="shared" ca="1" si="175"/>
        <v>94.737865261213415</v>
      </c>
      <c r="U444" s="364">
        <f t="shared" ca="1" si="176"/>
        <v>0</v>
      </c>
      <c r="V444" s="359">
        <f t="shared" ca="1" si="177"/>
        <v>1.1442959621157185</v>
      </c>
      <c r="W444" s="357">
        <f t="shared" ca="1" si="178"/>
        <v>190.56308416816583</v>
      </c>
      <c r="X444" s="343"/>
      <c r="Y444" s="367" t="str">
        <f t="shared" ca="1" si="196"/>
        <v/>
      </c>
      <c r="Z444" s="368" t="str">
        <f t="shared" ca="1" si="197"/>
        <v/>
      </c>
      <c r="AA444" s="369" t="str">
        <f t="shared" ca="1" si="198"/>
        <v/>
      </c>
      <c r="AB444" s="344"/>
      <c r="AC444" s="363" t="e">
        <f t="shared" ca="1" si="199"/>
        <v>#N/A</v>
      </c>
      <c r="AD444" s="376" t="e">
        <f t="shared" ca="1" si="200"/>
        <v>#N/A</v>
      </c>
      <c r="AE444" s="377">
        <f t="shared" ca="1" si="179"/>
        <v>681.24910669425208</v>
      </c>
      <c r="AF444" s="344"/>
      <c r="AG444" s="359">
        <f t="shared" ca="1" si="201"/>
        <v>0.97585657634817302</v>
      </c>
      <c r="AH444" s="357">
        <f t="shared" ca="1" si="202"/>
        <v>10.502483959928188</v>
      </c>
    </row>
    <row r="445" spans="1:34" x14ac:dyDescent="0.25">
      <c r="A445" s="402">
        <f t="shared" ca="1" si="180"/>
        <v>0.01</v>
      </c>
      <c r="B445" s="357">
        <f t="shared" ca="1" si="181"/>
        <v>4.4099999999999504</v>
      </c>
      <c r="C445" s="342"/>
      <c r="D445" s="359">
        <f t="shared" ca="1" si="182"/>
        <v>2.1485232095812741</v>
      </c>
      <c r="E445" s="360">
        <f t="shared" ca="1" si="183"/>
        <v>-1.0692598614381037</v>
      </c>
      <c r="F445" s="357">
        <f t="shared" ca="1" si="184"/>
        <v>2.3998892960701439</v>
      </c>
      <c r="G445" s="359">
        <f t="shared" ca="1" si="185"/>
        <v>64.767522978721587</v>
      </c>
      <c r="H445" s="360">
        <f t="shared" ca="1" si="186"/>
        <v>263.39269463082564</v>
      </c>
      <c r="I445" s="357">
        <f t="shared" ca="1" si="187"/>
        <v>271.23890505915</v>
      </c>
      <c r="J445" s="359">
        <f t="shared" ca="1" si="188"/>
        <v>156.41907259432395</v>
      </c>
      <c r="K445" s="360">
        <f t="shared" ca="1" si="189"/>
        <v>683.88308710355341</v>
      </c>
      <c r="L445" s="357">
        <f t="shared" ca="1" si="174"/>
        <v>701.54330094268221</v>
      </c>
      <c r="M445" s="359">
        <f t="shared" ca="1" si="190"/>
        <v>1.3296828457726604</v>
      </c>
      <c r="N445" s="357">
        <f t="shared" ca="1" si="191"/>
        <v>76.18521515371819</v>
      </c>
      <c r="O445" s="343"/>
      <c r="P445" s="363">
        <f t="shared" ca="1" si="192"/>
        <v>17</v>
      </c>
      <c r="Q445" s="357">
        <f t="shared" ca="1" si="193"/>
        <v>277.47500000007216</v>
      </c>
      <c r="R445" s="359">
        <f t="shared" ca="1" si="194"/>
        <v>0.13899617908773235</v>
      </c>
      <c r="S445" s="360">
        <f t="shared" ca="1" si="195"/>
        <v>9.6558847845101834</v>
      </c>
      <c r="T445" s="357">
        <f t="shared" ca="1" si="175"/>
        <v>94.724229736044904</v>
      </c>
      <c r="U445" s="364">
        <f t="shared" ca="1" si="176"/>
        <v>0</v>
      </c>
      <c r="V445" s="359">
        <f t="shared" ca="1" si="177"/>
        <v>1.1439942451159768</v>
      </c>
      <c r="W445" s="357">
        <f t="shared" ca="1" si="178"/>
        <v>190.50545796359231</v>
      </c>
      <c r="X445" s="343"/>
      <c r="Y445" s="367" t="str">
        <f t="shared" ca="1" si="196"/>
        <v/>
      </c>
      <c r="Z445" s="368" t="str">
        <f t="shared" ca="1" si="197"/>
        <v/>
      </c>
      <c r="AA445" s="369" t="str">
        <f t="shared" ca="1" si="198"/>
        <v/>
      </c>
      <c r="AB445" s="344"/>
      <c r="AC445" s="363" t="e">
        <f t="shared" ca="1" si="199"/>
        <v>#N/A</v>
      </c>
      <c r="AD445" s="376" t="e">
        <f t="shared" ca="1" si="200"/>
        <v>#N/A</v>
      </c>
      <c r="AE445" s="377">
        <f t="shared" ca="1" si="179"/>
        <v>683.88308710355341</v>
      </c>
      <c r="AF445" s="344"/>
      <c r="AG445" s="359">
        <f t="shared" ca="1" si="201"/>
        <v>-0.52549815271237854</v>
      </c>
      <c r="AH445" s="357">
        <f t="shared" ca="1" si="202"/>
        <v>9.0009271829060182</v>
      </c>
    </row>
    <row r="446" spans="1:34" x14ac:dyDescent="0.25">
      <c r="A446" s="402">
        <f t="shared" ca="1" si="180"/>
        <v>0.01</v>
      </c>
      <c r="B446" s="357">
        <f t="shared" ca="1" si="181"/>
        <v>4.4199999999999502</v>
      </c>
      <c r="C446" s="342"/>
      <c r="D446" s="359">
        <f t="shared" ca="1" si="182"/>
        <v>1.8249186829981607</v>
      </c>
      <c r="E446" s="360">
        <f t="shared" ca="1" si="183"/>
        <v>-2.3885296813815122</v>
      </c>
      <c r="F446" s="357">
        <f t="shared" ca="1" si="184"/>
        <v>3.0058945820497778</v>
      </c>
      <c r="G446" s="359">
        <f t="shared" ca="1" si="185"/>
        <v>64.785772165551563</v>
      </c>
      <c r="H446" s="360">
        <f t="shared" ca="1" si="186"/>
        <v>263.36880933401181</v>
      </c>
      <c r="I446" s="357">
        <f t="shared" ca="1" si="187"/>
        <v>271.22006932581854</v>
      </c>
      <c r="J446" s="359">
        <f t="shared" ca="1" si="188"/>
        <v>157.06683907004532</v>
      </c>
      <c r="K446" s="360">
        <f t="shared" ca="1" si="189"/>
        <v>686.51689462337754</v>
      </c>
      <c r="L446" s="357">
        <f t="shared" ca="1" si="174"/>
        <v>704.25523678477623</v>
      </c>
      <c r="M446" s="359">
        <f t="shared" ca="1" si="190"/>
        <v>1.3295964778466944</v>
      </c>
      <c r="N446" s="357">
        <f t="shared" ca="1" si="191"/>
        <v>76.180266636075046</v>
      </c>
      <c r="O446" s="343"/>
      <c r="P446" s="363">
        <f t="shared" ca="1" si="192"/>
        <v>18</v>
      </c>
      <c r="Q446" s="357">
        <f t="shared" ca="1" si="193"/>
        <v>264.29090909096794</v>
      </c>
      <c r="R446" s="359">
        <f t="shared" ca="1" si="194"/>
        <v>0.13239184262098644</v>
      </c>
      <c r="S446" s="360">
        <f t="shared" ca="1" si="195"/>
        <v>9.6545608660839743</v>
      </c>
      <c r="T446" s="357">
        <f t="shared" ca="1" si="175"/>
        <v>94.711242096283797</v>
      </c>
      <c r="U446" s="364">
        <f t="shared" ca="1" si="176"/>
        <v>0</v>
      </c>
      <c r="V446" s="359">
        <f t="shared" ca="1" si="177"/>
        <v>1.1436926247470671</v>
      </c>
      <c r="W446" s="357">
        <f t="shared" ca="1" si="178"/>
        <v>190.42877937967825</v>
      </c>
      <c r="X446" s="343"/>
      <c r="Y446" s="367" t="str">
        <f t="shared" ca="1" si="196"/>
        <v/>
      </c>
      <c r="Z446" s="368" t="str">
        <f t="shared" ca="1" si="197"/>
        <v/>
      </c>
      <c r="AA446" s="369" t="str">
        <f t="shared" ca="1" si="198"/>
        <v/>
      </c>
      <c r="AB446" s="344"/>
      <c r="AC446" s="363" t="e">
        <f t="shared" ca="1" si="199"/>
        <v>#N/A</v>
      </c>
      <c r="AD446" s="376" t="e">
        <f t="shared" ca="1" si="200"/>
        <v>#N/A</v>
      </c>
      <c r="AE446" s="377">
        <f t="shared" ca="1" si="179"/>
        <v>686.51689462337754</v>
      </c>
      <c r="AF446" s="344"/>
      <c r="AG446" s="359">
        <f t="shared" ca="1" si="201"/>
        <v>-1.8836744903463716</v>
      </c>
      <c r="AH446" s="357">
        <f t="shared" ca="1" si="202"/>
        <v>7.6425486514441596</v>
      </c>
    </row>
    <row r="447" spans="1:34" x14ac:dyDescent="0.25">
      <c r="A447" s="402">
        <f t="shared" ca="1" si="180"/>
        <v>0.01</v>
      </c>
      <c r="B447" s="357">
        <f t="shared" ca="1" si="181"/>
        <v>4.42999999999995</v>
      </c>
      <c r="C447" s="342"/>
      <c r="D447" s="359">
        <f t="shared" ca="1" si="182"/>
        <v>1.5352588560946252</v>
      </c>
      <c r="E447" s="360">
        <f t="shared" ca="1" si="183"/>
        <v>-3.5688256891358492</v>
      </c>
      <c r="F447" s="357">
        <f t="shared" ca="1" si="184"/>
        <v>3.8850400969170118</v>
      </c>
      <c r="G447" s="359">
        <f t="shared" ca="1" si="185"/>
        <v>64.801124754112507</v>
      </c>
      <c r="H447" s="360">
        <f t="shared" ca="1" si="186"/>
        <v>263.33312107712044</v>
      </c>
      <c r="I447" s="357">
        <f t="shared" ca="1" si="187"/>
        <v>271.1890824233443</v>
      </c>
      <c r="J447" s="359">
        <f t="shared" ca="1" si="188"/>
        <v>157.71477355464364</v>
      </c>
      <c r="K447" s="360">
        <f t="shared" ca="1" si="189"/>
        <v>689.15040427543317</v>
      </c>
      <c r="L447" s="357">
        <f t="shared" ca="1" si="174"/>
        <v>706.96692250089438</v>
      </c>
      <c r="M447" s="359">
        <f t="shared" ca="1" si="190"/>
        <v>1.3295100697134004</v>
      </c>
      <c r="N447" s="357">
        <f t="shared" ca="1" si="191"/>
        <v>76.175315814721699</v>
      </c>
      <c r="O447" s="343"/>
      <c r="P447" s="363">
        <f t="shared" ca="1" si="192"/>
        <v>18</v>
      </c>
      <c r="Q447" s="357">
        <f t="shared" ca="1" si="193"/>
        <v>252.47272727278633</v>
      </c>
      <c r="R447" s="359">
        <f t="shared" ca="1" si="194"/>
        <v>0.12647173408331305</v>
      </c>
      <c r="S447" s="360">
        <f t="shared" ca="1" si="195"/>
        <v>9.6532961487431415</v>
      </c>
      <c r="T447" s="357">
        <f t="shared" ca="1" si="175"/>
        <v>94.698835219170221</v>
      </c>
      <c r="U447" s="364">
        <f t="shared" ca="1" si="176"/>
        <v>0</v>
      </c>
      <c r="V447" s="359">
        <f t="shared" ca="1" si="177"/>
        <v>1.1433911152714182</v>
      </c>
      <c r="W447" s="357">
        <f t="shared" ca="1" si="178"/>
        <v>190.33507797547801</v>
      </c>
      <c r="X447" s="343"/>
      <c r="Y447" s="367" t="str">
        <f t="shared" ca="1" si="196"/>
        <v/>
      </c>
      <c r="Z447" s="368" t="str">
        <f t="shared" ca="1" si="197"/>
        <v/>
      </c>
      <c r="AA447" s="369" t="str">
        <f t="shared" ca="1" si="198"/>
        <v/>
      </c>
      <c r="AB447" s="344"/>
      <c r="AC447" s="363" t="e">
        <f t="shared" ca="1" si="199"/>
        <v>#N/A</v>
      </c>
      <c r="AD447" s="376" t="e">
        <f t="shared" ca="1" si="200"/>
        <v>#N/A</v>
      </c>
      <c r="AE447" s="377">
        <f t="shared" ca="1" si="179"/>
        <v>689.15040427543317</v>
      </c>
      <c r="AF447" s="344"/>
      <c r="AG447" s="359">
        <f t="shared" ca="1" si="201"/>
        <v>-3.0987914872649318</v>
      </c>
      <c r="AH447" s="357">
        <f t="shared" ca="1" si="202"/>
        <v>6.4272293045921112</v>
      </c>
    </row>
    <row r="448" spans="1:34" x14ac:dyDescent="0.25">
      <c r="A448" s="402">
        <f t="shared" ca="1" si="180"/>
        <v>0.01</v>
      </c>
      <c r="B448" s="357">
        <f t="shared" ca="1" si="181"/>
        <v>4.4399999999999498</v>
      </c>
      <c r="C448" s="342"/>
      <c r="D448" s="359">
        <f t="shared" ca="1" si="182"/>
        <v>1.2457330523687584</v>
      </c>
      <c r="E448" s="360">
        <f t="shared" ca="1" si="183"/>
        <v>-4.747699400219525</v>
      </c>
      <c r="F448" s="357">
        <f t="shared" ca="1" si="184"/>
        <v>4.9084111922911289</v>
      </c>
      <c r="G448" s="359">
        <f t="shared" ca="1" si="185"/>
        <v>64.813582084636195</v>
      </c>
      <c r="H448" s="360">
        <f t="shared" ca="1" si="186"/>
        <v>263.28564408311826</v>
      </c>
      <c r="I448" s="357">
        <f t="shared" ca="1" si="187"/>
        <v>271.14595848528575</v>
      </c>
      <c r="J448" s="359">
        <f t="shared" ca="1" si="188"/>
        <v>158.36284708883738</v>
      </c>
      <c r="K448" s="360">
        <f t="shared" ca="1" si="189"/>
        <v>691.78349810123439</v>
      </c>
      <c r="L448" s="357">
        <f t="shared" ca="1" si="174"/>
        <v>709.67823665606591</v>
      </c>
      <c r="M448" s="359">
        <f t="shared" ca="1" si="190"/>
        <v>1.3294236174805061</v>
      </c>
      <c r="N448" s="357">
        <f t="shared" ca="1" si="191"/>
        <v>76.170362466647376</v>
      </c>
      <c r="O448" s="343"/>
      <c r="P448" s="363">
        <f t="shared" ca="1" si="192"/>
        <v>18</v>
      </c>
      <c r="Q448" s="357">
        <f t="shared" ca="1" si="193"/>
        <v>240.65454545460472</v>
      </c>
      <c r="R448" s="359">
        <f t="shared" ca="1" si="194"/>
        <v>0.12055162554563965</v>
      </c>
      <c r="S448" s="360">
        <f t="shared" ca="1" si="195"/>
        <v>9.6520906324876847</v>
      </c>
      <c r="T448" s="357">
        <f t="shared" ca="1" si="175"/>
        <v>94.687009104704188</v>
      </c>
      <c r="U448" s="364">
        <f t="shared" ca="1" si="176"/>
        <v>0</v>
      </c>
      <c r="V448" s="359">
        <f t="shared" ca="1" si="177"/>
        <v>1.143089730133531</v>
      </c>
      <c r="W448" s="357">
        <f t="shared" ca="1" si="178"/>
        <v>190.22439514424576</v>
      </c>
      <c r="X448" s="343"/>
      <c r="Y448" s="367" t="str">
        <f t="shared" ca="1" si="196"/>
        <v/>
      </c>
      <c r="Z448" s="368" t="str">
        <f t="shared" ca="1" si="197"/>
        <v/>
      </c>
      <c r="AA448" s="369" t="str">
        <f t="shared" ca="1" si="198"/>
        <v/>
      </c>
      <c r="AB448" s="344"/>
      <c r="AC448" s="363" t="e">
        <f t="shared" ca="1" si="199"/>
        <v>#N/A</v>
      </c>
      <c r="AD448" s="376" t="e">
        <f t="shared" ca="1" si="200"/>
        <v>#N/A</v>
      </c>
      <c r="AE448" s="377">
        <f t="shared" ca="1" si="179"/>
        <v>691.78349810123439</v>
      </c>
      <c r="AF448" s="344"/>
      <c r="AG448" s="359">
        <f t="shared" ca="1" si="201"/>
        <v>-4.3124951329465402</v>
      </c>
      <c r="AH448" s="357">
        <f t="shared" ca="1" si="202"/>
        <v>5.2133231436677461</v>
      </c>
    </row>
    <row r="449" spans="1:34" x14ac:dyDescent="0.25">
      <c r="A449" s="402">
        <f t="shared" ca="1" si="180"/>
        <v>0.01</v>
      </c>
      <c r="B449" s="357">
        <f t="shared" ca="1" si="181"/>
        <v>4.4499999999999496</v>
      </c>
      <c r="C449" s="342"/>
      <c r="D449" s="359">
        <f t="shared" ca="1" si="182"/>
        <v>0.95634594816357943</v>
      </c>
      <c r="E449" s="360">
        <f t="shared" ca="1" si="183"/>
        <v>-5.9251328034959094</v>
      </c>
      <c r="F449" s="357">
        <f t="shared" ca="1" si="184"/>
        <v>6.0018160844557862</v>
      </c>
      <c r="G449" s="359">
        <f t="shared" ca="1" si="185"/>
        <v>64.823145544117835</v>
      </c>
      <c r="H449" s="360">
        <f t="shared" ca="1" si="186"/>
        <v>263.22639275508328</v>
      </c>
      <c r="I449" s="357">
        <f t="shared" ca="1" si="187"/>
        <v>271.09071183109029</v>
      </c>
      <c r="J449" s="359">
        <f t="shared" ca="1" si="188"/>
        <v>159.01103072698115</v>
      </c>
      <c r="K449" s="360">
        <f t="shared" ca="1" si="189"/>
        <v>694.41605828542538</v>
      </c>
      <c r="L449" s="357">
        <f t="shared" ca="1" si="174"/>
        <v>712.38905795746484</v>
      </c>
      <c r="M449" s="359">
        <f t="shared" ca="1" si="190"/>
        <v>1.3293371172511625</v>
      </c>
      <c r="N449" s="357">
        <f t="shared" ca="1" si="191"/>
        <v>76.16540636857907</v>
      </c>
      <c r="O449" s="343"/>
      <c r="P449" s="363">
        <f t="shared" ca="1" si="192"/>
        <v>18</v>
      </c>
      <c r="Q449" s="357">
        <f t="shared" ca="1" si="193"/>
        <v>228.83636363642307</v>
      </c>
      <c r="R449" s="359">
        <f t="shared" ca="1" si="194"/>
        <v>0.11463151700796624</v>
      </c>
      <c r="S449" s="360">
        <f t="shared" ca="1" si="195"/>
        <v>9.6509443173176059</v>
      </c>
      <c r="T449" s="357">
        <f t="shared" ca="1" si="175"/>
        <v>94.675763752885715</v>
      </c>
      <c r="U449" s="364">
        <f t="shared" ca="1" si="176"/>
        <v>0</v>
      </c>
      <c r="V449" s="359">
        <f t="shared" ca="1" si="177"/>
        <v>1.1427884827478314</v>
      </c>
      <c r="W449" s="357">
        <f t="shared" ca="1" si="178"/>
        <v>190.09677476969696</v>
      </c>
      <c r="X449" s="343"/>
      <c r="Y449" s="367" t="str">
        <f t="shared" ca="1" si="196"/>
        <v/>
      </c>
      <c r="Z449" s="368" t="str">
        <f t="shared" ca="1" si="197"/>
        <v/>
      </c>
      <c r="AA449" s="369" t="str">
        <f t="shared" ca="1" si="198"/>
        <v/>
      </c>
      <c r="AB449" s="344"/>
      <c r="AC449" s="363" t="e">
        <f t="shared" ca="1" si="199"/>
        <v>#N/A</v>
      </c>
      <c r="AD449" s="376" t="e">
        <f t="shared" ca="1" si="200"/>
        <v>#N/A</v>
      </c>
      <c r="AE449" s="377">
        <f t="shared" ca="1" si="179"/>
        <v>694.41605828542538</v>
      </c>
      <c r="AF449" s="344"/>
      <c r="AG449" s="359">
        <f t="shared" ca="1" si="201"/>
        <v>-5.5247668385037576</v>
      </c>
      <c r="AH449" s="357">
        <f t="shared" ca="1" si="202"/>
        <v>4.0008487483335893</v>
      </c>
    </row>
    <row r="450" spans="1:34" x14ac:dyDescent="0.25">
      <c r="A450" s="402">
        <f t="shared" ca="1" si="180"/>
        <v>0.01</v>
      </c>
      <c r="B450" s="357">
        <f t="shared" ca="1" si="181"/>
        <v>4.4599999999999493</v>
      </c>
      <c r="C450" s="342"/>
      <c r="D450" s="359">
        <f t="shared" ca="1" si="182"/>
        <v>0.6671021359486321</v>
      </c>
      <c r="E450" s="360">
        <f t="shared" ca="1" si="183"/>
        <v>-7.1011081779353153</v>
      </c>
      <c r="F450" s="357">
        <f t="shared" ca="1" si="184"/>
        <v>7.1323742620902228</v>
      </c>
      <c r="G450" s="359">
        <f t="shared" ca="1" si="185"/>
        <v>64.829816565477316</v>
      </c>
      <c r="H450" s="360">
        <f t="shared" ca="1" si="186"/>
        <v>263.15538167330391</v>
      </c>
      <c r="I450" s="357">
        <f t="shared" ca="1" si="187"/>
        <v>271.02335696307745</v>
      </c>
      <c r="J450" s="359">
        <f t="shared" ca="1" si="188"/>
        <v>159.65929553752912</v>
      </c>
      <c r="K450" s="360">
        <f t="shared" ca="1" si="189"/>
        <v>697.04796715756731</v>
      </c>
      <c r="L450" s="357">
        <f t="shared" ca="1" si="174"/>
        <v>715.09926525625599</v>
      </c>
      <c r="M450" s="359">
        <f t="shared" ca="1" si="190"/>
        <v>1.3292505651229591</v>
      </c>
      <c r="N450" s="357">
        <f t="shared" ca="1" si="191"/>
        <v>76.160447296925142</v>
      </c>
      <c r="O450" s="343"/>
      <c r="P450" s="363">
        <f t="shared" ca="1" si="192"/>
        <v>18</v>
      </c>
      <c r="Q450" s="357">
        <f t="shared" ca="1" si="193"/>
        <v>217.01818181824146</v>
      </c>
      <c r="R450" s="359">
        <f t="shared" ca="1" si="194"/>
        <v>0.10871140847029283</v>
      </c>
      <c r="S450" s="360">
        <f t="shared" ca="1" si="195"/>
        <v>9.6498572032329033</v>
      </c>
      <c r="T450" s="357">
        <f t="shared" ca="1" si="175"/>
        <v>94.665099163714785</v>
      </c>
      <c r="U450" s="364">
        <f t="shared" ca="1" si="176"/>
        <v>0</v>
      </c>
      <c r="V450" s="359">
        <f t="shared" ca="1" si="177"/>
        <v>1.1424873864985021</v>
      </c>
      <c r="W450" s="357">
        <f t="shared" ca="1" si="178"/>
        <v>189.95226320726061</v>
      </c>
      <c r="X450" s="343"/>
      <c r="Y450" s="367" t="str">
        <f t="shared" ca="1" si="196"/>
        <v/>
      </c>
      <c r="Z450" s="368" t="str">
        <f t="shared" ca="1" si="197"/>
        <v/>
      </c>
      <c r="AA450" s="369" t="str">
        <f t="shared" ca="1" si="198"/>
        <v/>
      </c>
      <c r="AB450" s="344"/>
      <c r="AC450" s="363" t="e">
        <f t="shared" ca="1" si="199"/>
        <v>#N/A</v>
      </c>
      <c r="AD450" s="376" t="e">
        <f t="shared" ca="1" si="200"/>
        <v>#N/A</v>
      </c>
      <c r="AE450" s="377">
        <f t="shared" ca="1" si="179"/>
        <v>697.04796715756731</v>
      </c>
      <c r="AF450" s="344"/>
      <c r="AG450" s="359">
        <f t="shared" ca="1" si="201"/>
        <v>-6.7355883167544732</v>
      </c>
      <c r="AH450" s="357">
        <f t="shared" ca="1" si="202"/>
        <v>2.7898243965232212</v>
      </c>
    </row>
    <row r="451" spans="1:34" x14ac:dyDescent="0.25">
      <c r="A451" s="402">
        <f t="shared" ca="1" si="180"/>
        <v>0.01</v>
      </c>
      <c r="B451" s="357">
        <f t="shared" ca="1" si="181"/>
        <v>4.4699999999999491</v>
      </c>
      <c r="C451" s="342"/>
      <c r="D451" s="359">
        <f t="shared" ca="1" si="182"/>
        <v>0.37800612438583059</v>
      </c>
      <c r="E451" s="360">
        <f t="shared" ca="1" si="183"/>
        <v>-8.2756080919628747</v>
      </c>
      <c r="F451" s="357">
        <f t="shared" ca="1" si="184"/>
        <v>8.2842367132907668</v>
      </c>
      <c r="G451" s="359">
        <f t="shared" ca="1" si="185"/>
        <v>64.833596626721175</v>
      </c>
      <c r="H451" s="360">
        <f t="shared" ca="1" si="186"/>
        <v>263.07262559238427</v>
      </c>
      <c r="I451" s="357">
        <f t="shared" ca="1" si="187"/>
        <v>270.9439085634279</v>
      </c>
      <c r="J451" s="359">
        <f t="shared" ca="1" si="188"/>
        <v>160.3076126034901</v>
      </c>
      <c r="K451" s="360">
        <f t="shared" ca="1" si="189"/>
        <v>699.67910719389579</v>
      </c>
      <c r="L451" s="357">
        <f t="shared" ca="1" si="174"/>
        <v>717.80873754941001</v>
      </c>
      <c r="M451" s="359">
        <f t="shared" ca="1" si="190"/>
        <v>1.3291639571869405</v>
      </c>
      <c r="N451" s="357">
        <f t="shared" ca="1" si="191"/>
        <v>76.155485027718939</v>
      </c>
      <c r="O451" s="343"/>
      <c r="P451" s="363">
        <f t="shared" ca="1" si="192"/>
        <v>18</v>
      </c>
      <c r="Q451" s="357">
        <f t="shared" ca="1" si="193"/>
        <v>205.20000000005982</v>
      </c>
      <c r="R451" s="359">
        <f t="shared" ca="1" si="194"/>
        <v>0.10279129993261941</v>
      </c>
      <c r="S451" s="360">
        <f t="shared" ca="1" si="195"/>
        <v>9.6488292902335768</v>
      </c>
      <c r="T451" s="357">
        <f t="shared" ca="1" si="175"/>
        <v>94.655015337191386</v>
      </c>
      <c r="U451" s="364">
        <f t="shared" ca="1" si="176"/>
        <v>0</v>
      </c>
      <c r="V451" s="359">
        <f t="shared" ca="1" si="177"/>
        <v>1.1421864547393252</v>
      </c>
      <c r="W451" s="357">
        <f t="shared" ca="1" si="178"/>
        <v>189.79090926522471</v>
      </c>
      <c r="X451" s="343"/>
      <c r="Y451" s="367" t="str">
        <f t="shared" ca="1" si="196"/>
        <v/>
      </c>
      <c r="Z451" s="368" t="str">
        <f t="shared" ca="1" si="197"/>
        <v/>
      </c>
      <c r="AA451" s="369" t="str">
        <f t="shared" ca="1" si="198"/>
        <v/>
      </c>
      <c r="AB451" s="344"/>
      <c r="AC451" s="363" t="e">
        <f t="shared" ca="1" si="199"/>
        <v>#N/A</v>
      </c>
      <c r="AD451" s="376" t="e">
        <f t="shared" ca="1" si="200"/>
        <v>#N/A</v>
      </c>
      <c r="AE451" s="377">
        <f t="shared" ca="1" si="179"/>
        <v>699.67910719389579</v>
      </c>
      <c r="AF451" s="344"/>
      <c r="AG451" s="359">
        <f t="shared" ca="1" si="201"/>
        <v>-7.9449415815772646</v>
      </c>
      <c r="AH451" s="357">
        <f t="shared" ca="1" si="202"/>
        <v>1.5802680650835816</v>
      </c>
    </row>
    <row r="452" spans="1:34" x14ac:dyDescent="0.25">
      <c r="A452" s="402">
        <f t="shared" ca="1" si="180"/>
        <v>0.01</v>
      </c>
      <c r="B452" s="357">
        <f t="shared" ca="1" si="181"/>
        <v>4.4799999999999489</v>
      </c>
      <c r="C452" s="342"/>
      <c r="D452" s="359">
        <f t="shared" ca="1" si="182"/>
        <v>8.9062338399359967E-2</v>
      </c>
      <c r="E452" s="360">
        <f t="shared" ca="1" si="183"/>
        <v>-9.4486154027669595</v>
      </c>
      <c r="F452" s="357">
        <f t="shared" ca="1" si="184"/>
        <v>9.4490351427818382</v>
      </c>
      <c r="G452" s="359">
        <f t="shared" ca="1" si="185"/>
        <v>64.83448725010517</v>
      </c>
      <c r="H452" s="360">
        <f t="shared" ca="1" si="186"/>
        <v>262.97813943835661</v>
      </c>
      <c r="I452" s="357">
        <f t="shared" ca="1" si="187"/>
        <v>270.85238149118015</v>
      </c>
      <c r="J452" s="359">
        <f t="shared" ca="1" si="188"/>
        <v>160.95595302287424</v>
      </c>
      <c r="K452" s="360">
        <f t="shared" ca="1" si="189"/>
        <v>702.30936101904945</v>
      </c>
      <c r="L452" s="357">
        <f t="shared" ref="L452:L515" ca="1" si="203">SQRT(pos_x^2+pos_z^2)</f>
        <v>720.51735398148958</v>
      </c>
      <c r="M452" s="359">
        <f t="shared" ca="1" si="190"/>
        <v>1.3290772895266163</v>
      </c>
      <c r="N452" s="357">
        <f t="shared" ca="1" si="191"/>
        <v>76.150519336562084</v>
      </c>
      <c r="O452" s="343"/>
      <c r="P452" s="363">
        <f t="shared" ca="1" si="192"/>
        <v>18</v>
      </c>
      <c r="Q452" s="357">
        <f t="shared" ca="1" si="193"/>
        <v>193.3818181818782</v>
      </c>
      <c r="R452" s="359">
        <f t="shared" ca="1" si="194"/>
        <v>9.6871191394946016E-2</v>
      </c>
      <c r="S452" s="360">
        <f t="shared" ca="1" si="195"/>
        <v>9.6478605783196265</v>
      </c>
      <c r="T452" s="357">
        <f t="shared" ref="T452:T515" ca="1" si="204">m*g</f>
        <v>94.645512273315546</v>
      </c>
      <c r="U452" s="364">
        <f t="shared" ref="U452:U515" ca="1" si="205">IF(pos_xz&lt;L_rampe,Poids*COS(Beta),0)</f>
        <v>0</v>
      </c>
      <c r="V452" s="359">
        <f t="shared" ref="V452:V515" ca="1" si="206">Rho_moyen*(20000-Alt_rampe-pos_z)/(20000+Alt_rampe+pos_z)</f>
        <v>1.1418857007935288</v>
      </c>
      <c r="W452" s="357">
        <f t="shared" ref="W452:W515" ca="1" si="207">1/2*Rho*Sref*Cx*vit_xz^2</f>
        <v>189.61276418578191</v>
      </c>
      <c r="X452" s="343"/>
      <c r="Y452" s="367" t="str">
        <f t="shared" ca="1" si="196"/>
        <v/>
      </c>
      <c r="Z452" s="368" t="str">
        <f t="shared" ca="1" si="197"/>
        <v/>
      </c>
      <c r="AA452" s="369" t="str">
        <f t="shared" ca="1" si="198"/>
        <v/>
      </c>
      <c r="AB452" s="344"/>
      <c r="AC452" s="363" t="e">
        <f t="shared" ca="1" si="199"/>
        <v>#N/A</v>
      </c>
      <c r="AD452" s="376" t="e">
        <f t="shared" ca="1" si="200"/>
        <v>#N/A</v>
      </c>
      <c r="AE452" s="377">
        <f t="shared" ref="AE452:AE515" ca="1" si="208">IF(t&lt;T_para, pos_z, NA())</f>
        <v>702.30936101904945</v>
      </c>
      <c r="AF452" s="344"/>
      <c r="AG452" s="359">
        <f t="shared" ca="1" si="201"/>
        <v>-9.1528089472274932</v>
      </c>
      <c r="AH452" s="357">
        <f t="shared" ca="1" si="202"/>
        <v>0.37219743045653758</v>
      </c>
    </row>
    <row r="453" spans="1:34" x14ac:dyDescent="0.25">
      <c r="A453" s="402">
        <f t="shared" ref="A453:A516" ca="1" si="209">IF(B452+0.01&lt;=T_ini+ROUNDUP(Temps_fin_propu,0), 0.01, IF(K452&gt;0, 0.1, 0.0001))</f>
        <v>0.01</v>
      </c>
      <c r="B453" s="357">
        <f t="shared" ref="B453:B516" ca="1" si="210">B452+pas</f>
        <v>4.4899999999999487</v>
      </c>
      <c r="C453" s="342"/>
      <c r="D453" s="359">
        <f t="shared" ref="D453:D516" ca="1" si="211">IF(AND(L452&lt;L_rampe,Poussee&lt;Poids*SIN(M452)),0,(-W452+Poussee)/m*COS(M452)-U452/m*SIN(M452))</f>
        <v>-0.19972488075055</v>
      </c>
      <c r="E453" s="360">
        <f t="shared" ref="E453:E516" ca="1" si="212">IF(AND(L452&lt;L_rampe,Poussee&lt;Poids*SIN(M452)),0,(-W452+Poussee)/m*SIN(M452)+U452/m*COS(M452)-Poids/m)</f>
        <v>-10.620113255568967</v>
      </c>
      <c r="F453" s="357">
        <f t="shared" ref="F453:F516" ca="1" si="213">SQRT(acc_x^2+acc_z^2)</f>
        <v>10.62199113109696</v>
      </c>
      <c r="G453" s="359">
        <f t="shared" ref="G453:G516" ca="1" si="214">G452+acc_x*pas</f>
        <v>64.832490001297671</v>
      </c>
      <c r="H453" s="360">
        <f t="shared" ref="H453:H516" ca="1" si="215">H452+acc_z*pas</f>
        <v>262.87193830580094</v>
      </c>
      <c r="I453" s="357">
        <f t="shared" ref="I453:I516" ca="1" si="216">SQRT(vit_x^2+vit_z^2)</f>
        <v>270.74879077923356</v>
      </c>
      <c r="J453" s="359">
        <f t="shared" ref="J453:J516" ca="1" si="217">J452+0.5*(vit_x+G452)*pas*(K452&gt;=0)</f>
        <v>161.60428790913124</v>
      </c>
      <c r="K453" s="360">
        <f t="shared" ref="K453:K516" ca="1" si="218">K452+0.5*(vit_z+H452)*pas</f>
        <v>704.93861140777028</v>
      </c>
      <c r="L453" s="357">
        <f t="shared" ca="1" si="203"/>
        <v>723.22499384640514</v>
      </c>
      <c r="M453" s="359">
        <f t="shared" ref="M453:M516" ca="1" si="219">IF(AND(L452&gt;L_rampe,G453&gt;0),ATAN2(G453,H453),$M$4)</f>
        <v>1.3289905582169712</v>
      </c>
      <c r="N453" s="357">
        <f t="shared" ref="N453:N516" ca="1" si="220">DEGREES(Beta)</f>
        <v>76.145549998567773</v>
      </c>
      <c r="O453" s="343"/>
      <c r="P453" s="363">
        <f t="shared" ref="P453:P516" ca="1" si="221">MATCH(t-pas/2-T_ini,CdP_t)</f>
        <v>18</v>
      </c>
      <c r="Q453" s="357">
        <f t="shared" ref="Q453:Q516" ca="1" si="222">(INDEX(CdP,2,i_P+1)-INDEX(CdP,2,i_P+0))/(INDEX(CdP,1,i_P+1)-INDEX(CdP,1,i_P+0))*(t-pas/2-T_ini-INDEX(CdP,1,i_P+0))+INDEX(CdP,2,i_P+0)</f>
        <v>181.56363636369656</v>
      </c>
      <c r="R453" s="359">
        <f t="shared" ref="R453:R516" ca="1" si="223">Poussee/(g*ISP)</f>
        <v>9.0951082857272603E-2</v>
      </c>
      <c r="S453" s="360">
        <f t="shared" ref="S453:S516" ca="1" si="224">S452-Débit*pas</f>
        <v>9.6469510674910541</v>
      </c>
      <c r="T453" s="357">
        <f t="shared" ca="1" si="204"/>
        <v>94.636589972087251</v>
      </c>
      <c r="U453" s="364">
        <f t="shared" ca="1" si="205"/>
        <v>0</v>
      </c>
      <c r="V453" s="359">
        <f t="shared" ca="1" si="206"/>
        <v>1.1415851379536348</v>
      </c>
      <c r="W453" s="357">
        <f t="shared" ca="1" si="207"/>
        <v>189.41788162597797</v>
      </c>
      <c r="X453" s="343"/>
      <c r="Y453" s="367" t="str">
        <f t="shared" ref="Y453:Y516" ca="1" si="225">IF(AND(pos_z&lt;=0,K452&gt;0),"Impact balistique","") &amp; IF(AND(H454&lt;0,vit_z&gt;=0),"Apogée","") &amp; IF(AND(Poussee=0,Q452&gt;0),"Fin de propulsion","") &amp; IF(AND(L454&gt;L_rampe,pos_xz&lt;=L_rampe),"Sortie de rampe","")</f>
        <v/>
      </c>
      <c r="Z453" s="368" t="str">
        <f t="shared" ref="Z453:Z516" ca="1" si="226">IF(ABS(t-T_para)&lt;pas/2,"Para","")</f>
        <v/>
      </c>
      <c r="AA453" s="369" t="str">
        <f t="shared" ref="AA453:AA516" ca="1" si="227">IF(ABS(t-T_satellite)&lt;pas/2,"Satellite","")</f>
        <v/>
      </c>
      <c r="AB453" s="344"/>
      <c r="AC453" s="363" t="e">
        <f t="shared" ref="AC453:AC516" ca="1" si="228">IF(ABS(t-ROUND(t,0))&lt;0.001,t,NA())</f>
        <v>#N/A</v>
      </c>
      <c r="AD453" s="376" t="e">
        <f t="shared" ref="AD453:AD516" ca="1" si="229">IF(ABS(t-ROUND(t,0))&lt;0.001,pos_x,NA())</f>
        <v>#N/A</v>
      </c>
      <c r="AE453" s="377">
        <f t="shared" ca="1" si="208"/>
        <v>704.93861140777028</v>
      </c>
      <c r="AF453" s="344"/>
      <c r="AG453" s="359">
        <f t="shared" ref="AG453:AG516" ca="1" si="230">IF(AND(L452&lt;L_rampe,Poussee&lt;Poids*SIN(M452)),0,(-W452+Poussee)/m-Poids*SIN(M452)/m)</f>
        <v>-10.359173027614942</v>
      </c>
      <c r="AH453" s="357">
        <f t="shared" ref="AH453:AH516" ca="1" si="231">IF(AND(L452&lt;L_rampe,Poussee&lt;Poids*SIN(M452)), g*SIN(M452), (-W452+Poussee)/m)</f>
        <v>-0.83437013060114362</v>
      </c>
    </row>
    <row r="454" spans="1:34" x14ac:dyDescent="0.25">
      <c r="A454" s="402">
        <f t="shared" ca="1" si="209"/>
        <v>0.01</v>
      </c>
      <c r="B454" s="357">
        <f t="shared" ca="1" si="210"/>
        <v>4.4999999999999485</v>
      </c>
      <c r="C454" s="342"/>
      <c r="D454" s="359">
        <f t="shared" ca="1" si="211"/>
        <v>-0.48835127539006223</v>
      </c>
      <c r="E454" s="360">
        <f t="shared" ca="1" si="212"/>
        <v>-11.790085082854695</v>
      </c>
      <c r="F454" s="357">
        <f t="shared" ca="1" si="213"/>
        <v>11.80019462674781</v>
      </c>
      <c r="G454" s="359">
        <f t="shared" ca="1" si="214"/>
        <v>64.827606488543765</v>
      </c>
      <c r="H454" s="360">
        <f t="shared" ca="1" si="215"/>
        <v>262.75403745497238</v>
      </c>
      <c r="I454" s="357">
        <f t="shared" ca="1" si="216"/>
        <v>270.63315163135962</v>
      </c>
      <c r="J454" s="359">
        <f t="shared" ca="1" si="217"/>
        <v>162.25258839158045</v>
      </c>
      <c r="K454" s="360">
        <f t="shared" ca="1" si="218"/>
        <v>707.56674128657414</v>
      </c>
      <c r="L454" s="357">
        <f t="shared" ca="1" si="203"/>
        <v>725.93153658913968</v>
      </c>
      <c r="M454" s="359">
        <f t="shared" ca="1" si="219"/>
        <v>1.3289037593234672</v>
      </c>
      <c r="N454" s="357">
        <f t="shared" ca="1" si="220"/>
        <v>76.140576788303591</v>
      </c>
      <c r="O454" s="343"/>
      <c r="P454" s="363">
        <f t="shared" ca="1" si="221"/>
        <v>18</v>
      </c>
      <c r="Q454" s="357">
        <f t="shared" ca="1" si="222"/>
        <v>169.74545454551495</v>
      </c>
      <c r="R454" s="359">
        <f t="shared" ca="1" si="223"/>
        <v>8.5030974319599203E-2</v>
      </c>
      <c r="S454" s="360">
        <f t="shared" ca="1" si="224"/>
        <v>9.6461007577478579</v>
      </c>
      <c r="T454" s="357">
        <f t="shared" ca="1" si="204"/>
        <v>94.628248433506485</v>
      </c>
      <c r="U454" s="364">
        <f t="shared" ca="1" si="205"/>
        <v>0</v>
      </c>
      <c r="V454" s="359">
        <f t="shared" ca="1" si="206"/>
        <v>1.1412847794813192</v>
      </c>
      <c r="W454" s="357">
        <f t="shared" ca="1" si="207"/>
        <v>189.20631763857418</v>
      </c>
      <c r="X454" s="343"/>
      <c r="Y454" s="367" t="str">
        <f t="shared" ca="1" si="225"/>
        <v/>
      </c>
      <c r="Z454" s="368" t="str">
        <f t="shared" ca="1" si="226"/>
        <v/>
      </c>
      <c r="AA454" s="369" t="str">
        <f t="shared" ca="1" si="227"/>
        <v/>
      </c>
      <c r="AB454" s="344"/>
      <c r="AC454" s="363" t="e">
        <f t="shared" ca="1" si="228"/>
        <v>#N/A</v>
      </c>
      <c r="AD454" s="376" t="e">
        <f t="shared" ca="1" si="229"/>
        <v>#N/A</v>
      </c>
      <c r="AE454" s="377">
        <f t="shared" ca="1" si="208"/>
        <v>707.56674128657414</v>
      </c>
      <c r="AF454" s="344"/>
      <c r="AG454" s="359">
        <f t="shared" ca="1" si="230"/>
        <v>-11.564016735543307</v>
      </c>
      <c r="AH454" s="357">
        <f t="shared" ca="1" si="231"/>
        <v>-2.0394175402596648</v>
      </c>
    </row>
    <row r="455" spans="1:34" x14ac:dyDescent="0.25">
      <c r="A455" s="402">
        <f t="shared" ca="1" si="209"/>
        <v>0.01</v>
      </c>
      <c r="B455" s="357">
        <f t="shared" ca="1" si="210"/>
        <v>4.5099999999999483</v>
      </c>
      <c r="C455" s="342"/>
      <c r="D455" s="359">
        <f t="shared" ca="1" si="211"/>
        <v>-0.77681267135069976</v>
      </c>
      <c r="E455" s="360">
        <f t="shared" ca="1" si="212"/>
        <v>-12.958514603568606</v>
      </c>
      <c r="F455" s="357">
        <f t="shared" ca="1" si="213"/>
        <v>12.98177717638351</v>
      </c>
      <c r="G455" s="359">
        <f t="shared" ca="1" si="214"/>
        <v>64.819838361830264</v>
      </c>
      <c r="H455" s="360">
        <f t="shared" ca="1" si="215"/>
        <v>262.62445230893667</v>
      </c>
      <c r="I455" s="357">
        <f t="shared" ca="1" si="216"/>
        <v>270.50547941922127</v>
      </c>
      <c r="J455" s="359">
        <f t="shared" ca="1" si="217"/>
        <v>162.9008256158323</v>
      </c>
      <c r="K455" s="360">
        <f t="shared" ca="1" si="218"/>
        <v>710.19363373539363</v>
      </c>
      <c r="L455" s="357">
        <f t="shared" ca="1" si="203"/>
        <v>728.63686180744537</v>
      </c>
      <c r="M455" s="359">
        <f t="shared" ca="1" si="219"/>
        <v>1.3288168889010421</v>
      </c>
      <c r="N455" s="357">
        <f t="shared" ca="1" si="220"/>
        <v>76.135599479734111</v>
      </c>
      <c r="O455" s="343"/>
      <c r="P455" s="363">
        <f t="shared" ca="1" si="221"/>
        <v>18</v>
      </c>
      <c r="Q455" s="357">
        <f t="shared" ca="1" si="222"/>
        <v>157.92727272733333</v>
      </c>
      <c r="R455" s="359">
        <f t="shared" ca="1" si="223"/>
        <v>7.9110865781925804E-2</v>
      </c>
      <c r="S455" s="360">
        <f t="shared" ca="1" si="224"/>
        <v>9.6453096490900379</v>
      </c>
      <c r="T455" s="357">
        <f t="shared" ca="1" si="204"/>
        <v>94.620487657573278</v>
      </c>
      <c r="U455" s="364">
        <f t="shared" ca="1" si="205"/>
        <v>0</v>
      </c>
      <c r="V455" s="359">
        <f t="shared" ca="1" si="206"/>
        <v>1.1409846386072691</v>
      </c>
      <c r="W455" s="357">
        <f t="shared" ca="1" si="207"/>
        <v>188.97813065282588</v>
      </c>
      <c r="X455" s="343"/>
      <c r="Y455" s="367" t="str">
        <f t="shared" ca="1" si="225"/>
        <v/>
      </c>
      <c r="Z455" s="368" t="str">
        <f t="shared" ca="1" si="226"/>
        <v/>
      </c>
      <c r="AA455" s="369" t="str">
        <f t="shared" ca="1" si="227"/>
        <v/>
      </c>
      <c r="AB455" s="344"/>
      <c r="AC455" s="363" t="e">
        <f t="shared" ca="1" si="228"/>
        <v>#N/A</v>
      </c>
      <c r="AD455" s="376" t="e">
        <f t="shared" ca="1" si="229"/>
        <v>#N/A</v>
      </c>
      <c r="AE455" s="377">
        <f t="shared" ca="1" si="208"/>
        <v>710.19363373539363</v>
      </c>
      <c r="AF455" s="344"/>
      <c r="AG455" s="359">
        <f t="shared" ca="1" si="230"/>
        <v>-12.767323281912853</v>
      </c>
      <c r="AH455" s="357">
        <f t="shared" ca="1" si="231"/>
        <v>-3.2429280188212295</v>
      </c>
    </row>
    <row r="456" spans="1:34" x14ac:dyDescent="0.25">
      <c r="A456" s="402">
        <f t="shared" ca="1" si="209"/>
        <v>0.01</v>
      </c>
      <c r="B456" s="357">
        <f t="shared" ca="1" si="210"/>
        <v>4.5199999999999481</v>
      </c>
      <c r="C456" s="342"/>
      <c r="D456" s="359">
        <f t="shared" ca="1" si="211"/>
        <v>-1.0651049778849233</v>
      </c>
      <c r="E456" s="360">
        <f t="shared" ca="1" si="212"/>
        <v>-14.125385822271152</v>
      </c>
      <c r="F456" s="357">
        <f t="shared" ca="1" si="213"/>
        <v>14.165485280848451</v>
      </c>
      <c r="G456" s="359">
        <f t="shared" ca="1" si="214"/>
        <v>64.809187312051421</v>
      </c>
      <c r="H456" s="360">
        <f t="shared" ca="1" si="215"/>
        <v>262.48319845071393</v>
      </c>
      <c r="I456" s="357">
        <f t="shared" ca="1" si="216"/>
        <v>270.36578967939977</v>
      </c>
      <c r="J456" s="359">
        <f t="shared" ca="1" si="217"/>
        <v>163.54897074420171</v>
      </c>
      <c r="K456" s="360">
        <f t="shared" ca="1" si="218"/>
        <v>712.81917198919189</v>
      </c>
      <c r="L456" s="357">
        <f t="shared" ca="1" si="203"/>
        <v>731.34084925350976</v>
      </c>
      <c r="M456" s="359">
        <f t="shared" ca="1" si="219"/>
        <v>1.3287299429931037</v>
      </c>
      <c r="N456" s="357">
        <f t="shared" ca="1" si="220"/>
        <v>76.130617846163318</v>
      </c>
      <c r="O456" s="343"/>
      <c r="P456" s="363">
        <f t="shared" ca="1" si="221"/>
        <v>18</v>
      </c>
      <c r="Q456" s="357">
        <f t="shared" ca="1" si="222"/>
        <v>146.10909090915169</v>
      </c>
      <c r="R456" s="359">
        <f t="shared" ca="1" si="223"/>
        <v>7.3190757244252391E-2</v>
      </c>
      <c r="S456" s="360">
        <f t="shared" ca="1" si="224"/>
        <v>9.6445777415175957</v>
      </c>
      <c r="T456" s="357">
        <f t="shared" ca="1" si="204"/>
        <v>94.613307644287616</v>
      </c>
      <c r="U456" s="364">
        <f t="shared" ca="1" si="205"/>
        <v>0</v>
      </c>
      <c r="V456" s="359">
        <f t="shared" ca="1" si="206"/>
        <v>1.1406847285310511</v>
      </c>
      <c r="W456" s="357">
        <f t="shared" ca="1" si="207"/>
        <v>188.73338145518434</v>
      </c>
      <c r="X456" s="343"/>
      <c r="Y456" s="367" t="str">
        <f t="shared" ca="1" si="225"/>
        <v/>
      </c>
      <c r="Z456" s="368" t="str">
        <f t="shared" ca="1" si="226"/>
        <v/>
      </c>
      <c r="AA456" s="369" t="str">
        <f t="shared" ca="1" si="227"/>
        <v/>
      </c>
      <c r="AB456" s="344"/>
      <c r="AC456" s="363" t="e">
        <f t="shared" ca="1" si="228"/>
        <v>#N/A</v>
      </c>
      <c r="AD456" s="376" t="e">
        <f t="shared" ca="1" si="229"/>
        <v>#N/A</v>
      </c>
      <c r="AE456" s="377">
        <f t="shared" ca="1" si="208"/>
        <v>712.81917198919189</v>
      </c>
      <c r="AF456" s="344"/>
      <c r="AG456" s="359">
        <f t="shared" ca="1" si="230"/>
        <v>-13.969076174886379</v>
      </c>
      <c r="AH456" s="357">
        <f t="shared" ca="1" si="231"/>
        <v>-4.4448850838884582</v>
      </c>
    </row>
    <row r="457" spans="1:34" x14ac:dyDescent="0.25">
      <c r="A457" s="402">
        <f t="shared" ca="1" si="209"/>
        <v>0.01</v>
      </c>
      <c r="B457" s="357">
        <f t="shared" ca="1" si="210"/>
        <v>4.5299999999999478</v>
      </c>
      <c r="C457" s="342"/>
      <c r="D457" s="359">
        <f t="shared" ca="1" si="211"/>
        <v>-1.3046856222370236</v>
      </c>
      <c r="E457" s="360">
        <f t="shared" ca="1" si="212"/>
        <v>-15.094097352563978</v>
      </c>
      <c r="F457" s="357">
        <f t="shared" ca="1" si="213"/>
        <v>15.150378855380181</v>
      </c>
      <c r="G457" s="359">
        <f t="shared" ca="1" si="214"/>
        <v>64.796140455829047</v>
      </c>
      <c r="H457" s="360">
        <f t="shared" ca="1" si="215"/>
        <v>262.33225747718831</v>
      </c>
      <c r="I457" s="357">
        <f t="shared" ca="1" si="216"/>
        <v>270.21612300351239</v>
      </c>
      <c r="J457" s="359">
        <f t="shared" ca="1" si="217"/>
        <v>164.19699738304112</v>
      </c>
      <c r="K457" s="360">
        <f t="shared" ca="1" si="218"/>
        <v>715.44324926883144</v>
      </c>
      <c r="L457" s="357">
        <f t="shared" ca="1" si="203"/>
        <v>734.04338895868386</v>
      </c>
      <c r="M457" s="359">
        <f t="shared" ca="1" si="219"/>
        <v>1.328642918282648</v>
      </c>
      <c r="N457" s="357">
        <f t="shared" ca="1" si="220"/>
        <v>76.125631697540854</v>
      </c>
      <c r="O457" s="343"/>
      <c r="P457" s="363">
        <f t="shared" ca="1" si="221"/>
        <v>19</v>
      </c>
      <c r="Q457" s="357">
        <f t="shared" ca="1" si="222"/>
        <v>136.24375000004085</v>
      </c>
      <c r="R457" s="359">
        <f t="shared" ca="1" si="223"/>
        <v>6.82488897182989E-2</v>
      </c>
      <c r="S457" s="360">
        <f t="shared" ca="1" si="224"/>
        <v>9.6438952526204123</v>
      </c>
      <c r="T457" s="357">
        <f t="shared" ca="1" si="204"/>
        <v>94.606612428206248</v>
      </c>
      <c r="U457" s="364">
        <f t="shared" ca="1" si="205"/>
        <v>0</v>
      </c>
      <c r="V457" s="359">
        <f t="shared" ca="1" si="206"/>
        <v>1.1403850612986277</v>
      </c>
      <c r="W457" s="357">
        <f t="shared" ca="1" si="207"/>
        <v>188.47495768788991</v>
      </c>
      <c r="X457" s="343"/>
      <c r="Y457" s="367" t="str">
        <f t="shared" ca="1" si="225"/>
        <v/>
      </c>
      <c r="Z457" s="368" t="str">
        <f t="shared" ca="1" si="226"/>
        <v/>
      </c>
      <c r="AA457" s="369" t="str">
        <f t="shared" ca="1" si="227"/>
        <v/>
      </c>
      <c r="AB457" s="344"/>
      <c r="AC457" s="363" t="e">
        <f t="shared" ca="1" si="228"/>
        <v>#N/A</v>
      </c>
      <c r="AD457" s="376" t="e">
        <f t="shared" ca="1" si="229"/>
        <v>#N/A</v>
      </c>
      <c r="AE457" s="377">
        <f t="shared" ca="1" si="208"/>
        <v>715.44324926883144</v>
      </c>
      <c r="AF457" s="344"/>
      <c r="AG457" s="359">
        <f t="shared" ca="1" si="230"/>
        <v>-14.966769910130626</v>
      </c>
      <c r="AH457" s="357">
        <f t="shared" ca="1" si="231"/>
        <v>-5.4427832406082137</v>
      </c>
    </row>
    <row r="458" spans="1:34" x14ac:dyDescent="0.25">
      <c r="A458" s="402">
        <f t="shared" ca="1" si="209"/>
        <v>0.01</v>
      </c>
      <c r="B458" s="357">
        <f t="shared" ca="1" si="210"/>
        <v>4.5399999999999476</v>
      </c>
      <c r="C458" s="342"/>
      <c r="D458" s="359">
        <f t="shared" ca="1" si="211"/>
        <v>-1.4955624178647797</v>
      </c>
      <c r="E458" s="360">
        <f t="shared" ca="1" si="212"/>
        <v>-15.864901766008121</v>
      </c>
      <c r="F458" s="357">
        <f t="shared" ca="1" si="213"/>
        <v>15.935238152936941</v>
      </c>
      <c r="G458" s="359">
        <f t="shared" ca="1" si="214"/>
        <v>64.781184831650393</v>
      </c>
      <c r="H458" s="360">
        <f t="shared" ca="1" si="215"/>
        <v>262.17360845952823</v>
      </c>
      <c r="I458" s="357">
        <f t="shared" ca="1" si="216"/>
        <v>270.05851751219114</v>
      </c>
      <c r="J458" s="359">
        <f t="shared" ca="1" si="217"/>
        <v>164.84488400947851</v>
      </c>
      <c r="K458" s="360">
        <f t="shared" ca="1" si="218"/>
        <v>718.06577859851507</v>
      </c>
      <c r="L458" s="357">
        <f t="shared" ca="1" si="203"/>
        <v>736.74439134505121</v>
      </c>
      <c r="M458" s="359">
        <f t="shared" ca="1" si="219"/>
        <v>1.3285558120946475</v>
      </c>
      <c r="N458" s="357">
        <f t="shared" ca="1" si="220"/>
        <v>76.120640880598955</v>
      </c>
      <c r="O458" s="343"/>
      <c r="P458" s="363">
        <f t="shared" ca="1" si="221"/>
        <v>19</v>
      </c>
      <c r="Q458" s="357">
        <f t="shared" ca="1" si="222"/>
        <v>128.33125000004102</v>
      </c>
      <c r="R458" s="359">
        <f t="shared" ca="1" si="223"/>
        <v>6.4285263204085466E-2</v>
      </c>
      <c r="S458" s="360">
        <f t="shared" ca="1" si="224"/>
        <v>9.6432523999883717</v>
      </c>
      <c r="T458" s="357">
        <f t="shared" ca="1" si="204"/>
        <v>94.600306043885936</v>
      </c>
      <c r="U458" s="364">
        <f t="shared" ca="1" si="205"/>
        <v>0</v>
      </c>
      <c r="V458" s="359">
        <f t="shared" ca="1" si="206"/>
        <v>1.1400856466831157</v>
      </c>
      <c r="W458" s="357">
        <f t="shared" ca="1" si="207"/>
        <v>188.20573559492723</v>
      </c>
      <c r="X458" s="343"/>
      <c r="Y458" s="367" t="str">
        <f t="shared" ca="1" si="225"/>
        <v/>
      </c>
      <c r="Z458" s="368" t="str">
        <f t="shared" ca="1" si="226"/>
        <v/>
      </c>
      <c r="AA458" s="369" t="str">
        <f t="shared" ca="1" si="227"/>
        <v/>
      </c>
      <c r="AB458" s="344"/>
      <c r="AC458" s="363" t="e">
        <f t="shared" ca="1" si="228"/>
        <v>#N/A</v>
      </c>
      <c r="AD458" s="376" t="e">
        <f t="shared" ca="1" si="229"/>
        <v>#N/A</v>
      </c>
      <c r="AE458" s="377">
        <f t="shared" ca="1" si="208"/>
        <v>718.06577859851507</v>
      </c>
      <c r="AF458" s="344"/>
      <c r="AG458" s="359">
        <f t="shared" ca="1" si="230"/>
        <v>-15.76065158541191</v>
      </c>
      <c r="AH458" s="357">
        <f t="shared" ca="1" si="231"/>
        <v>-6.2368695947356318</v>
      </c>
    </row>
    <row r="459" spans="1:34" x14ac:dyDescent="0.25">
      <c r="A459" s="402">
        <f t="shared" ca="1" si="209"/>
        <v>0.01</v>
      </c>
      <c r="B459" s="357">
        <f t="shared" ca="1" si="210"/>
        <v>4.5499999999999474</v>
      </c>
      <c r="C459" s="342"/>
      <c r="D459" s="359">
        <f t="shared" ca="1" si="211"/>
        <v>-1.6863237738265349</v>
      </c>
      <c r="E459" s="360">
        <f t="shared" ca="1" si="212"/>
        <v>-16.634660431329269</v>
      </c>
      <c r="F459" s="357">
        <f t="shared" ca="1" si="213"/>
        <v>16.719916732322691</v>
      </c>
      <c r="G459" s="359">
        <f t="shared" ca="1" si="214"/>
        <v>64.764321593912129</v>
      </c>
      <c r="H459" s="360">
        <f t="shared" ca="1" si="215"/>
        <v>262.00726185521495</v>
      </c>
      <c r="I459" s="357">
        <f t="shared" ca="1" si="216"/>
        <v>269.89298363682383</v>
      </c>
      <c r="J459" s="359">
        <f t="shared" ca="1" si="217"/>
        <v>165.49261154160632</v>
      </c>
      <c r="K459" s="360">
        <f t="shared" ca="1" si="218"/>
        <v>720.68668295008877</v>
      </c>
      <c r="L459" s="357">
        <f t="shared" ca="1" si="203"/>
        <v>739.44377707602814</v>
      </c>
      <c r="M459" s="359">
        <f t="shared" ca="1" si="219"/>
        <v>1.3284686217446249</v>
      </c>
      <c r="N459" s="357">
        <f t="shared" ca="1" si="220"/>
        <v>76.115645241528384</v>
      </c>
      <c r="O459" s="343"/>
      <c r="P459" s="363">
        <f t="shared" ca="1" si="221"/>
        <v>19</v>
      </c>
      <c r="Q459" s="357">
        <f t="shared" ca="1" si="222"/>
        <v>120.4187500000412</v>
      </c>
      <c r="R459" s="359">
        <f t="shared" ca="1" si="223"/>
        <v>6.0321636689872032E-2</v>
      </c>
      <c r="S459" s="360">
        <f t="shared" ca="1" si="224"/>
        <v>9.6426491836214723</v>
      </c>
      <c r="T459" s="357">
        <f t="shared" ca="1" si="204"/>
        <v>94.594388491326654</v>
      </c>
      <c r="U459" s="364">
        <f t="shared" ca="1" si="205"/>
        <v>0</v>
      </c>
      <c r="V459" s="359">
        <f t="shared" ca="1" si="206"/>
        <v>1.1397864933124728</v>
      </c>
      <c r="W459" s="357">
        <f t="shared" ca="1" si="207"/>
        <v>187.92575897438891</v>
      </c>
      <c r="X459" s="343"/>
      <c r="Y459" s="367" t="str">
        <f t="shared" ca="1" si="225"/>
        <v/>
      </c>
      <c r="Z459" s="368" t="str">
        <f t="shared" ca="1" si="226"/>
        <v/>
      </c>
      <c r="AA459" s="369" t="str">
        <f t="shared" ca="1" si="227"/>
        <v/>
      </c>
      <c r="AB459" s="344"/>
      <c r="AC459" s="363" t="e">
        <f t="shared" ca="1" si="228"/>
        <v>#N/A</v>
      </c>
      <c r="AD459" s="376" t="e">
        <f t="shared" ca="1" si="229"/>
        <v>#N/A</v>
      </c>
      <c r="AE459" s="377">
        <f t="shared" ca="1" si="208"/>
        <v>720.68668295008877</v>
      </c>
      <c r="AF459" s="344"/>
      <c r="AG459" s="359">
        <f t="shared" ca="1" si="230"/>
        <v>-16.553490125179938</v>
      </c>
      <c r="AH459" s="357">
        <f t="shared" ca="1" si="231"/>
        <v>-7.0299130772097005</v>
      </c>
    </row>
    <row r="460" spans="1:34" x14ac:dyDescent="0.25">
      <c r="A460" s="402">
        <f t="shared" ca="1" si="209"/>
        <v>0.01</v>
      </c>
      <c r="B460" s="357">
        <f t="shared" ca="1" si="210"/>
        <v>4.5599999999999472</v>
      </c>
      <c r="C460" s="342"/>
      <c r="D460" s="359">
        <f t="shared" ca="1" si="211"/>
        <v>-1.8769683259524963</v>
      </c>
      <c r="E460" s="360">
        <f t="shared" ca="1" si="212"/>
        <v>-17.403368070082703</v>
      </c>
      <c r="F460" s="357">
        <f t="shared" ca="1" si="213"/>
        <v>17.504291767432438</v>
      </c>
      <c r="G460" s="359">
        <f t="shared" ca="1" si="214"/>
        <v>64.745551910652608</v>
      </c>
      <c r="H460" s="360">
        <f t="shared" ca="1" si="215"/>
        <v>261.83322817451415</v>
      </c>
      <c r="I460" s="357">
        <f t="shared" ca="1" si="216"/>
        <v>269.71953186319712</v>
      </c>
      <c r="J460" s="359">
        <f t="shared" ca="1" si="217"/>
        <v>166.14016090912915</v>
      </c>
      <c r="K460" s="360">
        <f t="shared" ca="1" si="218"/>
        <v>723.30588540023746</v>
      </c>
      <c r="L460" s="357">
        <f t="shared" ca="1" si="203"/>
        <v>742.14146691957103</v>
      </c>
      <c r="M460" s="359">
        <f t="shared" ca="1" si="219"/>
        <v>1.3283813445381873</v>
      </c>
      <c r="N460" s="357">
        <f t="shared" ca="1" si="220"/>
        <v>76.110644625951821</v>
      </c>
      <c r="O460" s="343"/>
      <c r="P460" s="363">
        <f t="shared" ca="1" si="221"/>
        <v>19</v>
      </c>
      <c r="Q460" s="357">
        <f t="shared" ca="1" si="222"/>
        <v>112.50625000004138</v>
      </c>
      <c r="R460" s="359">
        <f t="shared" ca="1" si="223"/>
        <v>5.6358010175658606E-2</v>
      </c>
      <c r="S460" s="360">
        <f t="shared" ca="1" si="224"/>
        <v>9.6420856035197158</v>
      </c>
      <c r="T460" s="357">
        <f t="shared" ca="1" si="204"/>
        <v>94.588859770528416</v>
      </c>
      <c r="U460" s="364">
        <f t="shared" ca="1" si="205"/>
        <v>0</v>
      </c>
      <c r="V460" s="359">
        <f t="shared" ca="1" si="206"/>
        <v>1.139487609794003</v>
      </c>
      <c r="W460" s="357">
        <f t="shared" ca="1" si="207"/>
        <v>187.63507257722296</v>
      </c>
      <c r="X460" s="343"/>
      <c r="Y460" s="367" t="str">
        <f t="shared" ca="1" si="225"/>
        <v/>
      </c>
      <c r="Z460" s="368" t="str">
        <f t="shared" ca="1" si="226"/>
        <v/>
      </c>
      <c r="AA460" s="369" t="str">
        <f t="shared" ca="1" si="227"/>
        <v/>
      </c>
      <c r="AB460" s="344"/>
      <c r="AC460" s="363" t="e">
        <f t="shared" ca="1" si="228"/>
        <v>#N/A</v>
      </c>
      <c r="AD460" s="376" t="e">
        <f t="shared" ca="1" si="229"/>
        <v>#N/A</v>
      </c>
      <c r="AE460" s="377">
        <f t="shared" ca="1" si="208"/>
        <v>723.30588540023746</v>
      </c>
      <c r="AF460" s="344"/>
      <c r="AG460" s="359">
        <f t="shared" ca="1" si="230"/>
        <v>-17.345280089547689</v>
      </c>
      <c r="AH460" s="357">
        <f t="shared" ca="1" si="231"/>
        <v>-7.8219082546639749</v>
      </c>
    </row>
    <row r="461" spans="1:34" x14ac:dyDescent="0.25">
      <c r="A461" s="402">
        <f t="shared" ca="1" si="209"/>
        <v>0.01</v>
      </c>
      <c r="B461" s="357">
        <f t="shared" ca="1" si="210"/>
        <v>4.569999999999947</v>
      </c>
      <c r="C461" s="342"/>
      <c r="D461" s="359">
        <f t="shared" ca="1" si="211"/>
        <v>-2.0674947456704249</v>
      </c>
      <c r="E461" s="360">
        <f t="shared" ca="1" si="212"/>
        <v>-18.171019522078812</v>
      </c>
      <c r="F461" s="357">
        <f t="shared" ca="1" si="213"/>
        <v>18.288260852118885</v>
      </c>
      <c r="G461" s="359">
        <f t="shared" ca="1" si="214"/>
        <v>64.724876963195911</v>
      </c>
      <c r="H461" s="360">
        <f t="shared" ca="1" si="215"/>
        <v>261.65151797929337</v>
      </c>
      <c r="I461" s="357">
        <f t="shared" ca="1" si="216"/>
        <v>269.53817273026345</v>
      </c>
      <c r="J461" s="359">
        <f t="shared" ca="1" si="217"/>
        <v>166.7875130534984</v>
      </c>
      <c r="K461" s="360">
        <f t="shared" ca="1" si="218"/>
        <v>725.92330913100648</v>
      </c>
      <c r="L461" s="357">
        <f t="shared" ca="1" si="203"/>
        <v>744.83738174871542</v>
      </c>
      <c r="M461" s="359">
        <f t="shared" ca="1" si="219"/>
        <v>1.3282939777705514</v>
      </c>
      <c r="N461" s="357">
        <f t="shared" ca="1" si="220"/>
        <v>76.105638878896585</v>
      </c>
      <c r="O461" s="343"/>
      <c r="P461" s="363">
        <f t="shared" ca="1" si="221"/>
        <v>19</v>
      </c>
      <c r="Q461" s="357">
        <f t="shared" ca="1" si="222"/>
        <v>104.59375000004155</v>
      </c>
      <c r="R461" s="359">
        <f t="shared" ca="1" si="223"/>
        <v>5.2394383661445172E-2</v>
      </c>
      <c r="S461" s="360">
        <f t="shared" ca="1" si="224"/>
        <v>9.6415616596831022</v>
      </c>
      <c r="T461" s="357">
        <f t="shared" ca="1" si="204"/>
        <v>94.583719881491234</v>
      </c>
      <c r="U461" s="364">
        <f t="shared" ca="1" si="205"/>
        <v>0</v>
      </c>
      <c r="V461" s="359">
        <f t="shared" ca="1" si="206"/>
        <v>1.1391890047143318</v>
      </c>
      <c r="W461" s="357">
        <f t="shared" ca="1" si="207"/>
        <v>187.33372209894694</v>
      </c>
      <c r="X461" s="343"/>
      <c r="Y461" s="367" t="str">
        <f t="shared" ca="1" si="225"/>
        <v/>
      </c>
      <c r="Z461" s="368" t="str">
        <f t="shared" ca="1" si="226"/>
        <v/>
      </c>
      <c r="AA461" s="369" t="str">
        <f t="shared" ca="1" si="227"/>
        <v/>
      </c>
      <c r="AB461" s="344"/>
      <c r="AC461" s="363" t="e">
        <f t="shared" ca="1" si="228"/>
        <v>#N/A</v>
      </c>
      <c r="AD461" s="376" t="e">
        <f t="shared" ca="1" si="229"/>
        <v>#N/A</v>
      </c>
      <c r="AE461" s="377">
        <f t="shared" ca="1" si="208"/>
        <v>725.92330913100648</v>
      </c>
      <c r="AF461" s="344"/>
      <c r="AG461" s="359">
        <f t="shared" ca="1" si="230"/>
        <v>-18.136016161965898</v>
      </c>
      <c r="AH461" s="357">
        <f t="shared" ca="1" si="231"/>
        <v>-8.612849817102223</v>
      </c>
    </row>
    <row r="462" spans="1:34" x14ac:dyDescent="0.25">
      <c r="A462" s="402">
        <f t="shared" ca="1" si="209"/>
        <v>0.01</v>
      </c>
      <c r="B462" s="357">
        <f t="shared" ca="1" si="210"/>
        <v>4.5799999999999468</v>
      </c>
      <c r="C462" s="342"/>
      <c r="D462" s="359">
        <f t="shared" ca="1" si="211"/>
        <v>-2.2579017399223265</v>
      </c>
      <c r="E462" s="360">
        <f t="shared" ca="1" si="212"/>
        <v>-18.937609744777081</v>
      </c>
      <c r="F462" s="357">
        <f t="shared" ca="1" si="213"/>
        <v>19.07173781050432</v>
      </c>
      <c r="G462" s="359">
        <f t="shared" ca="1" si="214"/>
        <v>64.702297945796687</v>
      </c>
      <c r="H462" s="360">
        <f t="shared" ca="1" si="215"/>
        <v>261.46214188184558</v>
      </c>
      <c r="I462" s="357">
        <f t="shared" ca="1" si="216"/>
        <v>269.34891682891356</v>
      </c>
      <c r="J462" s="359">
        <f t="shared" ca="1" si="217"/>
        <v>167.43464892804337</v>
      </c>
      <c r="K462" s="360">
        <f t="shared" ca="1" si="218"/>
        <v>728.53887743031214</v>
      </c>
      <c r="L462" s="357">
        <f t="shared" ca="1" si="203"/>
        <v>747.53144254210235</v>
      </c>
      <c r="M462" s="359">
        <f t="shared" ca="1" si="219"/>
        <v>1.3282065187260668</v>
      </c>
      <c r="N462" s="357">
        <f t="shared" ca="1" si="220"/>
        <v>76.100627844767374</v>
      </c>
      <c r="O462" s="343"/>
      <c r="P462" s="363">
        <f t="shared" ca="1" si="221"/>
        <v>19</v>
      </c>
      <c r="Q462" s="357">
        <f t="shared" ca="1" si="222"/>
        <v>96.681250000041729</v>
      </c>
      <c r="R462" s="359">
        <f t="shared" ca="1" si="223"/>
        <v>4.8430757147231746E-2</v>
      </c>
      <c r="S462" s="360">
        <f t="shared" ca="1" si="224"/>
        <v>9.6410773521116298</v>
      </c>
      <c r="T462" s="357">
        <f t="shared" ca="1" si="204"/>
        <v>94.578968824215096</v>
      </c>
      <c r="U462" s="364">
        <f t="shared" ca="1" si="205"/>
        <v>0</v>
      </c>
      <c r="V462" s="359">
        <f t="shared" ca="1" si="206"/>
        <v>1.1388906866393884</v>
      </c>
      <c r="W462" s="357">
        <f t="shared" ca="1" si="207"/>
        <v>187.02175417137198</v>
      </c>
      <c r="X462" s="343"/>
      <c r="Y462" s="367" t="str">
        <f t="shared" ca="1" si="225"/>
        <v/>
      </c>
      <c r="Z462" s="368" t="str">
        <f t="shared" ca="1" si="226"/>
        <v/>
      </c>
      <c r="AA462" s="369" t="str">
        <f t="shared" ca="1" si="227"/>
        <v/>
      </c>
      <c r="AB462" s="344"/>
      <c r="AC462" s="363" t="e">
        <f t="shared" ca="1" si="228"/>
        <v>#N/A</v>
      </c>
      <c r="AD462" s="376" t="e">
        <f t="shared" ca="1" si="229"/>
        <v>#N/A</v>
      </c>
      <c r="AE462" s="377">
        <f t="shared" ca="1" si="208"/>
        <v>728.53887743031214</v>
      </c>
      <c r="AF462" s="344"/>
      <c r="AG462" s="359">
        <f t="shared" ca="1" si="230"/>
        <v>-18.925693148616809</v>
      </c>
      <c r="AH462" s="357">
        <f t="shared" ca="1" si="231"/>
        <v>-9.4027325772933583</v>
      </c>
    </row>
    <row r="463" spans="1:34" x14ac:dyDescent="0.25">
      <c r="A463" s="402">
        <f t="shared" ca="1" si="209"/>
        <v>0.01</v>
      </c>
      <c r="B463" s="357">
        <f t="shared" ca="1" si="210"/>
        <v>4.5899999999999466</v>
      </c>
      <c r="C463" s="342"/>
      <c r="D463" s="359">
        <f t="shared" ca="1" si="211"/>
        <v>-2.4481880510811243</v>
      </c>
      <c r="E463" s="360">
        <f t="shared" ca="1" si="212"/>
        <v>-19.703133812673119</v>
      </c>
      <c r="F463" s="357">
        <f t="shared" ca="1" si="213"/>
        <v>19.854649500143768</v>
      </c>
      <c r="G463" s="359">
        <f t="shared" ca="1" si="214"/>
        <v>64.677816065285882</v>
      </c>
      <c r="H463" s="360">
        <f t="shared" ca="1" si="215"/>
        <v>261.26511054371883</v>
      </c>
      <c r="I463" s="357">
        <f t="shared" ca="1" si="216"/>
        <v>269.15177480075545</v>
      </c>
      <c r="J463" s="359">
        <f t="shared" ca="1" si="217"/>
        <v>168.08154949809878</v>
      </c>
      <c r="K463" s="360">
        <f t="shared" ca="1" si="218"/>
        <v>731.15251369243992</v>
      </c>
      <c r="L463" s="357">
        <f t="shared" ca="1" si="203"/>
        <v>750.22357038449229</v>
      </c>
      <c r="M463" s="359">
        <f t="shared" ca="1" si="219"/>
        <v>1.3281189646777365</v>
      </c>
      <c r="N463" s="357">
        <f t="shared" ca="1" si="220"/>
        <v>76.095611367318753</v>
      </c>
      <c r="O463" s="343"/>
      <c r="P463" s="363">
        <f t="shared" ca="1" si="221"/>
        <v>19</v>
      </c>
      <c r="Q463" s="357">
        <f t="shared" ca="1" si="222"/>
        <v>88.768750000041905</v>
      </c>
      <c r="R463" s="359">
        <f t="shared" ca="1" si="223"/>
        <v>4.4467130633018312E-2</v>
      </c>
      <c r="S463" s="360">
        <f t="shared" ca="1" si="224"/>
        <v>9.6406326808053002</v>
      </c>
      <c r="T463" s="357">
        <f t="shared" ca="1" si="204"/>
        <v>94.574606598700001</v>
      </c>
      <c r="U463" s="364">
        <f t="shared" ca="1" si="205"/>
        <v>0</v>
      </c>
      <c r="V463" s="359">
        <f t="shared" ca="1" si="206"/>
        <v>1.138592664114388</v>
      </c>
      <c r="W463" s="357">
        <f t="shared" ca="1" si="207"/>
        <v>186.69921635433883</v>
      </c>
      <c r="X463" s="343"/>
      <c r="Y463" s="367" t="str">
        <f t="shared" ca="1" si="225"/>
        <v/>
      </c>
      <c r="Z463" s="368" t="str">
        <f t="shared" ca="1" si="226"/>
        <v/>
      </c>
      <c r="AA463" s="369" t="str">
        <f t="shared" ca="1" si="227"/>
        <v/>
      </c>
      <c r="AB463" s="344"/>
      <c r="AC463" s="363" t="e">
        <f t="shared" ca="1" si="228"/>
        <v>#N/A</v>
      </c>
      <c r="AD463" s="376" t="e">
        <f t="shared" ca="1" si="229"/>
        <v>#N/A</v>
      </c>
      <c r="AE463" s="377">
        <f t="shared" ca="1" si="208"/>
        <v>731.15251369243992</v>
      </c>
      <c r="AF463" s="344"/>
      <c r="AG463" s="359">
        <f t="shared" ca="1" si="230"/>
        <v>-19.71430597780116</v>
      </c>
      <c r="AH463" s="357">
        <f t="shared" ca="1" si="231"/>
        <v>-10.191551470159613</v>
      </c>
    </row>
    <row r="464" spans="1:34" x14ac:dyDescent="0.25">
      <c r="A464" s="402">
        <f t="shared" ca="1" si="209"/>
        <v>0.01</v>
      </c>
      <c r="B464" s="357">
        <f t="shared" ca="1" si="210"/>
        <v>4.5999999999999464</v>
      </c>
      <c r="C464" s="342"/>
      <c r="D464" s="359">
        <f t="shared" ca="1" si="211"/>
        <v>-2.6383524568674175</v>
      </c>
      <c r="E464" s="360">
        <f t="shared" ca="1" si="212"/>
        <v>-20.46758691667894</v>
      </c>
      <c r="F464" s="357">
        <f t="shared" ca="1" si="213"/>
        <v>20.6369333448181</v>
      </c>
      <c r="G464" s="359">
        <f t="shared" ca="1" si="214"/>
        <v>64.651432540717209</v>
      </c>
      <c r="H464" s="360">
        <f t="shared" ca="1" si="215"/>
        <v>261.06043467455203</v>
      </c>
      <c r="I464" s="357">
        <f t="shared" ca="1" si="216"/>
        <v>268.94675733689922</v>
      </c>
      <c r="J464" s="359">
        <f t="shared" ca="1" si="217"/>
        <v>168.72819574112879</v>
      </c>
      <c r="K464" s="360">
        <f t="shared" ca="1" si="218"/>
        <v>733.76414141853127</v>
      </c>
      <c r="L464" s="357">
        <f t="shared" ca="1" si="203"/>
        <v>752.91368646726767</v>
      </c>
      <c r="M464" s="359">
        <f t="shared" ca="1" si="219"/>
        <v>1.3280313128867303</v>
      </c>
      <c r="N464" s="357">
        <f t="shared" ca="1" si="220"/>
        <v>76.090589289627346</v>
      </c>
      <c r="O464" s="343"/>
      <c r="P464" s="363">
        <f t="shared" ca="1" si="221"/>
        <v>19</v>
      </c>
      <c r="Q464" s="357">
        <f t="shared" ca="1" si="222"/>
        <v>80.856250000042081</v>
      </c>
      <c r="R464" s="359">
        <f t="shared" ca="1" si="223"/>
        <v>4.0503504118804885E-2</v>
      </c>
      <c r="S464" s="360">
        <f t="shared" ca="1" si="224"/>
        <v>9.6402276457641118</v>
      </c>
      <c r="T464" s="357">
        <f t="shared" ca="1" si="204"/>
        <v>94.570633204945949</v>
      </c>
      <c r="U464" s="364">
        <f t="shared" ca="1" si="205"/>
        <v>0</v>
      </c>
      <c r="V464" s="359">
        <f t="shared" ca="1" si="206"/>
        <v>1.1382949456638121</v>
      </c>
      <c r="W464" s="357">
        <f t="shared" ca="1" si="207"/>
        <v>186.36615712746581</v>
      </c>
      <c r="X464" s="343"/>
      <c r="Y464" s="367" t="str">
        <f t="shared" ca="1" si="225"/>
        <v/>
      </c>
      <c r="Z464" s="368" t="str">
        <f t="shared" ca="1" si="226"/>
        <v/>
      </c>
      <c r="AA464" s="369" t="str">
        <f t="shared" ca="1" si="227"/>
        <v/>
      </c>
      <c r="AB464" s="344"/>
      <c r="AC464" s="363" t="e">
        <f t="shared" ca="1" si="228"/>
        <v>#N/A</v>
      </c>
      <c r="AD464" s="376" t="e">
        <f t="shared" ca="1" si="229"/>
        <v>#N/A</v>
      </c>
      <c r="AE464" s="377">
        <f t="shared" ca="1" si="208"/>
        <v>733.76414141853127</v>
      </c>
      <c r="AF464" s="344"/>
      <c r="AG464" s="359">
        <f t="shared" ca="1" si="230"/>
        <v>-20.501849699318701</v>
      </c>
      <c r="AH464" s="357">
        <f t="shared" ca="1" si="231"/>
        <v>-10.979301552158246</v>
      </c>
    </row>
    <row r="465" spans="1:34" x14ac:dyDescent="0.25">
      <c r="A465" s="402">
        <f t="shared" ca="1" si="209"/>
        <v>0.01</v>
      </c>
      <c r="B465" s="357">
        <f t="shared" ca="1" si="210"/>
        <v>4.6099999999999461</v>
      </c>
      <c r="C465" s="342"/>
      <c r="D465" s="359">
        <f t="shared" ca="1" si="211"/>
        <v>-2.7846010273385717</v>
      </c>
      <c r="E465" s="360">
        <f t="shared" ca="1" si="212"/>
        <v>-21.054130656105443</v>
      </c>
      <c r="F465" s="357">
        <f t="shared" ca="1" si="213"/>
        <v>21.237476793767524</v>
      </c>
      <c r="G465" s="359">
        <f t="shared" ca="1" si="214"/>
        <v>64.623586530443831</v>
      </c>
      <c r="H465" s="360">
        <f t="shared" ca="1" si="215"/>
        <v>260.849893367991</v>
      </c>
      <c r="I465" s="357">
        <f t="shared" ca="1" si="216"/>
        <v>268.73569693315778</v>
      </c>
      <c r="J465" s="359">
        <f t="shared" ca="1" si="217"/>
        <v>169.37457083648459</v>
      </c>
      <c r="K465" s="360">
        <f t="shared" ca="1" si="218"/>
        <v>736.37369305874404</v>
      </c>
      <c r="L465" s="357">
        <f t="shared" ca="1" si="203"/>
        <v>755.60172119643607</v>
      </c>
      <c r="M465" s="359">
        <f t="shared" ca="1" si="219"/>
        <v>1.3279435611967669</v>
      </c>
      <c r="N465" s="357">
        <f t="shared" ca="1" si="220"/>
        <v>76.085561488147306</v>
      </c>
      <c r="O465" s="343"/>
      <c r="P465" s="363">
        <f t="shared" ca="1" si="221"/>
        <v>20</v>
      </c>
      <c r="Q465" s="357">
        <f t="shared" ca="1" si="222"/>
        <v>74.700000000023536</v>
      </c>
      <c r="R465" s="359">
        <f t="shared" ca="1" si="223"/>
        <v>3.7419639887752688E-2</v>
      </c>
      <c r="S465" s="360">
        <f t="shared" ca="1" si="224"/>
        <v>9.6398534493652335</v>
      </c>
      <c r="T465" s="357">
        <f t="shared" ca="1" si="204"/>
        <v>94.566962338272944</v>
      </c>
      <c r="U465" s="364">
        <f t="shared" ca="1" si="205"/>
        <v>0</v>
      </c>
      <c r="V465" s="359">
        <f t="shared" ca="1" si="206"/>
        <v>1.1379975387838508</v>
      </c>
      <c r="W465" s="357">
        <f t="shared" ca="1" si="207"/>
        <v>186.02514783363154</v>
      </c>
      <c r="X465" s="343"/>
      <c r="Y465" s="367" t="str">
        <f t="shared" ca="1" si="225"/>
        <v/>
      </c>
      <c r="Z465" s="368" t="str">
        <f t="shared" ca="1" si="226"/>
        <v/>
      </c>
      <c r="AA465" s="369" t="str">
        <f t="shared" ca="1" si="227"/>
        <v/>
      </c>
      <c r="AB465" s="344"/>
      <c r="AC465" s="363" t="e">
        <f t="shared" ca="1" si="228"/>
        <v>#N/A</v>
      </c>
      <c r="AD465" s="376" t="e">
        <f t="shared" ca="1" si="229"/>
        <v>#N/A</v>
      </c>
      <c r="AE465" s="377">
        <f t="shared" ca="1" si="208"/>
        <v>736.37369305874404</v>
      </c>
      <c r="AF465" s="344"/>
      <c r="AG465" s="359">
        <f t="shared" ca="1" si="230"/>
        <v>-21.10614384221352</v>
      </c>
      <c r="AH465" s="357">
        <f t="shared" ca="1" si="231"/>
        <v>-11.583802359028113</v>
      </c>
    </row>
    <row r="466" spans="1:34" x14ac:dyDescent="0.25">
      <c r="A466" s="402">
        <f t="shared" ca="1" si="209"/>
        <v>0.01</v>
      </c>
      <c r="B466" s="357">
        <f t="shared" ca="1" si="210"/>
        <v>4.6199999999999459</v>
      </c>
      <c r="C466" s="342"/>
      <c r="D466" s="359">
        <f t="shared" ca="1" si="211"/>
        <v>-2.8869474363062109</v>
      </c>
      <c r="E466" s="360">
        <f t="shared" ca="1" si="212"/>
        <v>-21.463019761828104</v>
      </c>
      <c r="F466" s="357">
        <f t="shared" ca="1" si="213"/>
        <v>21.656308152513407</v>
      </c>
      <c r="G466" s="359">
        <f t="shared" ca="1" si="214"/>
        <v>64.594717056080768</v>
      </c>
      <c r="H466" s="360">
        <f t="shared" ca="1" si="215"/>
        <v>260.6352631703727</v>
      </c>
      <c r="I466" s="357">
        <f t="shared" ca="1" si="216"/>
        <v>268.52042357974295</v>
      </c>
      <c r="J466" s="359">
        <f t="shared" ca="1" si="217"/>
        <v>170.02066235441723</v>
      </c>
      <c r="K466" s="360">
        <f t="shared" ca="1" si="218"/>
        <v>738.98111884143589</v>
      </c>
      <c r="L466" s="357">
        <f t="shared" ca="1" si="203"/>
        <v>758.28762328787559</v>
      </c>
      <c r="M466" s="359">
        <f t="shared" ca="1" si="219"/>
        <v>1.3278557080377045</v>
      </c>
      <c r="N466" s="357">
        <f t="shared" ca="1" si="220"/>
        <v>76.080527872916136</v>
      </c>
      <c r="O466" s="343"/>
      <c r="P466" s="363">
        <f t="shared" ca="1" si="221"/>
        <v>20</v>
      </c>
      <c r="Q466" s="357">
        <f t="shared" ca="1" si="222"/>
        <v>70.300000000023687</v>
      </c>
      <c r="R466" s="359">
        <f t="shared" ca="1" si="223"/>
        <v>3.5215537939880477E-2</v>
      </c>
      <c r="S466" s="360">
        <f t="shared" ca="1" si="224"/>
        <v>9.639501293985834</v>
      </c>
      <c r="T466" s="357">
        <f t="shared" ca="1" si="204"/>
        <v>94.563507694001032</v>
      </c>
      <c r="U466" s="364">
        <f t="shared" ca="1" si="205"/>
        <v>0</v>
      </c>
      <c r="V466" s="359">
        <f t="shared" ca="1" si="206"/>
        <v>1.1377004489378379</v>
      </c>
      <c r="W466" s="357">
        <f t="shared" ca="1" si="207"/>
        <v>185.67874604585919</v>
      </c>
      <c r="X466" s="343"/>
      <c r="Y466" s="367" t="str">
        <f t="shared" ca="1" si="225"/>
        <v/>
      </c>
      <c r="Z466" s="368" t="str">
        <f t="shared" ca="1" si="226"/>
        <v/>
      </c>
      <c r="AA466" s="369" t="str">
        <f t="shared" ca="1" si="227"/>
        <v/>
      </c>
      <c r="AB466" s="344"/>
      <c r="AC466" s="363" t="e">
        <f t="shared" ca="1" si="228"/>
        <v>#N/A</v>
      </c>
      <c r="AD466" s="376" t="e">
        <f t="shared" ca="1" si="229"/>
        <v>#N/A</v>
      </c>
      <c r="AE466" s="377">
        <f t="shared" ca="1" si="208"/>
        <v>738.98111884143589</v>
      </c>
      <c r="AF466" s="344"/>
      <c r="AG466" s="359">
        <f t="shared" ca="1" si="230"/>
        <v>-21.527438965899133</v>
      </c>
      <c r="AH466" s="357">
        <f t="shared" ca="1" si="231"/>
        <v>-12.005304455512626</v>
      </c>
    </row>
    <row r="467" spans="1:34" x14ac:dyDescent="0.25">
      <c r="A467" s="402">
        <f t="shared" ca="1" si="209"/>
        <v>0.01</v>
      </c>
      <c r="B467" s="357">
        <f t="shared" ca="1" si="210"/>
        <v>4.6299999999999457</v>
      </c>
      <c r="C467" s="342"/>
      <c r="D467" s="359">
        <f t="shared" ca="1" si="211"/>
        <v>-2.9892328478551295</v>
      </c>
      <c r="E467" s="360">
        <f t="shared" ca="1" si="212"/>
        <v>-21.871349990926269</v>
      </c>
      <c r="F467" s="357">
        <f t="shared" ca="1" si="213"/>
        <v>22.074679237630761</v>
      </c>
      <c r="G467" s="359">
        <f t="shared" ca="1" si="214"/>
        <v>64.564824727602215</v>
      </c>
      <c r="H467" s="360">
        <f t="shared" ca="1" si="215"/>
        <v>260.41654967046344</v>
      </c>
      <c r="I467" s="357">
        <f t="shared" ca="1" si="216"/>
        <v>268.30094285032794</v>
      </c>
      <c r="J467" s="359">
        <f t="shared" ca="1" si="217"/>
        <v>170.66646006333565</v>
      </c>
      <c r="K467" s="360">
        <f t="shared" ca="1" si="218"/>
        <v>741.58637790564012</v>
      </c>
      <c r="L467" s="357">
        <f t="shared" ca="1" si="203"/>
        <v>760.97135063401504</v>
      </c>
      <c r="M467" s="359">
        <f t="shared" ca="1" si="219"/>
        <v>1.3277677518321147</v>
      </c>
      <c r="N467" s="357">
        <f t="shared" ca="1" si="220"/>
        <v>76.075488353553851</v>
      </c>
      <c r="O467" s="343"/>
      <c r="P467" s="363">
        <f t="shared" ca="1" si="221"/>
        <v>20</v>
      </c>
      <c r="Q467" s="357">
        <f t="shared" ca="1" si="222"/>
        <v>65.900000000023837</v>
      </c>
      <c r="R467" s="359">
        <f t="shared" ca="1" si="223"/>
        <v>3.3011435992008266E-2</v>
      </c>
      <c r="S467" s="360">
        <f t="shared" ca="1" si="224"/>
        <v>9.6391711796259134</v>
      </c>
      <c r="T467" s="357">
        <f t="shared" ca="1" si="204"/>
        <v>94.560269272130213</v>
      </c>
      <c r="U467" s="364">
        <f t="shared" ca="1" si="205"/>
        <v>0</v>
      </c>
      <c r="V467" s="359">
        <f t="shared" ca="1" si="206"/>
        <v>1.1374036805688013</v>
      </c>
      <c r="W467" s="357">
        <f t="shared" ca="1" si="207"/>
        <v>185.32697833321893</v>
      </c>
      <c r="X467" s="343"/>
      <c r="Y467" s="367" t="str">
        <f t="shared" ca="1" si="225"/>
        <v/>
      </c>
      <c r="Z467" s="368" t="str">
        <f t="shared" ca="1" si="226"/>
        <v/>
      </c>
      <c r="AA467" s="369" t="str">
        <f t="shared" ca="1" si="227"/>
        <v/>
      </c>
      <c r="AB467" s="344"/>
      <c r="AC467" s="363" t="e">
        <f t="shared" ca="1" si="228"/>
        <v>#N/A</v>
      </c>
      <c r="AD467" s="376" t="e">
        <f t="shared" ca="1" si="229"/>
        <v>#N/A</v>
      </c>
      <c r="AE467" s="377">
        <f t="shared" ca="1" si="208"/>
        <v>741.58637790564012</v>
      </c>
      <c r="AF467" s="344"/>
      <c r="AG467" s="359">
        <f t="shared" ca="1" si="230"/>
        <v>-21.948176724248796</v>
      </c>
      <c r="AH467" s="357">
        <f t="shared" ca="1" si="231"/>
        <v>-12.426249499439209</v>
      </c>
    </row>
    <row r="468" spans="1:34" x14ac:dyDescent="0.25">
      <c r="A468" s="402">
        <f t="shared" ca="1" si="209"/>
        <v>0.01</v>
      </c>
      <c r="B468" s="357">
        <f t="shared" ca="1" si="210"/>
        <v>4.6399999999999455</v>
      </c>
      <c r="C468" s="342"/>
      <c r="D468" s="359">
        <f t="shared" ca="1" si="211"/>
        <v>-3.0914572157366069</v>
      </c>
      <c r="E468" s="360">
        <f t="shared" ca="1" si="212"/>
        <v>-22.279121150294234</v>
      </c>
      <c r="F468" s="357">
        <f t="shared" ca="1" si="213"/>
        <v>22.492584265624476</v>
      </c>
      <c r="G468" s="359">
        <f t="shared" ca="1" si="214"/>
        <v>64.533910155444843</v>
      </c>
      <c r="H468" s="360">
        <f t="shared" ca="1" si="215"/>
        <v>260.19375845896047</v>
      </c>
      <c r="I468" s="357">
        <f t="shared" ca="1" si="216"/>
        <v>268.07726032051079</v>
      </c>
      <c r="J468" s="359">
        <f t="shared" ca="1" si="217"/>
        <v>171.31195373775088</v>
      </c>
      <c r="K468" s="360">
        <f t="shared" ca="1" si="218"/>
        <v>744.18942944628725</v>
      </c>
      <c r="L468" s="357">
        <f t="shared" ca="1" si="203"/>
        <v>763.65286118303504</v>
      </c>
      <c r="M468" s="359">
        <f t="shared" ca="1" si="219"/>
        <v>1.3276796909951167</v>
      </c>
      <c r="N468" s="357">
        <f t="shared" ca="1" si="220"/>
        <v>76.070442839253474</v>
      </c>
      <c r="O468" s="343"/>
      <c r="P468" s="363">
        <f t="shared" ca="1" si="221"/>
        <v>20</v>
      </c>
      <c r="Q468" s="357">
        <f t="shared" ca="1" si="222"/>
        <v>61.500000000023995</v>
      </c>
      <c r="R468" s="359">
        <f t="shared" ca="1" si="223"/>
        <v>3.0807334044136055E-2</v>
      </c>
      <c r="S468" s="360">
        <f t="shared" ca="1" si="224"/>
        <v>9.6388631062854717</v>
      </c>
      <c r="T468" s="357">
        <f t="shared" ca="1" si="204"/>
        <v>94.557247072660488</v>
      </c>
      <c r="U468" s="364">
        <f t="shared" ca="1" si="205"/>
        <v>0</v>
      </c>
      <c r="V468" s="359">
        <f t="shared" ca="1" si="206"/>
        <v>1.1371072381090346</v>
      </c>
      <c r="W468" s="357">
        <f t="shared" ca="1" si="207"/>
        <v>184.96987147729851</v>
      </c>
      <c r="X468" s="343"/>
      <c r="Y468" s="367" t="str">
        <f t="shared" ca="1" si="225"/>
        <v/>
      </c>
      <c r="Z468" s="368" t="str">
        <f t="shared" ca="1" si="226"/>
        <v/>
      </c>
      <c r="AA468" s="369" t="str">
        <f t="shared" ca="1" si="227"/>
        <v/>
      </c>
      <c r="AB468" s="344"/>
      <c r="AC468" s="363" t="e">
        <f t="shared" ca="1" si="228"/>
        <v>#N/A</v>
      </c>
      <c r="AD468" s="376" t="e">
        <f t="shared" ca="1" si="229"/>
        <v>#N/A</v>
      </c>
      <c r="AE468" s="377">
        <f t="shared" ca="1" si="208"/>
        <v>744.18942944628725</v>
      </c>
      <c r="AF468" s="344"/>
      <c r="AG468" s="359">
        <f t="shared" ca="1" si="230"/>
        <v>-22.368356924801059</v>
      </c>
      <c r="AH468" s="357">
        <f t="shared" ca="1" si="231"/>
        <v>-12.846637302323318</v>
      </c>
    </row>
    <row r="469" spans="1:34" x14ac:dyDescent="0.25">
      <c r="A469" s="402">
        <f t="shared" ca="1" si="209"/>
        <v>0.01</v>
      </c>
      <c r="B469" s="357">
        <f t="shared" ca="1" si="210"/>
        <v>4.6499999999999453</v>
      </c>
      <c r="C469" s="342"/>
      <c r="D469" s="359">
        <f t="shared" ca="1" si="211"/>
        <v>-3.1936205031100342</v>
      </c>
      <c r="E469" s="360">
        <f t="shared" ca="1" si="212"/>
        <v>-22.686333075033524</v>
      </c>
      <c r="F469" s="357">
        <f t="shared" ca="1" si="213"/>
        <v>22.910017902857362</v>
      </c>
      <c r="G469" s="359">
        <f t="shared" ca="1" si="214"/>
        <v>64.501973950413742</v>
      </c>
      <c r="H469" s="360">
        <f t="shared" ca="1" si="215"/>
        <v>259.96689512821013</v>
      </c>
      <c r="I469" s="357">
        <f t="shared" ca="1" si="216"/>
        <v>267.84938156751764</v>
      </c>
      <c r="J469" s="359">
        <f t="shared" ca="1" si="217"/>
        <v>171.95713315828019</v>
      </c>
      <c r="K469" s="360">
        <f t="shared" ca="1" si="218"/>
        <v>746.79023271422307</v>
      </c>
      <c r="L469" s="357">
        <f t="shared" ca="1" si="203"/>
        <v>766.33211293888621</v>
      </c>
      <c r="M469" s="359">
        <f t="shared" ca="1" si="219"/>
        <v>1.32759152393421</v>
      </c>
      <c r="N469" s="357">
        <f t="shared" ca="1" si="220"/>
        <v>76.065391238771454</v>
      </c>
      <c r="O469" s="343"/>
      <c r="P469" s="363">
        <f t="shared" ca="1" si="221"/>
        <v>20</v>
      </c>
      <c r="Q469" s="357">
        <f t="shared" ca="1" si="222"/>
        <v>57.100000000024153</v>
      </c>
      <c r="R469" s="359">
        <f t="shared" ca="1" si="223"/>
        <v>2.8603232096263843E-2</v>
      </c>
      <c r="S469" s="360">
        <f t="shared" ca="1" si="224"/>
        <v>9.6385770739645089</v>
      </c>
      <c r="T469" s="357">
        <f t="shared" ca="1" si="204"/>
        <v>94.554441095591841</v>
      </c>
      <c r="U469" s="364">
        <f t="shared" ca="1" si="205"/>
        <v>0</v>
      </c>
      <c r="V469" s="359">
        <f t="shared" ca="1" si="206"/>
        <v>1.1368111259801137</v>
      </c>
      <c r="W469" s="357">
        <f t="shared" ca="1" si="207"/>
        <v>184.6074524701117</v>
      </c>
      <c r="X469" s="343"/>
      <c r="Y469" s="367" t="str">
        <f t="shared" ca="1" si="225"/>
        <v/>
      </c>
      <c r="Z469" s="368" t="str">
        <f t="shared" ca="1" si="226"/>
        <v/>
      </c>
      <c r="AA469" s="369" t="str">
        <f t="shared" ca="1" si="227"/>
        <v/>
      </c>
      <c r="AB469" s="344"/>
      <c r="AC469" s="363" t="e">
        <f t="shared" ca="1" si="228"/>
        <v>#N/A</v>
      </c>
      <c r="AD469" s="376" t="e">
        <f t="shared" ca="1" si="229"/>
        <v>#N/A</v>
      </c>
      <c r="AE469" s="377">
        <f t="shared" ca="1" si="208"/>
        <v>746.79023271422307</v>
      </c>
      <c r="AF469" s="344"/>
      <c r="AG469" s="359">
        <f t="shared" ca="1" si="230"/>
        <v>-22.787979404740618</v>
      </c>
      <c r="AH469" s="357">
        <f t="shared" ca="1" si="231"/>
        <v>-13.26646770534972</v>
      </c>
    </row>
    <row r="470" spans="1:34" x14ac:dyDescent="0.25">
      <c r="A470" s="402">
        <f t="shared" ca="1" si="209"/>
        <v>0.01</v>
      </c>
      <c r="B470" s="357">
        <f t="shared" ca="1" si="210"/>
        <v>4.6599999999999451</v>
      </c>
      <c r="C470" s="342"/>
      <c r="D470" s="359">
        <f t="shared" ca="1" si="211"/>
        <v>-3.3325731702919184</v>
      </c>
      <c r="E470" s="360">
        <f t="shared" ca="1" si="212"/>
        <v>-23.241506771163067</v>
      </c>
      <c r="F470" s="357">
        <f t="shared" ca="1" si="213"/>
        <v>23.479218064692194</v>
      </c>
      <c r="G470" s="359">
        <f t="shared" ca="1" si="214"/>
        <v>64.468648218710825</v>
      </c>
      <c r="H470" s="360">
        <f t="shared" ca="1" si="215"/>
        <v>259.73448006049847</v>
      </c>
      <c r="I470" s="357">
        <f t="shared" ca="1" si="216"/>
        <v>267.61578192521711</v>
      </c>
      <c r="J470" s="359">
        <f t="shared" ca="1" si="217"/>
        <v>172.6019862691258</v>
      </c>
      <c r="K470" s="360">
        <f t="shared" ca="1" si="218"/>
        <v>749.38873959016667</v>
      </c>
      <c r="L470" s="357">
        <f t="shared" ca="1" si="203"/>
        <v>769.00905631116336</v>
      </c>
      <c r="M470" s="359">
        <f t="shared" ca="1" si="219"/>
        <v>1.3275032485443439</v>
      </c>
      <c r="N470" s="357">
        <f t="shared" ca="1" si="220"/>
        <v>76.060333431497256</v>
      </c>
      <c r="O470" s="343"/>
      <c r="P470" s="363">
        <f t="shared" ca="1" si="221"/>
        <v>21</v>
      </c>
      <c r="Q470" s="357">
        <f t="shared" ca="1" si="222"/>
        <v>51.225000000040474</v>
      </c>
      <c r="R470" s="359">
        <f t="shared" ca="1" si="223"/>
        <v>2.5660255063601634E-2</v>
      </c>
      <c r="S470" s="360">
        <f t="shared" ca="1" si="224"/>
        <v>9.6383204714138735</v>
      </c>
      <c r="T470" s="357">
        <f t="shared" ca="1" si="204"/>
        <v>94.55192382457011</v>
      </c>
      <c r="U470" s="364">
        <f t="shared" ca="1" si="205"/>
        <v>0</v>
      </c>
      <c r="V470" s="359">
        <f t="shared" ca="1" si="206"/>
        <v>1.1365153494380882</v>
      </c>
      <c r="W470" s="357">
        <f t="shared" ca="1" si="207"/>
        <v>184.23764167703382</v>
      </c>
      <c r="X470" s="343"/>
      <c r="Y470" s="367" t="str">
        <f t="shared" ca="1" si="225"/>
        <v/>
      </c>
      <c r="Z470" s="368" t="str">
        <f t="shared" ca="1" si="226"/>
        <v/>
      </c>
      <c r="AA470" s="369" t="str">
        <f t="shared" ca="1" si="227"/>
        <v/>
      </c>
      <c r="AB470" s="344"/>
      <c r="AC470" s="363" t="e">
        <f t="shared" ca="1" si="228"/>
        <v>#N/A</v>
      </c>
      <c r="AD470" s="376" t="e">
        <f t="shared" ca="1" si="229"/>
        <v>#N/A</v>
      </c>
      <c r="AE470" s="377">
        <f t="shared" ca="1" si="208"/>
        <v>749.38873959016667</v>
      </c>
      <c r="AF470" s="344"/>
      <c r="AG470" s="359">
        <f t="shared" ca="1" si="230"/>
        <v>-23.36006850044317</v>
      </c>
      <c r="AH470" s="357">
        <f t="shared" ca="1" si="231"/>
        <v>-13.838765048917798</v>
      </c>
    </row>
    <row r="471" spans="1:34" x14ac:dyDescent="0.25">
      <c r="A471" s="402">
        <f t="shared" ca="1" si="209"/>
        <v>0.01</v>
      </c>
      <c r="B471" s="357">
        <f t="shared" ca="1" si="210"/>
        <v>4.6699999999999449</v>
      </c>
      <c r="C471" s="342"/>
      <c r="D471" s="359">
        <f t="shared" ca="1" si="211"/>
        <v>-3.508301563638268</v>
      </c>
      <c r="E471" s="360">
        <f t="shared" ca="1" si="212"/>
        <v>-23.944418941679515</v>
      </c>
      <c r="F471" s="357">
        <f t="shared" ca="1" si="213"/>
        <v>24.2000697998185</v>
      </c>
      <c r="G471" s="359">
        <f t="shared" ca="1" si="214"/>
        <v>64.433565203074437</v>
      </c>
      <c r="H471" s="360">
        <f t="shared" ca="1" si="215"/>
        <v>259.49503587108165</v>
      </c>
      <c r="I471" s="357">
        <f t="shared" ca="1" si="216"/>
        <v>267.37493892755322</v>
      </c>
      <c r="J471" s="359">
        <f t="shared" ca="1" si="217"/>
        <v>173.24649733623474</v>
      </c>
      <c r="K471" s="360">
        <f t="shared" ca="1" si="218"/>
        <v>751.98488716982456</v>
      </c>
      <c r="L471" s="357">
        <f t="shared" ca="1" si="203"/>
        <v>771.68362647595927</v>
      </c>
      <c r="M471" s="359">
        <f t="shared" ca="1" si="219"/>
        <v>1.3274148622039696</v>
      </c>
      <c r="N471" s="357">
        <f t="shared" ca="1" si="220"/>
        <v>76.055269267227203</v>
      </c>
      <c r="O471" s="343"/>
      <c r="P471" s="363">
        <f t="shared" ca="1" si="221"/>
        <v>21</v>
      </c>
      <c r="Q471" s="357">
        <f t="shared" ca="1" si="222"/>
        <v>43.875000000040473</v>
      </c>
      <c r="R471" s="359">
        <f t="shared" ca="1" si="223"/>
        <v>2.1978402946133152E-2</v>
      </c>
      <c r="S471" s="360">
        <f t="shared" ca="1" si="224"/>
        <v>9.6381006873844122</v>
      </c>
      <c r="T471" s="357">
        <f t="shared" ca="1" si="204"/>
        <v>94.549767743241091</v>
      </c>
      <c r="U471" s="364">
        <f t="shared" ca="1" si="205"/>
        <v>0</v>
      </c>
      <c r="V471" s="359">
        <f t="shared" ca="1" si="206"/>
        <v>1.136219915416133</v>
      </c>
      <c r="W471" s="357">
        <f t="shared" ca="1" si="207"/>
        <v>183.85837266753936</v>
      </c>
      <c r="X471" s="343"/>
      <c r="Y471" s="367" t="str">
        <f t="shared" ca="1" si="225"/>
        <v/>
      </c>
      <c r="Z471" s="368" t="str">
        <f t="shared" ca="1" si="226"/>
        <v/>
      </c>
      <c r="AA471" s="369" t="str">
        <f t="shared" ca="1" si="227"/>
        <v/>
      </c>
      <c r="AB471" s="344"/>
      <c r="AC471" s="363" t="e">
        <f t="shared" ca="1" si="228"/>
        <v>#N/A</v>
      </c>
      <c r="AD471" s="376" t="e">
        <f t="shared" ca="1" si="229"/>
        <v>#N/A</v>
      </c>
      <c r="AE471" s="377">
        <f t="shared" ca="1" si="208"/>
        <v>751.98488716982456</v>
      </c>
      <c r="AF471" s="344"/>
      <c r="AG471" s="359">
        <f t="shared" ca="1" si="230"/>
        <v>-24.08440420498194</v>
      </c>
      <c r="AH471" s="357">
        <f t="shared" ca="1" si="231"/>
        <v>-14.563309331341397</v>
      </c>
    </row>
    <row r="472" spans="1:34" x14ac:dyDescent="0.25">
      <c r="A472" s="402">
        <f t="shared" ca="1" si="209"/>
        <v>0.01</v>
      </c>
      <c r="B472" s="357">
        <f t="shared" ca="1" si="210"/>
        <v>4.6799999999999446</v>
      </c>
      <c r="C472" s="342"/>
      <c r="D472" s="359">
        <f t="shared" ca="1" si="211"/>
        <v>-4.0945676957718202</v>
      </c>
      <c r="E472" s="360">
        <f t="shared" ca="1" si="212"/>
        <v>-26.300162972391021</v>
      </c>
      <c r="F472" s="357">
        <f t="shared" ca="1" si="213"/>
        <v>26.616988127689915</v>
      </c>
      <c r="G472" s="359">
        <f t="shared" ca="1" si="214"/>
        <v>64.392619526116718</v>
      </c>
      <c r="H472" s="360">
        <f t="shared" ca="1" si="215"/>
        <v>259.23203424135772</v>
      </c>
      <c r="I472" s="357">
        <f t="shared" ca="1" si="216"/>
        <v>267.10982203271317</v>
      </c>
      <c r="J472" s="359">
        <f t="shared" ca="1" si="217"/>
        <v>173.89062825988069</v>
      </c>
      <c r="K472" s="360">
        <f t="shared" ca="1" si="218"/>
        <v>754.57852252038674</v>
      </c>
      <c r="L472" s="357">
        <f t="shared" ca="1" si="203"/>
        <v>774.35566585753463</v>
      </c>
      <c r="M472" s="359">
        <f t="shared" ca="1" si="219"/>
        <v>1.3273263566318616</v>
      </c>
      <c r="N472" s="357">
        <f t="shared" ca="1" si="220"/>
        <v>76.050198271482017</v>
      </c>
      <c r="O472" s="343"/>
      <c r="P472" s="363">
        <f t="shared" ca="1" si="221"/>
        <v>22</v>
      </c>
      <c r="Q472" s="357">
        <f t="shared" ca="1" si="222"/>
        <v>20.100000000221371</v>
      </c>
      <c r="R472" s="359">
        <f t="shared" ca="1" si="223"/>
        <v>1.0068738443800211E-2</v>
      </c>
      <c r="S472" s="360">
        <f t="shared" ca="1" si="224"/>
        <v>9.637999999999975</v>
      </c>
      <c r="T472" s="357">
        <f t="shared" ca="1" si="204"/>
        <v>94.548779999999766</v>
      </c>
      <c r="U472" s="364">
        <f t="shared" ca="1" si="205"/>
        <v>0</v>
      </c>
      <c r="V472" s="359">
        <f t="shared" ca="1" si="206"/>
        <v>1.1359248410817431</v>
      </c>
      <c r="W472" s="357">
        <f t="shared" ca="1" si="207"/>
        <v>183.44628908502489</v>
      </c>
      <c r="X472" s="343"/>
      <c r="Y472" s="367" t="str">
        <f t="shared" ca="1" si="225"/>
        <v/>
      </c>
      <c r="Z472" s="368" t="str">
        <f t="shared" ca="1" si="226"/>
        <v/>
      </c>
      <c r="AA472" s="369" t="str">
        <f t="shared" ca="1" si="227"/>
        <v/>
      </c>
      <c r="AB472" s="344"/>
      <c r="AC472" s="363" t="e">
        <f t="shared" ca="1" si="228"/>
        <v>#N/A</v>
      </c>
      <c r="AD472" s="376" t="e">
        <f t="shared" ca="1" si="229"/>
        <v>#N/A</v>
      </c>
      <c r="AE472" s="377">
        <f t="shared" ca="1" si="208"/>
        <v>754.57852252038674</v>
      </c>
      <c r="AF472" s="344"/>
      <c r="AG472" s="359">
        <f t="shared" ca="1" si="230"/>
        <v>-26.51179410071979</v>
      </c>
      <c r="AH472" s="357">
        <f t="shared" ca="1" si="231"/>
        <v>-16.990908141452419</v>
      </c>
    </row>
    <row r="473" spans="1:34" x14ac:dyDescent="0.25">
      <c r="A473" s="402">
        <f t="shared" ca="1" si="209"/>
        <v>0.01</v>
      </c>
      <c r="B473" s="357">
        <f t="shared" ca="1" si="210"/>
        <v>4.6899999999999444</v>
      </c>
      <c r="C473" s="342"/>
      <c r="D473" s="359">
        <f t="shared" ca="1" si="211"/>
        <v>-4.5884736677036733</v>
      </c>
      <c r="E473" s="360">
        <f t="shared" ca="1" si="212"/>
        <v>-28.282293435108521</v>
      </c>
      <c r="F473" s="357">
        <f t="shared" ca="1" si="213"/>
        <v>28.65208914806724</v>
      </c>
      <c r="G473" s="359">
        <f t="shared" ca="1" si="214"/>
        <v>64.34673478943968</v>
      </c>
      <c r="H473" s="360">
        <f t="shared" ca="1" si="215"/>
        <v>258.94921130700664</v>
      </c>
      <c r="I473" s="357">
        <f t="shared" ca="1" si="216"/>
        <v>266.82427984458849</v>
      </c>
      <c r="J473" s="359">
        <f t="shared" ca="1" si="217"/>
        <v>174.53432503145848</v>
      </c>
      <c r="K473" s="360">
        <f t="shared" ca="1" si="218"/>
        <v>757.16942874812855</v>
      </c>
      <c r="L473" s="357">
        <f t="shared" ca="1" si="203"/>
        <v>777.0249509796671</v>
      </c>
      <c r="M473" s="359">
        <f t="shared" ca="1" si="219"/>
        <v>1.3272377247650371</v>
      </c>
      <c r="N473" s="357">
        <f t="shared" ca="1" si="220"/>
        <v>76.045120039582613</v>
      </c>
      <c r="O473" s="343"/>
      <c r="P473" s="363">
        <f t="shared" ca="1" si="221"/>
        <v>23</v>
      </c>
      <c r="Q473" s="357">
        <f t="shared" ca="1" si="222"/>
        <v>0</v>
      </c>
      <c r="R473" s="359">
        <f t="shared" ca="1" si="223"/>
        <v>0</v>
      </c>
      <c r="S473" s="360">
        <f t="shared" ca="1" si="224"/>
        <v>9.637999999999975</v>
      </c>
      <c r="T473" s="357">
        <f t="shared" ca="1" si="204"/>
        <v>94.548779999999766</v>
      </c>
      <c r="U473" s="364">
        <f t="shared" ca="1" si="205"/>
        <v>0</v>
      </c>
      <c r="V473" s="359">
        <f t="shared" ca="1" si="206"/>
        <v>1.1356301508594087</v>
      </c>
      <c r="W473" s="357">
        <f t="shared" ca="1" si="207"/>
        <v>183.006798771089</v>
      </c>
      <c r="X473" s="343"/>
      <c r="Y473" s="367" t="str">
        <f t="shared" ca="1" si="225"/>
        <v>Fin de propulsion</v>
      </c>
      <c r="Z473" s="368" t="str">
        <f t="shared" ca="1" si="226"/>
        <v/>
      </c>
      <c r="AA473" s="369" t="str">
        <f t="shared" ca="1" si="227"/>
        <v/>
      </c>
      <c r="AB473" s="344"/>
      <c r="AC473" s="363" t="e">
        <f t="shared" ca="1" si="228"/>
        <v>#N/A</v>
      </c>
      <c r="AD473" s="376" t="e">
        <f t="shared" ca="1" si="229"/>
        <v>#N/A</v>
      </c>
      <c r="AE473" s="377">
        <f t="shared" ca="1" si="208"/>
        <v>757.16942874812855</v>
      </c>
      <c r="AF473" s="344"/>
      <c r="AG473" s="359">
        <f t="shared" ca="1" si="230"/>
        <v>-28.554323615812692</v>
      </c>
      <c r="AH473" s="357">
        <f t="shared" ca="1" si="231"/>
        <v>-19.0336469272697</v>
      </c>
    </row>
    <row r="474" spans="1:34" x14ac:dyDescent="0.25">
      <c r="A474" s="402">
        <f t="shared" ca="1" si="209"/>
        <v>0.01</v>
      </c>
      <c r="B474" s="357">
        <f t="shared" ca="1" si="210"/>
        <v>4.6999999999999442</v>
      </c>
      <c r="C474" s="342"/>
      <c r="D474" s="359">
        <f t="shared" ca="1" si="211"/>
        <v>-4.5791141537342801</v>
      </c>
      <c r="E474" s="360">
        <f t="shared" ca="1" si="212"/>
        <v>-28.237632769158701</v>
      </c>
      <c r="F474" s="357">
        <f t="shared" ca="1" si="213"/>
        <v>28.606506092824318</v>
      </c>
      <c r="G474" s="359">
        <f t="shared" ca="1" si="214"/>
        <v>64.300943647902344</v>
      </c>
      <c r="H474" s="360">
        <f t="shared" ca="1" si="215"/>
        <v>258.66683497931507</v>
      </c>
      <c r="I474" s="357">
        <f t="shared" ca="1" si="216"/>
        <v>266.53919575219504</v>
      </c>
      <c r="J474" s="359">
        <f t="shared" ca="1" si="217"/>
        <v>175.17756342364518</v>
      </c>
      <c r="K474" s="360">
        <f t="shared" ca="1" si="218"/>
        <v>759.75750897956016</v>
      </c>
      <c r="L474" s="357">
        <f t="shared" ca="1" si="203"/>
        <v>779.69138200820942</v>
      </c>
      <c r="M474" s="359">
        <f t="shared" ca="1" si="219"/>
        <v>1.327148966441029</v>
      </c>
      <c r="N474" s="357">
        <f t="shared" ca="1" si="220"/>
        <v>76.040034562220285</v>
      </c>
      <c r="O474" s="343"/>
      <c r="P474" s="363">
        <f t="shared" ca="1" si="221"/>
        <v>23</v>
      </c>
      <c r="Q474" s="357">
        <f t="shared" ca="1" si="222"/>
        <v>0</v>
      </c>
      <c r="R474" s="359">
        <f t="shared" ca="1" si="223"/>
        <v>0</v>
      </c>
      <c r="S474" s="360">
        <f t="shared" ca="1" si="224"/>
        <v>9.637999999999975</v>
      </c>
      <c r="T474" s="357">
        <f t="shared" ca="1" si="204"/>
        <v>94.548779999999766</v>
      </c>
      <c r="U474" s="364">
        <f t="shared" ca="1" si="205"/>
        <v>0</v>
      </c>
      <c r="V474" s="359">
        <f t="shared" ca="1" si="206"/>
        <v>1.1353358555033806</v>
      </c>
      <c r="W474" s="357">
        <f t="shared" ca="1" si="207"/>
        <v>182.5686219574421</v>
      </c>
      <c r="X474" s="343"/>
      <c r="Y474" s="367" t="str">
        <f t="shared" ca="1" si="225"/>
        <v/>
      </c>
      <c r="Z474" s="368" t="str">
        <f t="shared" ca="1" si="226"/>
        <v/>
      </c>
      <c r="AA474" s="369" t="str">
        <f t="shared" ca="1" si="227"/>
        <v/>
      </c>
      <c r="AB474" s="344"/>
      <c r="AC474" s="363" t="e">
        <f t="shared" ca="1" si="228"/>
        <v>#N/A</v>
      </c>
      <c r="AD474" s="376" t="e">
        <f t="shared" ca="1" si="229"/>
        <v>#N/A</v>
      </c>
      <c r="AE474" s="377">
        <f t="shared" ca="1" si="208"/>
        <v>759.75750897956016</v>
      </c>
      <c r="AF474" s="344"/>
      <c r="AG474" s="359">
        <f t="shared" ca="1" si="230"/>
        <v>-28.508514229672024</v>
      </c>
      <c r="AH474" s="357">
        <f t="shared" ca="1" si="231"/>
        <v>-18.988047185213681</v>
      </c>
    </row>
    <row r="475" spans="1:34" x14ac:dyDescent="0.25">
      <c r="A475" s="402">
        <f t="shared" ca="1" si="209"/>
        <v>0.01</v>
      </c>
      <c r="B475" s="357">
        <f t="shared" ca="1" si="210"/>
        <v>4.709999999999944</v>
      </c>
      <c r="C475" s="342"/>
      <c r="D475" s="359">
        <f t="shared" ca="1" si="211"/>
        <v>-4.5697819613943045</v>
      </c>
      <c r="E475" s="360">
        <f t="shared" ca="1" si="212"/>
        <v>-28.19310558818669</v>
      </c>
      <c r="F475" s="357">
        <f t="shared" ca="1" si="213"/>
        <v>28.561059327016011</v>
      </c>
      <c r="G475" s="359">
        <f t="shared" ca="1" si="214"/>
        <v>64.255245828288395</v>
      </c>
      <c r="H475" s="360">
        <f t="shared" ca="1" si="215"/>
        <v>258.38490392343323</v>
      </c>
      <c r="I475" s="357">
        <f t="shared" ca="1" si="216"/>
        <v>266.25456839644193</v>
      </c>
      <c r="J475" s="359">
        <f t="shared" ca="1" si="217"/>
        <v>175.82034437102612</v>
      </c>
      <c r="K475" s="360">
        <f t="shared" ca="1" si="218"/>
        <v>762.34276767407391</v>
      </c>
      <c r="L475" s="357">
        <f t="shared" ca="1" si="203"/>
        <v>782.35496350423523</v>
      </c>
      <c r="M475" s="359">
        <f t="shared" ca="1" si="219"/>
        <v>1.3270600814969928</v>
      </c>
      <c r="N475" s="357">
        <f t="shared" ca="1" si="220"/>
        <v>76.034941830064767</v>
      </c>
      <c r="O475" s="343"/>
      <c r="P475" s="363">
        <f t="shared" ca="1" si="221"/>
        <v>23</v>
      </c>
      <c r="Q475" s="357">
        <f t="shared" ca="1" si="222"/>
        <v>0</v>
      </c>
      <c r="R475" s="359">
        <f t="shared" ca="1" si="223"/>
        <v>0</v>
      </c>
      <c r="S475" s="360">
        <f t="shared" ca="1" si="224"/>
        <v>9.637999999999975</v>
      </c>
      <c r="T475" s="357">
        <f t="shared" ca="1" si="204"/>
        <v>94.548779999999766</v>
      </c>
      <c r="U475" s="364">
        <f t="shared" ca="1" si="205"/>
        <v>0</v>
      </c>
      <c r="V475" s="359">
        <f t="shared" ca="1" si="206"/>
        <v>1.1350419542389283</v>
      </c>
      <c r="W475" s="357">
        <f t="shared" ca="1" si="207"/>
        <v>182.13175342566581</v>
      </c>
      <c r="X475" s="343"/>
      <c r="Y475" s="367" t="str">
        <f t="shared" ca="1" si="225"/>
        <v/>
      </c>
      <c r="Z475" s="368" t="str">
        <f t="shared" ca="1" si="226"/>
        <v/>
      </c>
      <c r="AA475" s="369" t="str">
        <f t="shared" ca="1" si="227"/>
        <v/>
      </c>
      <c r="AB475" s="344"/>
      <c r="AC475" s="363" t="e">
        <f t="shared" ca="1" si="228"/>
        <v>#N/A</v>
      </c>
      <c r="AD475" s="376" t="e">
        <f t="shared" ca="1" si="229"/>
        <v>#N/A</v>
      </c>
      <c r="AE475" s="377">
        <f t="shared" ca="1" si="208"/>
        <v>762.34276767407391</v>
      </c>
      <c r="AF475" s="344"/>
      <c r="AG475" s="359">
        <f t="shared" ca="1" si="230"/>
        <v>-28.462840752959814</v>
      </c>
      <c r="AH475" s="357">
        <f t="shared" ca="1" si="231"/>
        <v>-18.942583726648948</v>
      </c>
    </row>
    <row r="476" spans="1:34" x14ac:dyDescent="0.25">
      <c r="A476" s="402">
        <f t="shared" ca="1" si="209"/>
        <v>0.01</v>
      </c>
      <c r="B476" s="357">
        <f t="shared" ca="1" si="210"/>
        <v>4.7199999999999438</v>
      </c>
      <c r="C476" s="342"/>
      <c r="D476" s="359">
        <f t="shared" ca="1" si="211"/>
        <v>-4.5604769815752473</v>
      </c>
      <c r="E476" s="360">
        <f t="shared" ca="1" si="212"/>
        <v>-28.148711361844583</v>
      </c>
      <c r="F476" s="357">
        <f t="shared" ca="1" si="213"/>
        <v>28.515748309169723</v>
      </c>
      <c r="G476" s="359">
        <f t="shared" ca="1" si="214"/>
        <v>64.209641058472641</v>
      </c>
      <c r="H476" s="360">
        <f t="shared" ca="1" si="215"/>
        <v>258.1034168098148</v>
      </c>
      <c r="I476" s="357">
        <f t="shared" ca="1" si="216"/>
        <v>265.97039642366008</v>
      </c>
      <c r="J476" s="359">
        <f t="shared" ca="1" si="217"/>
        <v>176.46266880545994</v>
      </c>
      <c r="K476" s="360">
        <f t="shared" ca="1" si="218"/>
        <v>764.92520927774012</v>
      </c>
      <c r="L476" s="357">
        <f t="shared" ca="1" si="203"/>
        <v>785.0157000153182</v>
      </c>
      <c r="M476" s="359">
        <f t="shared" ca="1" si="219"/>
        <v>1.3269710697697052</v>
      </c>
      <c r="N476" s="357">
        <f t="shared" ca="1" si="220"/>
        <v>76.02984183376401</v>
      </c>
      <c r="O476" s="343"/>
      <c r="P476" s="363">
        <f t="shared" ca="1" si="221"/>
        <v>23</v>
      </c>
      <c r="Q476" s="357">
        <f t="shared" ca="1" si="222"/>
        <v>0</v>
      </c>
      <c r="R476" s="359">
        <f t="shared" ca="1" si="223"/>
        <v>0</v>
      </c>
      <c r="S476" s="360">
        <f t="shared" ca="1" si="224"/>
        <v>9.637999999999975</v>
      </c>
      <c r="T476" s="357">
        <f t="shared" ca="1" si="204"/>
        <v>94.548779999999766</v>
      </c>
      <c r="U476" s="364">
        <f t="shared" ca="1" si="205"/>
        <v>0</v>
      </c>
      <c r="V476" s="359">
        <f t="shared" ca="1" si="206"/>
        <v>1.1347484462937951</v>
      </c>
      <c r="W476" s="357">
        <f t="shared" ca="1" si="207"/>
        <v>181.69618798356589</v>
      </c>
      <c r="X476" s="343"/>
      <c r="Y476" s="367" t="str">
        <f t="shared" ca="1" si="225"/>
        <v/>
      </c>
      <c r="Z476" s="368" t="str">
        <f t="shared" ca="1" si="226"/>
        <v/>
      </c>
      <c r="AA476" s="369" t="str">
        <f t="shared" ca="1" si="227"/>
        <v/>
      </c>
      <c r="AB476" s="344"/>
      <c r="AC476" s="363" t="e">
        <f t="shared" ca="1" si="228"/>
        <v>#N/A</v>
      </c>
      <c r="AD476" s="376" t="e">
        <f t="shared" ca="1" si="229"/>
        <v>#N/A</v>
      </c>
      <c r="AE476" s="377">
        <f t="shared" ca="1" si="208"/>
        <v>764.92520927774012</v>
      </c>
      <c r="AF476" s="344"/>
      <c r="AG476" s="359">
        <f t="shared" ca="1" si="230"/>
        <v>-28.417302643529567</v>
      </c>
      <c r="AH476" s="357">
        <f t="shared" ca="1" si="231"/>
        <v>-18.897256010133461</v>
      </c>
    </row>
    <row r="477" spans="1:34" x14ac:dyDescent="0.25">
      <c r="A477" s="402">
        <f t="shared" ca="1" si="209"/>
        <v>0.01</v>
      </c>
      <c r="B477" s="357">
        <f t="shared" ca="1" si="210"/>
        <v>4.7299999999999436</v>
      </c>
      <c r="C477" s="342"/>
      <c r="D477" s="359">
        <f t="shared" ca="1" si="211"/>
        <v>-4.5511991057165666</v>
      </c>
      <c r="E477" s="360">
        <f t="shared" ca="1" si="212"/>
        <v>-28.104449562449581</v>
      </c>
      <c r="F477" s="357">
        <f t="shared" ca="1" si="213"/>
        <v>28.470572500533734</v>
      </c>
      <c r="G477" s="359">
        <f t="shared" ca="1" si="214"/>
        <v>64.164129067415473</v>
      </c>
      <c r="H477" s="360">
        <f t="shared" ca="1" si="215"/>
        <v>257.82237231419032</v>
      </c>
      <c r="I477" s="357">
        <f t="shared" ca="1" si="216"/>
        <v>265.6866784855743</v>
      </c>
      <c r="J477" s="359">
        <f t="shared" ca="1" si="217"/>
        <v>177.10453765608938</v>
      </c>
      <c r="K477" s="360">
        <f t="shared" ca="1" si="218"/>
        <v>767.50483822336014</v>
      </c>
      <c r="L477" s="357">
        <f t="shared" ca="1" si="203"/>
        <v>787.67359607558467</v>
      </c>
      <c r="M477" s="359">
        <f t="shared" ca="1" si="219"/>
        <v>1.3268819310955635</v>
      </c>
      <c r="N477" s="357">
        <f t="shared" ca="1" si="220"/>
        <v>76.024734563944293</v>
      </c>
      <c r="O477" s="343"/>
      <c r="P477" s="363">
        <f t="shared" ca="1" si="221"/>
        <v>23</v>
      </c>
      <c r="Q477" s="357">
        <f t="shared" ca="1" si="222"/>
        <v>0</v>
      </c>
      <c r="R477" s="359">
        <f t="shared" ca="1" si="223"/>
        <v>0</v>
      </c>
      <c r="S477" s="360">
        <f t="shared" ca="1" si="224"/>
        <v>9.637999999999975</v>
      </c>
      <c r="T477" s="357">
        <f t="shared" ca="1" si="204"/>
        <v>94.548779999999766</v>
      </c>
      <c r="U477" s="364">
        <f t="shared" ca="1" si="205"/>
        <v>0</v>
      </c>
      <c r="V477" s="359">
        <f t="shared" ca="1" si="206"/>
        <v>1.1344553308981868</v>
      </c>
      <c r="W477" s="357">
        <f t="shared" ca="1" si="207"/>
        <v>181.26192046501245</v>
      </c>
      <c r="X477" s="343"/>
      <c r="Y477" s="367" t="str">
        <f t="shared" ca="1" si="225"/>
        <v/>
      </c>
      <c r="Z477" s="368" t="str">
        <f t="shared" ca="1" si="226"/>
        <v/>
      </c>
      <c r="AA477" s="369" t="str">
        <f t="shared" ca="1" si="227"/>
        <v/>
      </c>
      <c r="AB477" s="344"/>
      <c r="AC477" s="363" t="e">
        <f t="shared" ca="1" si="228"/>
        <v>#N/A</v>
      </c>
      <c r="AD477" s="376" t="e">
        <f t="shared" ca="1" si="229"/>
        <v>#N/A</v>
      </c>
      <c r="AE477" s="377">
        <f t="shared" ca="1" si="208"/>
        <v>767.50483822336014</v>
      </c>
      <c r="AF477" s="344"/>
      <c r="AG477" s="359">
        <f t="shared" ca="1" si="230"/>
        <v>-28.371899361953815</v>
      </c>
      <c r="AH477" s="357">
        <f t="shared" ca="1" si="231"/>
        <v>-18.852063496946084</v>
      </c>
    </row>
    <row r="478" spans="1:34" x14ac:dyDescent="0.25">
      <c r="A478" s="402">
        <f t="shared" ca="1" si="209"/>
        <v>0.01</v>
      </c>
      <c r="B478" s="357">
        <f t="shared" ca="1" si="210"/>
        <v>4.7399999999999434</v>
      </c>
      <c r="C478" s="342"/>
      <c r="D478" s="359">
        <f t="shared" ca="1" si="211"/>
        <v>-4.5419482258023365</v>
      </c>
      <c r="E478" s="360">
        <f t="shared" ca="1" si="212"/>
        <v>-28.060319664967814</v>
      </c>
      <c r="F478" s="357">
        <f t="shared" ca="1" si="213"/>
        <v>28.425531365060678</v>
      </c>
      <c r="G478" s="359">
        <f t="shared" ca="1" si="214"/>
        <v>64.118709585157447</v>
      </c>
      <c r="H478" s="360">
        <f t="shared" ca="1" si="215"/>
        <v>257.54176911754064</v>
      </c>
      <c r="I478" s="357">
        <f t="shared" ca="1" si="216"/>
        <v>265.40341323927686</v>
      </c>
      <c r="J478" s="359">
        <f t="shared" ca="1" si="217"/>
        <v>177.74595184935225</v>
      </c>
      <c r="K478" s="360">
        <f t="shared" ca="1" si="218"/>
        <v>770.08165893051876</v>
      </c>
      <c r="L478" s="357">
        <f t="shared" ca="1" si="203"/>
        <v>790.32865620576615</v>
      </c>
      <c r="M478" s="359">
        <f t="shared" ca="1" si="219"/>
        <v>1.326792665310585</v>
      </c>
      <c r="N478" s="357">
        <f t="shared" ca="1" si="220"/>
        <v>76.019620011210108</v>
      </c>
      <c r="O478" s="343"/>
      <c r="P478" s="363">
        <f t="shared" ca="1" si="221"/>
        <v>23</v>
      </c>
      <c r="Q478" s="357">
        <f t="shared" ca="1" si="222"/>
        <v>0</v>
      </c>
      <c r="R478" s="359">
        <f t="shared" ca="1" si="223"/>
        <v>0</v>
      </c>
      <c r="S478" s="360">
        <f t="shared" ca="1" si="224"/>
        <v>9.637999999999975</v>
      </c>
      <c r="T478" s="357">
        <f t="shared" ca="1" si="204"/>
        <v>94.548779999999766</v>
      </c>
      <c r="U478" s="364">
        <f t="shared" ca="1" si="205"/>
        <v>0</v>
      </c>
      <c r="V478" s="359">
        <f t="shared" ca="1" si="206"/>
        <v>1.1341626072847653</v>
      </c>
      <c r="W478" s="357">
        <f t="shared" ca="1" si="207"/>
        <v>180.82894572978347</v>
      </c>
      <c r="X478" s="343"/>
      <c r="Y478" s="367" t="str">
        <f t="shared" ca="1" si="225"/>
        <v/>
      </c>
      <c r="Z478" s="368" t="str">
        <f t="shared" ca="1" si="226"/>
        <v/>
      </c>
      <c r="AA478" s="369" t="str">
        <f t="shared" ca="1" si="227"/>
        <v/>
      </c>
      <c r="AB478" s="344"/>
      <c r="AC478" s="363" t="e">
        <f t="shared" ca="1" si="228"/>
        <v>#N/A</v>
      </c>
      <c r="AD478" s="376" t="e">
        <f t="shared" ca="1" si="229"/>
        <v>#N/A</v>
      </c>
      <c r="AE478" s="377">
        <f t="shared" ca="1" si="208"/>
        <v>770.08165893051876</v>
      </c>
      <c r="AF478" s="344"/>
      <c r="AG478" s="359">
        <f t="shared" ca="1" si="230"/>
        <v>-28.326630371507544</v>
      </c>
      <c r="AH478" s="357">
        <f t="shared" ca="1" si="231"/>
        <v>-18.807005651070028</v>
      </c>
    </row>
    <row r="479" spans="1:34" x14ac:dyDescent="0.25">
      <c r="A479" s="402">
        <f t="shared" ca="1" si="209"/>
        <v>0.01</v>
      </c>
      <c r="B479" s="357">
        <f t="shared" ca="1" si="210"/>
        <v>4.7499999999999432</v>
      </c>
      <c r="C479" s="342"/>
      <c r="D479" s="359">
        <f t="shared" ca="1" si="211"/>
        <v>-4.5327242343579641</v>
      </c>
      <c r="E479" s="360">
        <f t="shared" ca="1" si="212"/>
        <v>-28.016321146998379</v>
      </c>
      <c r="F479" s="357">
        <f t="shared" ca="1" si="213"/>
        <v>28.380624369391253</v>
      </c>
      <c r="G479" s="359">
        <f t="shared" ca="1" si="214"/>
        <v>64.073382342813872</v>
      </c>
      <c r="H479" s="360">
        <f t="shared" ca="1" si="215"/>
        <v>257.26160590607066</v>
      </c>
      <c r="I479" s="357">
        <f t="shared" ca="1" si="216"/>
        <v>265.12059934720054</v>
      </c>
      <c r="J479" s="359">
        <f t="shared" ca="1" si="217"/>
        <v>178.38691230899212</v>
      </c>
      <c r="K479" s="360">
        <f t="shared" ca="1" si="218"/>
        <v>772.65567580563686</v>
      </c>
      <c r="L479" s="357">
        <f t="shared" ca="1" si="203"/>
        <v>792.98088491325029</v>
      </c>
      <c r="M479" s="359">
        <f t="shared" ca="1" si="219"/>
        <v>1.326703272250406</v>
      </c>
      <c r="N479" s="357">
        <f t="shared" ca="1" si="220"/>
        <v>76.014498166144094</v>
      </c>
      <c r="O479" s="343"/>
      <c r="P479" s="363">
        <f t="shared" ca="1" si="221"/>
        <v>23</v>
      </c>
      <c r="Q479" s="357">
        <f t="shared" ca="1" si="222"/>
        <v>0</v>
      </c>
      <c r="R479" s="359">
        <f t="shared" ca="1" si="223"/>
        <v>0</v>
      </c>
      <c r="S479" s="360">
        <f t="shared" ca="1" si="224"/>
        <v>9.637999999999975</v>
      </c>
      <c r="T479" s="357">
        <f t="shared" ca="1" si="204"/>
        <v>94.548779999999766</v>
      </c>
      <c r="U479" s="364">
        <f t="shared" ca="1" si="205"/>
        <v>0</v>
      </c>
      <c r="V479" s="359">
        <f t="shared" ca="1" si="206"/>
        <v>1.1338702746886316</v>
      </c>
      <c r="W479" s="357">
        <f t="shared" ca="1" si="207"/>
        <v>180.39725866340709</v>
      </c>
      <c r="X479" s="343"/>
      <c r="Y479" s="367" t="str">
        <f t="shared" ca="1" si="225"/>
        <v/>
      </c>
      <c r="Z479" s="368" t="str">
        <f t="shared" ca="1" si="226"/>
        <v/>
      </c>
      <c r="AA479" s="369" t="str">
        <f t="shared" ca="1" si="227"/>
        <v/>
      </c>
      <c r="AB479" s="344"/>
      <c r="AC479" s="363" t="e">
        <f t="shared" ca="1" si="228"/>
        <v>#N/A</v>
      </c>
      <c r="AD479" s="376" t="e">
        <f t="shared" ca="1" si="229"/>
        <v>#N/A</v>
      </c>
      <c r="AE479" s="377">
        <f t="shared" ca="1" si="208"/>
        <v>772.65567580563686</v>
      </c>
      <c r="AF479" s="344"/>
      <c r="AG479" s="359">
        <f t="shared" ca="1" si="230"/>
        <v>-28.281495138151907</v>
      </c>
      <c r="AH479" s="357">
        <f t="shared" ca="1" si="231"/>
        <v>-18.762081939176586</v>
      </c>
    </row>
    <row r="480" spans="1:34" x14ac:dyDescent="0.25">
      <c r="A480" s="402">
        <f t="shared" ca="1" si="209"/>
        <v>0.01</v>
      </c>
      <c r="B480" s="357">
        <f t="shared" ca="1" si="210"/>
        <v>4.7599999999999429</v>
      </c>
      <c r="C480" s="342"/>
      <c r="D480" s="359">
        <f t="shared" ca="1" si="211"/>
        <v>-4.5235270244469108</v>
      </c>
      <c r="E480" s="360">
        <f t="shared" ca="1" si="212"/>
        <v>-27.972453488757324</v>
      </c>
      <c r="F480" s="357">
        <f t="shared" ca="1" si="213"/>
        <v>28.335850982837862</v>
      </c>
      <c r="G480" s="359">
        <f t="shared" ca="1" si="214"/>
        <v>64.028147072569396</v>
      </c>
      <c r="H480" s="360">
        <f t="shared" ca="1" si="215"/>
        <v>256.98188137118308</v>
      </c>
      <c r="I480" s="357">
        <f t="shared" ca="1" si="216"/>
        <v>264.83823547709153</v>
      </c>
      <c r="J480" s="359">
        <f t="shared" ca="1" si="217"/>
        <v>179.02741995606905</v>
      </c>
      <c r="K480" s="360">
        <f t="shared" ca="1" si="218"/>
        <v>775.22689324202315</v>
      </c>
      <c r="L480" s="357">
        <f t="shared" ca="1" si="203"/>
        <v>795.63028669213304</v>
      </c>
      <c r="M480" s="359">
        <f t="shared" ca="1" si="219"/>
        <v>1.3266137517502801</v>
      </c>
      <c r="N480" s="357">
        <f t="shared" ca="1" si="220"/>
        <v>76.009369019306973</v>
      </c>
      <c r="O480" s="343"/>
      <c r="P480" s="363">
        <f t="shared" ca="1" si="221"/>
        <v>23</v>
      </c>
      <c r="Q480" s="357">
        <f t="shared" ca="1" si="222"/>
        <v>0</v>
      </c>
      <c r="R480" s="359">
        <f t="shared" ca="1" si="223"/>
        <v>0</v>
      </c>
      <c r="S480" s="360">
        <f t="shared" ca="1" si="224"/>
        <v>9.637999999999975</v>
      </c>
      <c r="T480" s="357">
        <f t="shared" ca="1" si="204"/>
        <v>94.548779999999766</v>
      </c>
      <c r="U480" s="364">
        <f t="shared" ca="1" si="205"/>
        <v>0</v>
      </c>
      <c r="V480" s="359">
        <f t="shared" ca="1" si="206"/>
        <v>1.1335783323473216</v>
      </c>
      <c r="W480" s="357">
        <f t="shared" ca="1" si="207"/>
        <v>179.96685417700664</v>
      </c>
      <c r="X480" s="343"/>
      <c r="Y480" s="367" t="str">
        <f t="shared" ca="1" si="225"/>
        <v/>
      </c>
      <c r="Z480" s="368" t="str">
        <f t="shared" ca="1" si="226"/>
        <v/>
      </c>
      <c r="AA480" s="369" t="str">
        <f t="shared" ca="1" si="227"/>
        <v/>
      </c>
      <c r="AB480" s="344"/>
      <c r="AC480" s="363" t="e">
        <f t="shared" ca="1" si="228"/>
        <v>#N/A</v>
      </c>
      <c r="AD480" s="376" t="e">
        <f t="shared" ca="1" si="229"/>
        <v>#N/A</v>
      </c>
      <c r="AE480" s="377">
        <f t="shared" ca="1" si="208"/>
        <v>775.22689324202315</v>
      </c>
      <c r="AF480" s="344"/>
      <c r="AG480" s="359">
        <f t="shared" ca="1" si="230"/>
        <v>-28.236493130517903</v>
      </c>
      <c r="AH480" s="357">
        <f t="shared" ca="1" si="231"/>
        <v>-18.717291830608794</v>
      </c>
    </row>
    <row r="481" spans="1:34" x14ac:dyDescent="0.25">
      <c r="A481" s="402">
        <f t="shared" ca="1" si="209"/>
        <v>0.01</v>
      </c>
      <c r="B481" s="357">
        <f t="shared" ca="1" si="210"/>
        <v>4.7699999999999427</v>
      </c>
      <c r="C481" s="342"/>
      <c r="D481" s="359">
        <f t="shared" ca="1" si="211"/>
        <v>-4.5143564896674508</v>
      </c>
      <c r="E481" s="360">
        <f t="shared" ca="1" si="212"/>
        <v>-27.928716173061936</v>
      </c>
      <c r="F481" s="357">
        <f t="shared" ca="1" si="213"/>
        <v>28.291210677368582</v>
      </c>
      <c r="G481" s="359">
        <f t="shared" ca="1" si="214"/>
        <v>63.98300350767272</v>
      </c>
      <c r="H481" s="360">
        <f t="shared" ca="1" si="215"/>
        <v>256.70259420945246</v>
      </c>
      <c r="I481" s="357">
        <f t="shared" ca="1" si="216"/>
        <v>264.55632030198348</v>
      </c>
      <c r="J481" s="359">
        <f t="shared" ca="1" si="217"/>
        <v>179.66747570897027</v>
      </c>
      <c r="K481" s="360">
        <f t="shared" ca="1" si="218"/>
        <v>777.79531561992633</v>
      </c>
      <c r="L481" s="357">
        <f t="shared" ca="1" si="203"/>
        <v>798.27686602327026</v>
      </c>
      <c r="M481" s="359">
        <f t="shared" ca="1" si="219"/>
        <v>1.326524103645079</v>
      </c>
      <c r="N481" s="357">
        <f t="shared" ca="1" si="220"/>
        <v>76.004232561237615</v>
      </c>
      <c r="O481" s="343"/>
      <c r="P481" s="363">
        <f t="shared" ca="1" si="221"/>
        <v>23</v>
      </c>
      <c r="Q481" s="357">
        <f t="shared" ca="1" si="222"/>
        <v>0</v>
      </c>
      <c r="R481" s="359">
        <f t="shared" ca="1" si="223"/>
        <v>0</v>
      </c>
      <c r="S481" s="360">
        <f t="shared" ca="1" si="224"/>
        <v>9.637999999999975</v>
      </c>
      <c r="T481" s="357">
        <f t="shared" ca="1" si="204"/>
        <v>94.548779999999766</v>
      </c>
      <c r="U481" s="364">
        <f t="shared" ca="1" si="205"/>
        <v>0</v>
      </c>
      <c r="V481" s="359">
        <f t="shared" ca="1" si="206"/>
        <v>1.1332867795007944</v>
      </c>
      <c r="W481" s="357">
        <f t="shared" ca="1" si="207"/>
        <v>179.53772720714653</v>
      </c>
      <c r="X481" s="343"/>
      <c r="Y481" s="367" t="str">
        <f t="shared" ca="1" si="225"/>
        <v/>
      </c>
      <c r="Z481" s="368" t="str">
        <f t="shared" ca="1" si="226"/>
        <v/>
      </c>
      <c r="AA481" s="369" t="str">
        <f t="shared" ca="1" si="227"/>
        <v/>
      </c>
      <c r="AB481" s="344"/>
      <c r="AC481" s="363" t="e">
        <f t="shared" ca="1" si="228"/>
        <v>#N/A</v>
      </c>
      <c r="AD481" s="376" t="e">
        <f t="shared" ca="1" si="229"/>
        <v>#N/A</v>
      </c>
      <c r="AE481" s="377">
        <f t="shared" ca="1" si="208"/>
        <v>777.79531561992633</v>
      </c>
      <c r="AF481" s="344"/>
      <c r="AG481" s="359">
        <f t="shared" ca="1" si="230"/>
        <v>-28.191623819890264</v>
      </c>
      <c r="AH481" s="357">
        <f t="shared" ca="1" si="231"/>
        <v>-18.672634797365337</v>
      </c>
    </row>
    <row r="482" spans="1:34" x14ac:dyDescent="0.25">
      <c r="A482" s="402">
        <f t="shared" ca="1" si="209"/>
        <v>0.01</v>
      </c>
      <c r="B482" s="357">
        <f t="shared" ca="1" si="210"/>
        <v>4.7799999999999425</v>
      </c>
      <c r="C482" s="342"/>
      <c r="D482" s="359">
        <f t="shared" ca="1" si="211"/>
        <v>-4.5052125241494387</v>
      </c>
      <c r="E482" s="360">
        <f t="shared" ca="1" si="212"/>
        <v>-27.885108685315025</v>
      </c>
      <c r="F482" s="357">
        <f t="shared" ca="1" si="213"/>
        <v>28.246702927591116</v>
      </c>
      <c r="G482" s="359">
        <f t="shared" ca="1" si="214"/>
        <v>63.937951382431223</v>
      </c>
      <c r="H482" s="360">
        <f t="shared" ca="1" si="215"/>
        <v>256.42374312259932</v>
      </c>
      <c r="I482" s="357">
        <f t="shared" ca="1" si="216"/>
        <v>264.2748525001706</v>
      </c>
      <c r="J482" s="359">
        <f t="shared" ca="1" si="217"/>
        <v>180.3070804834208</v>
      </c>
      <c r="K482" s="360">
        <f t="shared" ca="1" si="218"/>
        <v>780.36094730658658</v>
      </c>
      <c r="L482" s="357">
        <f t="shared" ca="1" si="203"/>
        <v>800.92062737432843</v>
      </c>
      <c r="M482" s="359">
        <f t="shared" ca="1" si="219"/>
        <v>1.32643432776929</v>
      </c>
      <c r="N482" s="357">
        <f t="shared" ca="1" si="220"/>
        <v>75.999088782452816</v>
      </c>
      <c r="O482" s="343"/>
      <c r="P482" s="363">
        <f t="shared" ca="1" si="221"/>
        <v>23</v>
      </c>
      <c r="Q482" s="357">
        <f t="shared" ca="1" si="222"/>
        <v>0</v>
      </c>
      <c r="R482" s="359">
        <f t="shared" ca="1" si="223"/>
        <v>0</v>
      </c>
      <c r="S482" s="360">
        <f t="shared" ca="1" si="224"/>
        <v>9.637999999999975</v>
      </c>
      <c r="T482" s="357">
        <f t="shared" ca="1" si="204"/>
        <v>94.548779999999766</v>
      </c>
      <c r="U482" s="364">
        <f t="shared" ca="1" si="205"/>
        <v>0</v>
      </c>
      <c r="V482" s="359">
        <f t="shared" ca="1" si="206"/>
        <v>1.1329956153914187</v>
      </c>
      <c r="W482" s="357">
        <f t="shared" ca="1" si="207"/>
        <v>179.10987271567799</v>
      </c>
      <c r="X482" s="343"/>
      <c r="Y482" s="367" t="str">
        <f t="shared" ca="1" si="225"/>
        <v/>
      </c>
      <c r="Z482" s="368" t="str">
        <f t="shared" ca="1" si="226"/>
        <v/>
      </c>
      <c r="AA482" s="369" t="str">
        <f t="shared" ca="1" si="227"/>
        <v/>
      </c>
      <c r="AB482" s="344"/>
      <c r="AC482" s="363" t="e">
        <f t="shared" ca="1" si="228"/>
        <v>#N/A</v>
      </c>
      <c r="AD482" s="376" t="e">
        <f t="shared" ca="1" si="229"/>
        <v>#N/A</v>
      </c>
      <c r="AE482" s="377">
        <f t="shared" ca="1" si="208"/>
        <v>780.36094730658658</v>
      </c>
      <c r="AF482" s="344"/>
      <c r="AG482" s="359">
        <f t="shared" ca="1" si="230"/>
        <v>-28.146886680191468</v>
      </c>
      <c r="AH482" s="357">
        <f t="shared" ca="1" si="231"/>
        <v>-18.628110314084562</v>
      </c>
    </row>
    <row r="483" spans="1:34" x14ac:dyDescent="0.25">
      <c r="A483" s="402">
        <f t="shared" ca="1" si="209"/>
        <v>0.01</v>
      </c>
      <c r="B483" s="357">
        <f t="shared" ca="1" si="210"/>
        <v>4.7899999999999423</v>
      </c>
      <c r="C483" s="342"/>
      <c r="D483" s="359">
        <f t="shared" ca="1" si="211"/>
        <v>-4.4960950225511027</v>
      </c>
      <c r="E483" s="360">
        <f t="shared" ca="1" si="212"/>
        <v>-27.841630513489278</v>
      </c>
      <c r="F483" s="357">
        <f t="shared" ca="1" si="213"/>
        <v>28.202327210736811</v>
      </c>
      <c r="G483" s="359">
        <f t="shared" ca="1" si="214"/>
        <v>63.892990432205714</v>
      </c>
      <c r="H483" s="360">
        <f t="shared" ca="1" si="215"/>
        <v>256.14532681746442</v>
      </c>
      <c r="I483" s="357">
        <f t="shared" ca="1" si="216"/>
        <v>263.99383075518182</v>
      </c>
      <c r="J483" s="359">
        <f t="shared" ca="1" si="217"/>
        <v>180.94623519249399</v>
      </c>
      <c r="K483" s="360">
        <f t="shared" ca="1" si="218"/>
        <v>782.92379265628688</v>
      </c>
      <c r="L483" s="357">
        <f t="shared" ca="1" si="203"/>
        <v>803.56157519983606</v>
      </c>
      <c r="M483" s="359">
        <f t="shared" ca="1" si="219"/>
        <v>1.326344423957017</v>
      </c>
      <c r="N483" s="357">
        <f t="shared" ca="1" si="220"/>
        <v>75.993937673447434</v>
      </c>
      <c r="O483" s="343"/>
      <c r="P483" s="363">
        <f t="shared" ca="1" si="221"/>
        <v>23</v>
      </c>
      <c r="Q483" s="357">
        <f t="shared" ca="1" si="222"/>
        <v>0</v>
      </c>
      <c r="R483" s="359">
        <f t="shared" ca="1" si="223"/>
        <v>0</v>
      </c>
      <c r="S483" s="360">
        <f t="shared" ca="1" si="224"/>
        <v>9.637999999999975</v>
      </c>
      <c r="T483" s="357">
        <f t="shared" ca="1" si="204"/>
        <v>94.548779999999766</v>
      </c>
      <c r="U483" s="364">
        <f t="shared" ca="1" si="205"/>
        <v>0</v>
      </c>
      <c r="V483" s="359">
        <f t="shared" ca="1" si="206"/>
        <v>1.1327048392639687</v>
      </c>
      <c r="W483" s="357">
        <f t="shared" ca="1" si="207"/>
        <v>178.68328568958816</v>
      </c>
      <c r="X483" s="343"/>
      <c r="Y483" s="367" t="str">
        <f t="shared" ca="1" si="225"/>
        <v/>
      </c>
      <c r="Z483" s="368" t="str">
        <f t="shared" ca="1" si="226"/>
        <v/>
      </c>
      <c r="AA483" s="369" t="str">
        <f t="shared" ca="1" si="227"/>
        <v/>
      </c>
      <c r="AB483" s="344"/>
      <c r="AC483" s="363" t="e">
        <f t="shared" ca="1" si="228"/>
        <v>#N/A</v>
      </c>
      <c r="AD483" s="376" t="e">
        <f t="shared" ca="1" si="229"/>
        <v>#N/A</v>
      </c>
      <c r="AE483" s="377">
        <f t="shared" ca="1" si="208"/>
        <v>782.92379265628688</v>
      </c>
      <c r="AF483" s="344"/>
      <c r="AG483" s="359">
        <f t="shared" ca="1" si="230"/>
        <v>-28.102281187965723</v>
      </c>
      <c r="AH483" s="357">
        <f t="shared" ca="1" si="231"/>
        <v>-18.583717858028475</v>
      </c>
    </row>
    <row r="484" spans="1:34" x14ac:dyDescent="0.25">
      <c r="A484" s="402">
        <f t="shared" ca="1" si="209"/>
        <v>0.01</v>
      </c>
      <c r="B484" s="357">
        <f t="shared" ca="1" si="210"/>
        <v>4.7999999999999421</v>
      </c>
      <c r="C484" s="342"/>
      <c r="D484" s="359">
        <f t="shared" ca="1" si="211"/>
        <v>-4.4870038800558714</v>
      </c>
      <c r="E484" s="360">
        <f t="shared" ca="1" si="212"/>
        <v>-27.798281148111933</v>
      </c>
      <c r="F484" s="357">
        <f t="shared" ca="1" si="213"/>
        <v>28.158083006645032</v>
      </c>
      <c r="G484" s="359">
        <f t="shared" ca="1" si="214"/>
        <v>63.848120393405154</v>
      </c>
      <c r="H484" s="360">
        <f t="shared" ca="1" si="215"/>
        <v>255.86734400598331</v>
      </c>
      <c r="I484" s="357">
        <f t="shared" ca="1" si="216"/>
        <v>263.71325375575452</v>
      </c>
      <c r="J484" s="359">
        <f t="shared" ca="1" si="217"/>
        <v>181.58494074662204</v>
      </c>
      <c r="K484" s="360">
        <f t="shared" ca="1" si="218"/>
        <v>785.48385601040411</v>
      </c>
      <c r="L484" s="357">
        <f t="shared" ca="1" si="203"/>
        <v>806.19971394123399</v>
      </c>
      <c r="M484" s="359">
        <f t="shared" ca="1" si="219"/>
        <v>1.3262543920419774</v>
      </c>
      <c r="N484" s="357">
        <f t="shared" ca="1" si="220"/>
        <v>75.988779224694184</v>
      </c>
      <c r="O484" s="343"/>
      <c r="P484" s="363">
        <f t="shared" ca="1" si="221"/>
        <v>23</v>
      </c>
      <c r="Q484" s="357">
        <f t="shared" ca="1" si="222"/>
        <v>0</v>
      </c>
      <c r="R484" s="359">
        <f t="shared" ca="1" si="223"/>
        <v>0</v>
      </c>
      <c r="S484" s="360">
        <f t="shared" ca="1" si="224"/>
        <v>9.637999999999975</v>
      </c>
      <c r="T484" s="357">
        <f t="shared" ca="1" si="204"/>
        <v>94.548779999999766</v>
      </c>
      <c r="U484" s="364">
        <f t="shared" ca="1" si="205"/>
        <v>0</v>
      </c>
      <c r="V484" s="359">
        <f t="shared" ca="1" si="206"/>
        <v>1.1324144503656088</v>
      </c>
      <c r="W484" s="357">
        <f t="shared" ca="1" si="207"/>
        <v>178.2579611408479</v>
      </c>
      <c r="X484" s="343"/>
      <c r="Y484" s="367" t="str">
        <f t="shared" ca="1" si="225"/>
        <v/>
      </c>
      <c r="Z484" s="368" t="str">
        <f t="shared" ca="1" si="226"/>
        <v/>
      </c>
      <c r="AA484" s="369" t="str">
        <f t="shared" ca="1" si="227"/>
        <v/>
      </c>
      <c r="AB484" s="344"/>
      <c r="AC484" s="363" t="e">
        <f t="shared" ca="1" si="228"/>
        <v>#N/A</v>
      </c>
      <c r="AD484" s="376" t="e">
        <f t="shared" ca="1" si="229"/>
        <v>#N/A</v>
      </c>
      <c r="AE484" s="377">
        <f t="shared" ca="1" si="208"/>
        <v>785.48385601040411</v>
      </c>
      <c r="AF484" s="344"/>
      <c r="AG484" s="359">
        <f t="shared" ca="1" si="230"/>
        <v>-28.057806822363329</v>
      </c>
      <c r="AH484" s="357">
        <f t="shared" ca="1" si="231"/>
        <v>-18.539456909067091</v>
      </c>
    </row>
    <row r="485" spans="1:34" x14ac:dyDescent="0.25">
      <c r="A485" s="402">
        <f t="shared" ca="1" si="209"/>
        <v>0.01</v>
      </c>
      <c r="B485" s="357">
        <f t="shared" ca="1" si="210"/>
        <v>4.8099999999999419</v>
      </c>
      <c r="C485" s="342"/>
      <c r="D485" s="359">
        <f t="shared" ca="1" si="211"/>
        <v>-4.4779389923692143</v>
      </c>
      <c r="E485" s="360">
        <f t="shared" ca="1" si="212"/>
        <v>-27.755060082249258</v>
      </c>
      <c r="F485" s="357">
        <f t="shared" ca="1" si="213"/>
        <v>28.113969797747291</v>
      </c>
      <c r="G485" s="359">
        <f t="shared" ca="1" si="214"/>
        <v>63.803341003481464</v>
      </c>
      <c r="H485" s="360">
        <f t="shared" ca="1" si="215"/>
        <v>255.58979340516083</v>
      </c>
      <c r="I485" s="357">
        <f t="shared" ca="1" si="216"/>
        <v>263.43312019580861</v>
      </c>
      <c r="J485" s="359">
        <f t="shared" ca="1" si="217"/>
        <v>182.22319805360647</v>
      </c>
      <c r="K485" s="360">
        <f t="shared" ca="1" si="218"/>
        <v>788.04114169745981</v>
      </c>
      <c r="L485" s="357">
        <f t="shared" ca="1" si="203"/>
        <v>808.83504802692607</v>
      </c>
      <c r="M485" s="359">
        <f t="shared" ca="1" si="219"/>
        <v>1.3261642318575031</v>
      </c>
      <c r="N485" s="357">
        <f t="shared" ca="1" si="220"/>
        <v>75.983613426643686</v>
      </c>
      <c r="O485" s="343"/>
      <c r="P485" s="363">
        <f t="shared" ca="1" si="221"/>
        <v>23</v>
      </c>
      <c r="Q485" s="357">
        <f t="shared" ca="1" si="222"/>
        <v>0</v>
      </c>
      <c r="R485" s="359">
        <f t="shared" ca="1" si="223"/>
        <v>0</v>
      </c>
      <c r="S485" s="360">
        <f t="shared" ca="1" si="224"/>
        <v>9.637999999999975</v>
      </c>
      <c r="T485" s="357">
        <f t="shared" ca="1" si="204"/>
        <v>94.548779999999766</v>
      </c>
      <c r="U485" s="364">
        <f t="shared" ca="1" si="205"/>
        <v>0</v>
      </c>
      <c r="V485" s="359">
        <f t="shared" ca="1" si="206"/>
        <v>1.1321244479458865</v>
      </c>
      <c r="W485" s="357">
        <f t="shared" ca="1" si="207"/>
        <v>177.83389410626185</v>
      </c>
      <c r="X485" s="343"/>
      <c r="Y485" s="367" t="str">
        <f t="shared" ca="1" si="225"/>
        <v/>
      </c>
      <c r="Z485" s="368" t="str">
        <f t="shared" ca="1" si="226"/>
        <v/>
      </c>
      <c r="AA485" s="369" t="str">
        <f t="shared" ca="1" si="227"/>
        <v/>
      </c>
      <c r="AB485" s="344"/>
      <c r="AC485" s="363" t="e">
        <f t="shared" ca="1" si="228"/>
        <v>#N/A</v>
      </c>
      <c r="AD485" s="376" t="e">
        <f t="shared" ca="1" si="229"/>
        <v>#N/A</v>
      </c>
      <c r="AE485" s="377">
        <f t="shared" ca="1" si="208"/>
        <v>788.04114169745981</v>
      </c>
      <c r="AF485" s="344"/>
      <c r="AG485" s="359">
        <f t="shared" ca="1" si="230"/>
        <v>-28.013463065124832</v>
      </c>
      <c r="AH485" s="357">
        <f t="shared" ca="1" si="231"/>
        <v>-18.495326949662623</v>
      </c>
    </row>
    <row r="486" spans="1:34" x14ac:dyDescent="0.25">
      <c r="A486" s="402">
        <f t="shared" ca="1" si="209"/>
        <v>0.01</v>
      </c>
      <c r="B486" s="357">
        <f t="shared" ca="1" si="210"/>
        <v>4.8199999999999417</v>
      </c>
      <c r="C486" s="342"/>
      <c r="D486" s="359">
        <f t="shared" ca="1" si="211"/>
        <v>-4.468900255715492</v>
      </c>
      <c r="E486" s="360">
        <f t="shared" ca="1" si="212"/>
        <v>-27.711966811491394</v>
      </c>
      <c r="F486" s="357">
        <f t="shared" ca="1" si="213"/>
        <v>28.069987069051788</v>
      </c>
      <c r="G486" s="359">
        <f t="shared" ca="1" si="214"/>
        <v>63.758652000924307</v>
      </c>
      <c r="H486" s="360">
        <f t="shared" ca="1" si="215"/>
        <v>255.31267373704591</v>
      </c>
      <c r="I486" s="357">
        <f t="shared" ca="1" si="216"/>
        <v>263.15342877442089</v>
      </c>
      <c r="J486" s="359">
        <f t="shared" ca="1" si="217"/>
        <v>182.8610080186285</v>
      </c>
      <c r="K486" s="360">
        <f t="shared" ca="1" si="218"/>
        <v>790.59565403317083</v>
      </c>
      <c r="L486" s="357">
        <f t="shared" ca="1" si="203"/>
        <v>811.46758187232967</v>
      </c>
      <c r="M486" s="359">
        <f t="shared" ca="1" si="219"/>
        <v>1.3260739432365383</v>
      </c>
      <c r="N486" s="357">
        <f t="shared" ca="1" si="220"/>
        <v>75.978440269724345</v>
      </c>
      <c r="O486" s="343"/>
      <c r="P486" s="363">
        <f t="shared" ca="1" si="221"/>
        <v>23</v>
      </c>
      <c r="Q486" s="357">
        <f t="shared" ca="1" si="222"/>
        <v>0</v>
      </c>
      <c r="R486" s="359">
        <f t="shared" ca="1" si="223"/>
        <v>0</v>
      </c>
      <c r="S486" s="360">
        <f t="shared" ca="1" si="224"/>
        <v>9.637999999999975</v>
      </c>
      <c r="T486" s="357">
        <f t="shared" ca="1" si="204"/>
        <v>94.548779999999766</v>
      </c>
      <c r="U486" s="364">
        <f t="shared" ca="1" si="205"/>
        <v>0</v>
      </c>
      <c r="V486" s="359">
        <f t="shared" ca="1" si="206"/>
        <v>1.1318348312567217</v>
      </c>
      <c r="W486" s="357">
        <f t="shared" ca="1" si="207"/>
        <v>177.41107964731989</v>
      </c>
      <c r="X486" s="343"/>
      <c r="Y486" s="367" t="str">
        <f t="shared" ca="1" si="225"/>
        <v/>
      </c>
      <c r="Z486" s="368" t="str">
        <f t="shared" ca="1" si="226"/>
        <v/>
      </c>
      <c r="AA486" s="369" t="str">
        <f t="shared" ca="1" si="227"/>
        <v/>
      </c>
      <c r="AB486" s="344"/>
      <c r="AC486" s="363" t="e">
        <f t="shared" ca="1" si="228"/>
        <v>#N/A</v>
      </c>
      <c r="AD486" s="376" t="e">
        <f t="shared" ca="1" si="229"/>
        <v>#N/A</v>
      </c>
      <c r="AE486" s="377">
        <f t="shared" ca="1" si="208"/>
        <v>790.59565403317083</v>
      </c>
      <c r="AF486" s="344"/>
      <c r="AG486" s="359">
        <f t="shared" ca="1" si="230"/>
        <v>-27.969249400565509</v>
      </c>
      <c r="AH486" s="357">
        <f t="shared" ca="1" si="231"/>
        <v>-18.451327464853943</v>
      </c>
    </row>
    <row r="487" spans="1:34" x14ac:dyDescent="0.25">
      <c r="A487" s="402">
        <f t="shared" ca="1" si="209"/>
        <v>0.01</v>
      </c>
      <c r="B487" s="357">
        <f t="shared" ca="1" si="210"/>
        <v>4.8299999999999415</v>
      </c>
      <c r="C487" s="342"/>
      <c r="D487" s="359">
        <f t="shared" ca="1" si="211"/>
        <v>-4.459887566834869</v>
      </c>
      <c r="E487" s="360">
        <f t="shared" ca="1" si="212"/>
        <v>-27.66900083393719</v>
      </c>
      <c r="F487" s="357">
        <f t="shared" ca="1" si="213"/>
        <v>28.026134308127926</v>
      </c>
      <c r="G487" s="359">
        <f t="shared" ca="1" si="214"/>
        <v>63.714053125255958</v>
      </c>
      <c r="H487" s="360">
        <f t="shared" ca="1" si="215"/>
        <v>255.03598372870655</v>
      </c>
      <c r="I487" s="357">
        <f t="shared" ca="1" si="216"/>
        <v>262.87417819579963</v>
      </c>
      <c r="J487" s="359">
        <f t="shared" ca="1" si="217"/>
        <v>183.49837154425938</v>
      </c>
      <c r="K487" s="360">
        <f t="shared" ca="1" si="218"/>
        <v>793.14739732049964</v>
      </c>
      <c r="L487" s="357">
        <f t="shared" ca="1" si="203"/>
        <v>814.09731987992541</v>
      </c>
      <c r="M487" s="359">
        <f t="shared" ca="1" si="219"/>
        <v>1.3259835260116402</v>
      </c>
      <c r="N487" s="357">
        <f t="shared" ca="1" si="220"/>
        <v>75.9732597443424</v>
      </c>
      <c r="O487" s="343"/>
      <c r="P487" s="363">
        <f t="shared" ca="1" si="221"/>
        <v>23</v>
      </c>
      <c r="Q487" s="357">
        <f t="shared" ca="1" si="222"/>
        <v>0</v>
      </c>
      <c r="R487" s="359">
        <f t="shared" ca="1" si="223"/>
        <v>0</v>
      </c>
      <c r="S487" s="360">
        <f t="shared" ca="1" si="224"/>
        <v>9.637999999999975</v>
      </c>
      <c r="T487" s="357">
        <f t="shared" ca="1" si="204"/>
        <v>94.548779999999766</v>
      </c>
      <c r="U487" s="364">
        <f t="shared" ca="1" si="205"/>
        <v>0</v>
      </c>
      <c r="V487" s="359">
        <f t="shared" ca="1" si="206"/>
        <v>1.1315455995523971</v>
      </c>
      <c r="W487" s="357">
        <f t="shared" ca="1" si="207"/>
        <v>176.98951285004918</v>
      </c>
      <c r="X487" s="343"/>
      <c r="Y487" s="367" t="str">
        <f t="shared" ca="1" si="225"/>
        <v/>
      </c>
      <c r="Z487" s="368" t="str">
        <f t="shared" ca="1" si="226"/>
        <v/>
      </c>
      <c r="AA487" s="369" t="str">
        <f t="shared" ca="1" si="227"/>
        <v/>
      </c>
      <c r="AB487" s="344"/>
      <c r="AC487" s="363" t="e">
        <f t="shared" ca="1" si="228"/>
        <v>#N/A</v>
      </c>
      <c r="AD487" s="376" t="e">
        <f t="shared" ca="1" si="229"/>
        <v>#N/A</v>
      </c>
      <c r="AE487" s="377">
        <f t="shared" ca="1" si="208"/>
        <v>793.14739732049964</v>
      </c>
      <c r="AF487" s="344"/>
      <c r="AG487" s="359">
        <f t="shared" ca="1" si="230"/>
        <v>-27.92516531555993</v>
      </c>
      <c r="AH487" s="357">
        <f t="shared" ca="1" si="231"/>
        <v>-18.407457942241166</v>
      </c>
    </row>
    <row r="488" spans="1:34" x14ac:dyDescent="0.25">
      <c r="A488" s="402">
        <f t="shared" ca="1" si="209"/>
        <v>0.01</v>
      </c>
      <c r="B488" s="357">
        <f t="shared" ca="1" si="210"/>
        <v>4.8399999999999412</v>
      </c>
      <c r="C488" s="342"/>
      <c r="D488" s="359">
        <f t="shared" ca="1" si="211"/>
        <v>-4.450900822980195</v>
      </c>
      <c r="E488" s="360">
        <f t="shared" ca="1" si="212"/>
        <v>-27.626161650179178</v>
      </c>
      <c r="F488" s="357">
        <f t="shared" ca="1" si="213"/>
        <v>27.982411005090974</v>
      </c>
      <c r="G488" s="359">
        <f t="shared" ca="1" si="214"/>
        <v>63.669544117026156</v>
      </c>
      <c r="H488" s="360">
        <f t="shared" ca="1" si="215"/>
        <v>254.75972211220477</v>
      </c>
      <c r="I488" s="357">
        <f t="shared" ca="1" si="216"/>
        <v>262.59536716925857</v>
      </c>
      <c r="J488" s="359">
        <f t="shared" ca="1" si="217"/>
        <v>184.1352895304708</v>
      </c>
      <c r="K488" s="360">
        <f t="shared" ca="1" si="218"/>
        <v>795.69637584970417</v>
      </c>
      <c r="L488" s="357">
        <f t="shared" ca="1" si="203"/>
        <v>816.72426643930692</v>
      </c>
      <c r="M488" s="359">
        <f t="shared" ca="1" si="219"/>
        <v>1.3258929800149761</v>
      </c>
      <c r="N488" s="357">
        <f t="shared" ca="1" si="220"/>
        <v>75.968071840881734</v>
      </c>
      <c r="O488" s="343"/>
      <c r="P488" s="363">
        <f t="shared" ca="1" si="221"/>
        <v>23</v>
      </c>
      <c r="Q488" s="357">
        <f t="shared" ca="1" si="222"/>
        <v>0</v>
      </c>
      <c r="R488" s="359">
        <f t="shared" ca="1" si="223"/>
        <v>0</v>
      </c>
      <c r="S488" s="360">
        <f t="shared" ca="1" si="224"/>
        <v>9.637999999999975</v>
      </c>
      <c r="T488" s="357">
        <f t="shared" ca="1" si="204"/>
        <v>94.548779999999766</v>
      </c>
      <c r="U488" s="364">
        <f t="shared" ca="1" si="205"/>
        <v>0</v>
      </c>
      <c r="V488" s="359">
        <f t="shared" ca="1" si="206"/>
        <v>1.1312567520895478</v>
      </c>
      <c r="W488" s="357">
        <f t="shared" ca="1" si="207"/>
        <v>176.5691888248663</v>
      </c>
      <c r="X488" s="343"/>
      <c r="Y488" s="367" t="str">
        <f t="shared" ca="1" si="225"/>
        <v/>
      </c>
      <c r="Z488" s="368" t="str">
        <f t="shared" ca="1" si="226"/>
        <v/>
      </c>
      <c r="AA488" s="369" t="str">
        <f t="shared" ca="1" si="227"/>
        <v/>
      </c>
      <c r="AB488" s="344"/>
      <c r="AC488" s="363" t="e">
        <f t="shared" ca="1" si="228"/>
        <v>#N/A</v>
      </c>
      <c r="AD488" s="376" t="e">
        <f t="shared" ca="1" si="229"/>
        <v>#N/A</v>
      </c>
      <c r="AE488" s="377">
        <f t="shared" ca="1" si="208"/>
        <v>795.69637584970417</v>
      </c>
      <c r="AF488" s="344"/>
      <c r="AG488" s="359">
        <f t="shared" ca="1" si="230"/>
        <v>-27.8812102995266</v>
      </c>
      <c r="AH488" s="357">
        <f t="shared" ca="1" si="231"/>
        <v>-18.363717871970287</v>
      </c>
    </row>
    <row r="489" spans="1:34" x14ac:dyDescent="0.25">
      <c r="A489" s="402">
        <f t="shared" ca="1" si="209"/>
        <v>0.01</v>
      </c>
      <c r="B489" s="357">
        <f t="shared" ca="1" si="210"/>
        <v>4.849999999999941</v>
      </c>
      <c r="C489" s="342"/>
      <c r="D489" s="359">
        <f t="shared" ca="1" si="211"/>
        <v>-4.4419399219139493</v>
      </c>
      <c r="E489" s="360">
        <f t="shared" ca="1" si="212"/>
        <v>-27.58344876328858</v>
      </c>
      <c r="F489" s="357">
        <f t="shared" ca="1" si="213"/>
        <v>27.938816652586759</v>
      </c>
      <c r="G489" s="359">
        <f t="shared" ca="1" si="214"/>
        <v>63.625124717807019</v>
      </c>
      <c r="H489" s="360">
        <f t="shared" ca="1" si="215"/>
        <v>254.48388762457188</v>
      </c>
      <c r="I489" s="357">
        <f t="shared" ca="1" si="216"/>
        <v>262.31699440919232</v>
      </c>
      <c r="J489" s="359">
        <f t="shared" ca="1" si="217"/>
        <v>184.77176287464496</v>
      </c>
      <c r="K489" s="360">
        <f t="shared" ca="1" si="218"/>
        <v>798.24259389838801</v>
      </c>
      <c r="L489" s="357">
        <f t="shared" ca="1" si="203"/>
        <v>819.34842592723078</v>
      </c>
      <c r="M489" s="359">
        <f t="shared" ca="1" si="219"/>
        <v>1.3258023050783245</v>
      </c>
      <c r="N489" s="357">
        <f t="shared" ca="1" si="220"/>
        <v>75.962876549703992</v>
      </c>
      <c r="O489" s="343"/>
      <c r="P489" s="363">
        <f t="shared" ca="1" si="221"/>
        <v>23</v>
      </c>
      <c r="Q489" s="357">
        <f t="shared" ca="1" si="222"/>
        <v>0</v>
      </c>
      <c r="R489" s="359">
        <f t="shared" ca="1" si="223"/>
        <v>0</v>
      </c>
      <c r="S489" s="360">
        <f t="shared" ca="1" si="224"/>
        <v>9.637999999999975</v>
      </c>
      <c r="T489" s="357">
        <f t="shared" ca="1" si="204"/>
        <v>94.548779999999766</v>
      </c>
      <c r="U489" s="364">
        <f t="shared" ca="1" si="205"/>
        <v>0</v>
      </c>
      <c r="V489" s="359">
        <f t="shared" ca="1" si="206"/>
        <v>1.1309682881271521</v>
      </c>
      <c r="W489" s="357">
        <f t="shared" ca="1" si="207"/>
        <v>176.15010270643251</v>
      </c>
      <c r="X489" s="343"/>
      <c r="Y489" s="367" t="str">
        <f t="shared" ca="1" si="225"/>
        <v/>
      </c>
      <c r="Z489" s="368" t="str">
        <f t="shared" ca="1" si="226"/>
        <v/>
      </c>
      <c r="AA489" s="369" t="str">
        <f t="shared" ca="1" si="227"/>
        <v/>
      </c>
      <c r="AB489" s="344"/>
      <c r="AC489" s="363" t="e">
        <f t="shared" ca="1" si="228"/>
        <v>#N/A</v>
      </c>
      <c r="AD489" s="376" t="e">
        <f t="shared" ca="1" si="229"/>
        <v>#N/A</v>
      </c>
      <c r="AE489" s="377">
        <f t="shared" ca="1" si="208"/>
        <v>798.24259389838801</v>
      </c>
      <c r="AF489" s="344"/>
      <c r="AG489" s="359">
        <f t="shared" ca="1" si="230"/>
        <v>-27.837383844412614</v>
      </c>
      <c r="AH489" s="357">
        <f t="shared" ca="1" si="231"/>
        <v>-18.320106746717862</v>
      </c>
    </row>
    <row r="490" spans="1:34" x14ac:dyDescent="0.25">
      <c r="A490" s="402">
        <f t="shared" ca="1" si="209"/>
        <v>0.01</v>
      </c>
      <c r="B490" s="357">
        <f t="shared" ca="1" si="210"/>
        <v>4.8599999999999408</v>
      </c>
      <c r="C490" s="342"/>
      <c r="D490" s="359">
        <f t="shared" ca="1" si="211"/>
        <v>-4.4330047619051882</v>
      </c>
      <c r="E490" s="360">
        <f t="shared" ca="1" si="212"/>
        <v>-27.540861678800574</v>
      </c>
      <c r="F490" s="357">
        <f t="shared" ca="1" si="213"/>
        <v>27.895350745776618</v>
      </c>
      <c r="G490" s="359">
        <f t="shared" ca="1" si="214"/>
        <v>63.58079467018797</v>
      </c>
      <c r="H490" s="360">
        <f t="shared" ca="1" si="215"/>
        <v>254.20847900778386</v>
      </c>
      <c r="I490" s="357">
        <f t="shared" ca="1" si="216"/>
        <v>262.03905863505059</v>
      </c>
      <c r="J490" s="359">
        <f t="shared" ca="1" si="217"/>
        <v>185.40779247158494</v>
      </c>
      <c r="K490" s="360">
        <f t="shared" ca="1" si="218"/>
        <v>800.78605573154982</v>
      </c>
      <c r="L490" s="357">
        <f t="shared" ca="1" si="203"/>
        <v>821.96980270766585</v>
      </c>
      <c r="M490" s="359">
        <f t="shared" ca="1" si="219"/>
        <v>1.3257115010330729</v>
      </c>
      <c r="N490" s="357">
        <f t="shared" ca="1" si="220"/>
        <v>75.957673861148351</v>
      </c>
      <c r="O490" s="343"/>
      <c r="P490" s="363">
        <f t="shared" ca="1" si="221"/>
        <v>23</v>
      </c>
      <c r="Q490" s="357">
        <f t="shared" ca="1" si="222"/>
        <v>0</v>
      </c>
      <c r="R490" s="359">
        <f t="shared" ca="1" si="223"/>
        <v>0</v>
      </c>
      <c r="S490" s="360">
        <f t="shared" ca="1" si="224"/>
        <v>9.637999999999975</v>
      </c>
      <c r="T490" s="357">
        <f t="shared" ca="1" si="204"/>
        <v>94.548779999999766</v>
      </c>
      <c r="U490" s="364">
        <f t="shared" ca="1" si="205"/>
        <v>0</v>
      </c>
      <c r="V490" s="359">
        <f t="shared" ca="1" si="206"/>
        <v>1.1306802069265216</v>
      </c>
      <c r="W490" s="357">
        <f t="shared" ca="1" si="207"/>
        <v>175.73224965350784</v>
      </c>
      <c r="X490" s="343"/>
      <c r="Y490" s="367" t="str">
        <f t="shared" ca="1" si="225"/>
        <v/>
      </c>
      <c r="Z490" s="368" t="str">
        <f t="shared" ca="1" si="226"/>
        <v/>
      </c>
      <c r="AA490" s="369" t="str">
        <f t="shared" ca="1" si="227"/>
        <v/>
      </c>
      <c r="AB490" s="344"/>
      <c r="AC490" s="363" t="e">
        <f t="shared" ca="1" si="228"/>
        <v>#N/A</v>
      </c>
      <c r="AD490" s="376" t="e">
        <f t="shared" ca="1" si="229"/>
        <v>#N/A</v>
      </c>
      <c r="AE490" s="377">
        <f t="shared" ca="1" si="208"/>
        <v>800.78605573154982</v>
      </c>
      <c r="AF490" s="344"/>
      <c r="AG490" s="359">
        <f t="shared" ca="1" si="230"/>
        <v>-27.793685444678633</v>
      </c>
      <c r="AH490" s="357">
        <f t="shared" ca="1" si="231"/>
        <v>-18.276624061675967</v>
      </c>
    </row>
    <row r="491" spans="1:34" x14ac:dyDescent="0.25">
      <c r="A491" s="402">
        <f t="shared" ca="1" si="209"/>
        <v>0.01</v>
      </c>
      <c r="B491" s="357">
        <f t="shared" ca="1" si="210"/>
        <v>4.8699999999999406</v>
      </c>
      <c r="C491" s="342"/>
      <c r="D491" s="359">
        <f t="shared" ca="1" si="211"/>
        <v>-4.4240952417265076</v>
      </c>
      <c r="E491" s="360">
        <f t="shared" ca="1" si="212"/>
        <v>-27.498399904699468</v>
      </c>
      <c r="F491" s="357">
        <f t="shared" ca="1" si="213"/>
        <v>27.852012782322266</v>
      </c>
      <c r="G491" s="359">
        <f t="shared" ca="1" si="214"/>
        <v>63.536553717770708</v>
      </c>
      <c r="H491" s="360">
        <f t="shared" ca="1" si="215"/>
        <v>253.93349500873688</v>
      </c>
      <c r="I491" s="357">
        <f t="shared" ca="1" si="216"/>
        <v>261.7615585713138</v>
      </c>
      <c r="J491" s="359">
        <f t="shared" ca="1" si="217"/>
        <v>186.04337921352473</v>
      </c>
      <c r="K491" s="360">
        <f t="shared" ca="1" si="218"/>
        <v>803.32676560163247</v>
      </c>
      <c r="L491" s="357">
        <f t="shared" ca="1" si="203"/>
        <v>824.58840113184192</v>
      </c>
      <c r="M491" s="359">
        <f t="shared" ca="1" si="219"/>
        <v>1.3256205677102175</v>
      </c>
      <c r="N491" s="357">
        <f t="shared" ca="1" si="220"/>
        <v>75.952463765531633</v>
      </c>
      <c r="O491" s="343"/>
      <c r="P491" s="363">
        <f t="shared" ca="1" si="221"/>
        <v>23</v>
      </c>
      <c r="Q491" s="357">
        <f t="shared" ca="1" si="222"/>
        <v>0</v>
      </c>
      <c r="R491" s="359">
        <f t="shared" ca="1" si="223"/>
        <v>0</v>
      </c>
      <c r="S491" s="360">
        <f t="shared" ca="1" si="224"/>
        <v>9.637999999999975</v>
      </c>
      <c r="T491" s="357">
        <f t="shared" ca="1" si="204"/>
        <v>94.548779999999766</v>
      </c>
      <c r="U491" s="364">
        <f t="shared" ca="1" si="205"/>
        <v>0</v>
      </c>
      <c r="V491" s="359">
        <f t="shared" ca="1" si="206"/>
        <v>1.130392507751292</v>
      </c>
      <c r="W491" s="357">
        <f t="shared" ca="1" si="207"/>
        <v>175.31562484880814</v>
      </c>
      <c r="X491" s="343"/>
      <c r="Y491" s="367" t="str">
        <f t="shared" ca="1" si="225"/>
        <v/>
      </c>
      <c r="Z491" s="368" t="str">
        <f t="shared" ca="1" si="226"/>
        <v/>
      </c>
      <c r="AA491" s="369" t="str">
        <f t="shared" ca="1" si="227"/>
        <v/>
      </c>
      <c r="AB491" s="344"/>
      <c r="AC491" s="363" t="e">
        <f t="shared" ca="1" si="228"/>
        <v>#N/A</v>
      </c>
      <c r="AD491" s="376" t="e">
        <f t="shared" ca="1" si="229"/>
        <v>#N/A</v>
      </c>
      <c r="AE491" s="377">
        <f t="shared" ca="1" si="208"/>
        <v>803.32676560163247</v>
      </c>
      <c r="AF491" s="344"/>
      <c r="AG491" s="359">
        <f t="shared" ca="1" si="230"/>
        <v>-27.750114597283744</v>
      </c>
      <c r="AH491" s="357">
        <f t="shared" ca="1" si="231"/>
        <v>-18.233269314537072</v>
      </c>
    </row>
    <row r="492" spans="1:34" x14ac:dyDescent="0.25">
      <c r="A492" s="402">
        <f t="shared" ca="1" si="209"/>
        <v>0.01</v>
      </c>
      <c r="B492" s="357">
        <f t="shared" ca="1" si="210"/>
        <v>4.8799999999999404</v>
      </c>
      <c r="C492" s="342"/>
      <c r="D492" s="359">
        <f t="shared" ca="1" si="211"/>
        <v>-4.4152112606510538</v>
      </c>
      <c r="E492" s="360">
        <f t="shared" ca="1" si="212"/>
        <v>-27.456062951404149</v>
      </c>
      <c r="F492" s="357">
        <f t="shared" ca="1" si="213"/>
        <v>27.808802262370943</v>
      </c>
      <c r="G492" s="359">
        <f t="shared" ca="1" si="214"/>
        <v>63.492401605164197</v>
      </c>
      <c r="H492" s="360">
        <f t="shared" ca="1" si="215"/>
        <v>253.65893437922284</v>
      </c>
      <c r="I492" s="357">
        <f t="shared" ca="1" si="216"/>
        <v>261.4844929474678</v>
      </c>
      <c r="J492" s="359">
        <f t="shared" ca="1" si="217"/>
        <v>186.67852399013941</v>
      </c>
      <c r="K492" s="360">
        <f t="shared" ca="1" si="218"/>
        <v>805.86472774857225</v>
      </c>
      <c r="L492" s="357">
        <f t="shared" ca="1" si="203"/>
        <v>827.20422553829928</v>
      </c>
      <c r="M492" s="359">
        <f t="shared" ca="1" si="219"/>
        <v>1.3255295049403621</v>
      </c>
      <c r="N492" s="357">
        <f t="shared" ca="1" si="220"/>
        <v>75.947246253148151</v>
      </c>
      <c r="O492" s="343"/>
      <c r="P492" s="363">
        <f t="shared" ca="1" si="221"/>
        <v>23</v>
      </c>
      <c r="Q492" s="357">
        <f t="shared" ca="1" si="222"/>
        <v>0</v>
      </c>
      <c r="R492" s="359">
        <f t="shared" ca="1" si="223"/>
        <v>0</v>
      </c>
      <c r="S492" s="360">
        <f t="shared" ca="1" si="224"/>
        <v>9.637999999999975</v>
      </c>
      <c r="T492" s="357">
        <f t="shared" ca="1" si="204"/>
        <v>94.548779999999766</v>
      </c>
      <c r="U492" s="364">
        <f t="shared" ca="1" si="205"/>
        <v>0</v>
      </c>
      <c r="V492" s="359">
        <f t="shared" ca="1" si="206"/>
        <v>1.1301051898674126</v>
      </c>
      <c r="W492" s="357">
        <f t="shared" ca="1" si="207"/>
        <v>174.90022349886166</v>
      </c>
      <c r="X492" s="343"/>
      <c r="Y492" s="367" t="str">
        <f t="shared" ca="1" si="225"/>
        <v/>
      </c>
      <c r="Z492" s="368" t="str">
        <f t="shared" ca="1" si="226"/>
        <v/>
      </c>
      <c r="AA492" s="369" t="str">
        <f t="shared" ca="1" si="227"/>
        <v/>
      </c>
      <c r="AB492" s="344"/>
      <c r="AC492" s="363" t="e">
        <f t="shared" ca="1" si="228"/>
        <v>#N/A</v>
      </c>
      <c r="AD492" s="376" t="e">
        <f t="shared" ca="1" si="229"/>
        <v>#N/A</v>
      </c>
      <c r="AE492" s="377">
        <f t="shared" ca="1" si="208"/>
        <v>805.86472774857225</v>
      </c>
      <c r="AF492" s="344"/>
      <c r="AG492" s="359">
        <f t="shared" ca="1" si="230"/>
        <v>-27.706670801670612</v>
      </c>
      <c r="AH492" s="357">
        <f t="shared" ca="1" si="231"/>
        <v>-18.190042005479206</v>
      </c>
    </row>
    <row r="493" spans="1:34" x14ac:dyDescent="0.25">
      <c r="A493" s="402">
        <f t="shared" ca="1" si="209"/>
        <v>0.01</v>
      </c>
      <c r="B493" s="357">
        <f t="shared" ca="1" si="210"/>
        <v>4.8899999999999402</v>
      </c>
      <c r="C493" s="342"/>
      <c r="D493" s="359">
        <f t="shared" ca="1" si="211"/>
        <v>-4.406352718449531</v>
      </c>
      <c r="E493" s="360">
        <f t="shared" ca="1" si="212"/>
        <v>-27.413850331753558</v>
      </c>
      <c r="F493" s="357">
        <f t="shared" ca="1" si="213"/>
        <v>27.765718688540591</v>
      </c>
      <c r="G493" s="359">
        <f t="shared" ca="1" si="214"/>
        <v>63.448338077979699</v>
      </c>
      <c r="H493" s="360">
        <f t="shared" ca="1" si="215"/>
        <v>253.3847958759053</v>
      </c>
      <c r="I493" s="357">
        <f t="shared" ca="1" si="216"/>
        <v>261.20786049797925</v>
      </c>
      <c r="J493" s="359">
        <f t="shared" ca="1" si="217"/>
        <v>187.31322768855512</v>
      </c>
      <c r="K493" s="360">
        <f t="shared" ca="1" si="218"/>
        <v>808.39994639984786</v>
      </c>
      <c r="L493" s="357">
        <f t="shared" ca="1" si="203"/>
        <v>829.81728025293694</v>
      </c>
      <c r="M493" s="359">
        <f t="shared" ca="1" si="219"/>
        <v>1.3254383125537175</v>
      </c>
      <c r="N493" s="357">
        <f t="shared" ca="1" si="220"/>
        <v>75.942021314269695</v>
      </c>
      <c r="O493" s="343"/>
      <c r="P493" s="363">
        <f t="shared" ca="1" si="221"/>
        <v>23</v>
      </c>
      <c r="Q493" s="357">
        <f t="shared" ca="1" si="222"/>
        <v>0</v>
      </c>
      <c r="R493" s="359">
        <f t="shared" ca="1" si="223"/>
        <v>0</v>
      </c>
      <c r="S493" s="360">
        <f t="shared" ca="1" si="224"/>
        <v>9.637999999999975</v>
      </c>
      <c r="T493" s="357">
        <f t="shared" ca="1" si="204"/>
        <v>94.548779999999766</v>
      </c>
      <c r="U493" s="364">
        <f t="shared" ca="1" si="205"/>
        <v>0</v>
      </c>
      <c r="V493" s="359">
        <f t="shared" ca="1" si="206"/>
        <v>1.1298182525431373</v>
      </c>
      <c r="W493" s="357">
        <f t="shared" ca="1" si="207"/>
        <v>174.48604083386704</v>
      </c>
      <c r="X493" s="343"/>
      <c r="Y493" s="367" t="str">
        <f t="shared" ca="1" si="225"/>
        <v/>
      </c>
      <c r="Z493" s="368" t="str">
        <f t="shared" ca="1" si="226"/>
        <v/>
      </c>
      <c r="AA493" s="369" t="str">
        <f t="shared" ca="1" si="227"/>
        <v/>
      </c>
      <c r="AB493" s="344"/>
      <c r="AC493" s="363" t="e">
        <f t="shared" ca="1" si="228"/>
        <v>#N/A</v>
      </c>
      <c r="AD493" s="376" t="e">
        <f t="shared" ca="1" si="229"/>
        <v>#N/A</v>
      </c>
      <c r="AE493" s="377">
        <f t="shared" ca="1" si="208"/>
        <v>808.39994639984786</v>
      </c>
      <c r="AF493" s="344"/>
      <c r="AG493" s="359">
        <f t="shared" ca="1" si="230"/>
        <v>-27.663353559750615</v>
      </c>
      <c r="AH493" s="357">
        <f t="shared" ca="1" si="231"/>
        <v>-18.14694163715108</v>
      </c>
    </row>
    <row r="494" spans="1:34" x14ac:dyDescent="0.25">
      <c r="A494" s="402">
        <f t="shared" ca="1" si="209"/>
        <v>0.01</v>
      </c>
      <c r="B494" s="357">
        <f t="shared" ca="1" si="210"/>
        <v>4.89999999999994</v>
      </c>
      <c r="C494" s="342"/>
      <c r="D494" s="359">
        <f t="shared" ca="1" si="211"/>
        <v>-4.3975195153872271</v>
      </c>
      <c r="E494" s="360">
        <f t="shared" ca="1" si="212"/>
        <v>-27.371761560992219</v>
      </c>
      <c r="F494" s="357">
        <f t="shared" ca="1" si="213"/>
        <v>27.72276156590506</v>
      </c>
      <c r="G494" s="359">
        <f t="shared" ca="1" si="214"/>
        <v>63.404362882825829</v>
      </c>
      <c r="H494" s="360">
        <f t="shared" ca="1" si="215"/>
        <v>253.11107826029539</v>
      </c>
      <c r="I494" s="357">
        <f t="shared" ca="1" si="216"/>
        <v>260.9316599622714</v>
      </c>
      <c r="J494" s="359">
        <f t="shared" ca="1" si="217"/>
        <v>187.94749119335916</v>
      </c>
      <c r="K494" s="360">
        <f t="shared" ca="1" si="218"/>
        <v>810.93242577052888</v>
      </c>
      <c r="L494" s="357">
        <f t="shared" ca="1" si="203"/>
        <v>832.4275695890617</v>
      </c>
      <c r="M494" s="359">
        <f t="shared" ca="1" si="219"/>
        <v>1.3253469903800998</v>
      </c>
      <c r="N494" s="357">
        <f t="shared" ca="1" si="220"/>
        <v>75.936788939145444</v>
      </c>
      <c r="O494" s="343"/>
      <c r="P494" s="363">
        <f t="shared" ca="1" si="221"/>
        <v>23</v>
      </c>
      <c r="Q494" s="357">
        <f t="shared" ca="1" si="222"/>
        <v>0</v>
      </c>
      <c r="R494" s="359">
        <f t="shared" ca="1" si="223"/>
        <v>0</v>
      </c>
      <c r="S494" s="360">
        <f t="shared" ca="1" si="224"/>
        <v>9.637999999999975</v>
      </c>
      <c r="T494" s="357">
        <f t="shared" ca="1" si="204"/>
        <v>94.548779999999766</v>
      </c>
      <c r="U494" s="364">
        <f t="shared" ca="1" si="205"/>
        <v>0</v>
      </c>
      <c r="V494" s="359">
        <f t="shared" ca="1" si="206"/>
        <v>1.1295316950490153</v>
      </c>
      <c r="W494" s="357">
        <f t="shared" ca="1" si="207"/>
        <v>174.07307210755295</v>
      </c>
      <c r="X494" s="343"/>
      <c r="Y494" s="367" t="str">
        <f t="shared" ca="1" si="225"/>
        <v/>
      </c>
      <c r="Z494" s="368" t="str">
        <f t="shared" ca="1" si="226"/>
        <v/>
      </c>
      <c r="AA494" s="369" t="str">
        <f t="shared" ca="1" si="227"/>
        <v/>
      </c>
      <c r="AB494" s="344"/>
      <c r="AC494" s="363" t="e">
        <f t="shared" ca="1" si="228"/>
        <v>#N/A</v>
      </c>
      <c r="AD494" s="376" t="e">
        <f t="shared" ca="1" si="229"/>
        <v>#N/A</v>
      </c>
      <c r="AE494" s="377">
        <f t="shared" ca="1" si="208"/>
        <v>810.93242577052888</v>
      </c>
      <c r="AF494" s="344"/>
      <c r="AG494" s="359">
        <f t="shared" ca="1" si="230"/>
        <v>-27.620162375889066</v>
      </c>
      <c r="AH494" s="357">
        <f t="shared" ca="1" si="231"/>
        <v>-18.103967714657344</v>
      </c>
    </row>
    <row r="495" spans="1:34" x14ac:dyDescent="0.25">
      <c r="A495" s="402">
        <f t="shared" ca="1" si="209"/>
        <v>0.01</v>
      </c>
      <c r="B495" s="357">
        <f t="shared" ca="1" si="210"/>
        <v>4.9099999999999397</v>
      </c>
      <c r="C495" s="342"/>
      <c r="D495" s="359">
        <f t="shared" ca="1" si="211"/>
        <v>-4.3887115522210864</v>
      </c>
      <c r="E495" s="360">
        <f t="shared" ca="1" si="212"/>
        <v>-27.329796156755982</v>
      </c>
      <c r="F495" s="357">
        <f t="shared" ca="1" si="213"/>
        <v>27.679930401979568</v>
      </c>
      <c r="G495" s="359">
        <f t="shared" ca="1" si="214"/>
        <v>63.360475767303619</v>
      </c>
      <c r="H495" s="360">
        <f t="shared" ca="1" si="215"/>
        <v>252.83778029872784</v>
      </c>
      <c r="I495" s="357">
        <f t="shared" ca="1" si="216"/>
        <v>260.65589008469925</v>
      </c>
      <c r="J495" s="359">
        <f t="shared" ca="1" si="217"/>
        <v>188.58131538660982</v>
      </c>
      <c r="K495" s="360">
        <f t="shared" ca="1" si="218"/>
        <v>813.46217006332404</v>
      </c>
      <c r="L495" s="357">
        <f t="shared" ca="1" si="203"/>
        <v>835.03509784743551</v>
      </c>
      <c r="M495" s="359">
        <f t="shared" ca="1" si="219"/>
        <v>1.3252555382489313</v>
      </c>
      <c r="N495" s="357">
        <f t="shared" ca="1" si="220"/>
        <v>75.93154911800201</v>
      </c>
      <c r="O495" s="343"/>
      <c r="P495" s="363">
        <f t="shared" ca="1" si="221"/>
        <v>23</v>
      </c>
      <c r="Q495" s="357">
        <f t="shared" ca="1" si="222"/>
        <v>0</v>
      </c>
      <c r="R495" s="359">
        <f t="shared" ca="1" si="223"/>
        <v>0</v>
      </c>
      <c r="S495" s="360">
        <f t="shared" ca="1" si="224"/>
        <v>9.637999999999975</v>
      </c>
      <c r="T495" s="357">
        <f t="shared" ca="1" si="204"/>
        <v>94.548779999999766</v>
      </c>
      <c r="U495" s="364">
        <f t="shared" ca="1" si="205"/>
        <v>0</v>
      </c>
      <c r="V495" s="359">
        <f t="shared" ca="1" si="206"/>
        <v>1.1292455166578814</v>
      </c>
      <c r="W495" s="357">
        <f t="shared" ca="1" si="207"/>
        <v>173.66131259703792</v>
      </c>
      <c r="X495" s="343"/>
      <c r="Y495" s="367" t="str">
        <f t="shared" ca="1" si="225"/>
        <v/>
      </c>
      <c r="Z495" s="368" t="str">
        <f t="shared" ca="1" si="226"/>
        <v/>
      </c>
      <c r="AA495" s="369" t="str">
        <f t="shared" ca="1" si="227"/>
        <v/>
      </c>
      <c r="AB495" s="344"/>
      <c r="AC495" s="363" t="e">
        <f t="shared" ca="1" si="228"/>
        <v>#N/A</v>
      </c>
      <c r="AD495" s="376" t="e">
        <f t="shared" ca="1" si="229"/>
        <v>#N/A</v>
      </c>
      <c r="AE495" s="377">
        <f t="shared" ca="1" si="208"/>
        <v>813.46217006332404</v>
      </c>
      <c r="AF495" s="344"/>
      <c r="AG495" s="359">
        <f t="shared" ca="1" si="230"/>
        <v>-27.57709675689069</v>
      </c>
      <c r="AH495" s="357">
        <f t="shared" ca="1" si="231"/>
        <v>-18.061119745544033</v>
      </c>
    </row>
    <row r="496" spans="1:34" x14ac:dyDescent="0.25">
      <c r="A496" s="402">
        <f t="shared" ca="1" si="209"/>
        <v>0.01</v>
      </c>
      <c r="B496" s="357">
        <f t="shared" ca="1" si="210"/>
        <v>4.9199999999999395</v>
      </c>
      <c r="C496" s="342"/>
      <c r="D496" s="359">
        <f t="shared" ca="1" si="211"/>
        <v>-4.3799287301967675</v>
      </c>
      <c r="E496" s="360">
        <f t="shared" ca="1" si="212"/>
        <v>-27.287953639057783</v>
      </c>
      <c r="F496" s="357">
        <f t="shared" ca="1" si="213"/>
        <v>27.637224706706171</v>
      </c>
      <c r="G496" s="359">
        <f t="shared" ca="1" si="214"/>
        <v>63.316676480001654</v>
      </c>
      <c r="H496" s="360">
        <f t="shared" ca="1" si="215"/>
        <v>252.56490076233726</v>
      </c>
      <c r="I496" s="357">
        <f t="shared" ca="1" si="216"/>
        <v>260.38054961452565</v>
      </c>
      <c r="J496" s="359">
        <f t="shared" ca="1" si="217"/>
        <v>189.21470114784634</v>
      </c>
      <c r="K496" s="360">
        <f t="shared" ca="1" si="218"/>
        <v>815.98918346862934</v>
      </c>
      <c r="L496" s="357">
        <f t="shared" ca="1" si="203"/>
        <v>837.63986931632451</v>
      </c>
      <c r="M496" s="359">
        <f t="shared" ca="1" si="219"/>
        <v>1.325163955989237</v>
      </c>
      <c r="N496" s="357">
        <f t="shared" ca="1" si="220"/>
        <v>75.926301841043255</v>
      </c>
      <c r="O496" s="343"/>
      <c r="P496" s="363">
        <f t="shared" ca="1" si="221"/>
        <v>23</v>
      </c>
      <c r="Q496" s="357">
        <f t="shared" ca="1" si="222"/>
        <v>0</v>
      </c>
      <c r="R496" s="359">
        <f t="shared" ca="1" si="223"/>
        <v>0</v>
      </c>
      <c r="S496" s="360">
        <f t="shared" ca="1" si="224"/>
        <v>9.637999999999975</v>
      </c>
      <c r="T496" s="357">
        <f t="shared" ca="1" si="204"/>
        <v>94.548779999999766</v>
      </c>
      <c r="U496" s="364">
        <f t="shared" ca="1" si="205"/>
        <v>0</v>
      </c>
      <c r="V496" s="359">
        <f t="shared" ca="1" si="206"/>
        <v>1.1289597166448464</v>
      </c>
      <c r="W496" s="357">
        <f t="shared" ca="1" si="207"/>
        <v>173.25075760269127</v>
      </c>
      <c r="X496" s="343"/>
      <c r="Y496" s="367" t="str">
        <f t="shared" ca="1" si="225"/>
        <v/>
      </c>
      <c r="Z496" s="368" t="str">
        <f t="shared" ca="1" si="226"/>
        <v/>
      </c>
      <c r="AA496" s="369" t="str">
        <f t="shared" ca="1" si="227"/>
        <v/>
      </c>
      <c r="AB496" s="344"/>
      <c r="AC496" s="363" t="e">
        <f t="shared" ca="1" si="228"/>
        <v>#N/A</v>
      </c>
      <c r="AD496" s="376" t="e">
        <f t="shared" ca="1" si="229"/>
        <v>#N/A</v>
      </c>
      <c r="AE496" s="377">
        <f t="shared" ca="1" si="208"/>
        <v>815.98918346862934</v>
      </c>
      <c r="AF496" s="344"/>
      <c r="AG496" s="359">
        <f t="shared" ca="1" si="230"/>
        <v>-27.534156211985042</v>
      </c>
      <c r="AH496" s="357">
        <f t="shared" ca="1" si="231"/>
        <v>-18.018397239784019</v>
      </c>
    </row>
    <row r="497" spans="1:34" x14ac:dyDescent="0.25">
      <c r="A497" s="402">
        <f t="shared" ca="1" si="209"/>
        <v>0.01</v>
      </c>
      <c r="B497" s="357">
        <f t="shared" ca="1" si="210"/>
        <v>4.9299999999999393</v>
      </c>
      <c r="C497" s="342"/>
      <c r="D497" s="359">
        <f t="shared" ca="1" si="211"/>
        <v>-4.3711709510457633</v>
      </c>
      <c r="E497" s="360">
        <f t="shared" ca="1" si="212"/>
        <v>-27.2462335302735</v>
      </c>
      <c r="F497" s="357">
        <f t="shared" ca="1" si="213"/>
        <v>27.594643992439298</v>
      </c>
      <c r="G497" s="359">
        <f t="shared" ca="1" si="214"/>
        <v>63.272964770491193</v>
      </c>
      <c r="H497" s="360">
        <f t="shared" ca="1" si="215"/>
        <v>252.29243842703451</v>
      </c>
      <c r="I497" s="357">
        <f t="shared" ca="1" si="216"/>
        <v>260.10563730589695</v>
      </c>
      <c r="J497" s="359">
        <f t="shared" ca="1" si="217"/>
        <v>189.84764935409879</v>
      </c>
      <c r="K497" s="360">
        <f t="shared" ca="1" si="218"/>
        <v>818.51347016457623</v>
      </c>
      <c r="L497" s="357">
        <f t="shared" ca="1" si="203"/>
        <v>840.24188827154615</v>
      </c>
      <c r="M497" s="359">
        <f t="shared" ca="1" si="219"/>
        <v>1.3250722434296462</v>
      </c>
      <c r="N497" s="357">
        <f t="shared" ca="1" si="220"/>
        <v>75.921047098450359</v>
      </c>
      <c r="O497" s="343"/>
      <c r="P497" s="363">
        <f t="shared" ca="1" si="221"/>
        <v>23</v>
      </c>
      <c r="Q497" s="357">
        <f t="shared" ca="1" si="222"/>
        <v>0</v>
      </c>
      <c r="R497" s="359">
        <f t="shared" ca="1" si="223"/>
        <v>0</v>
      </c>
      <c r="S497" s="360">
        <f t="shared" ca="1" si="224"/>
        <v>9.637999999999975</v>
      </c>
      <c r="T497" s="357">
        <f t="shared" ca="1" si="204"/>
        <v>94.548779999999766</v>
      </c>
      <c r="U497" s="364">
        <f t="shared" ca="1" si="205"/>
        <v>0</v>
      </c>
      <c r="V497" s="359">
        <f t="shared" ca="1" si="206"/>
        <v>1.1286742942872876</v>
      </c>
      <c r="W497" s="357">
        <f t="shared" ca="1" si="207"/>
        <v>172.84140244799522</v>
      </c>
      <c r="X497" s="343"/>
      <c r="Y497" s="367" t="str">
        <f t="shared" ca="1" si="225"/>
        <v/>
      </c>
      <c r="Z497" s="368" t="str">
        <f t="shared" ca="1" si="226"/>
        <v/>
      </c>
      <c r="AA497" s="369" t="str">
        <f t="shared" ca="1" si="227"/>
        <v/>
      </c>
      <c r="AB497" s="344"/>
      <c r="AC497" s="363" t="e">
        <f t="shared" ca="1" si="228"/>
        <v>#N/A</v>
      </c>
      <c r="AD497" s="376" t="e">
        <f t="shared" ca="1" si="229"/>
        <v>#N/A</v>
      </c>
      <c r="AE497" s="377">
        <f t="shared" ca="1" si="208"/>
        <v>818.51347016457623</v>
      </c>
      <c r="AF497" s="344"/>
      <c r="AG497" s="359">
        <f t="shared" ca="1" si="230"/>
        <v>-27.491340252812069</v>
      </c>
      <c r="AH497" s="357">
        <f t="shared" ca="1" si="231"/>
        <v>-17.975799709762576</v>
      </c>
    </row>
    <row r="498" spans="1:34" x14ac:dyDescent="0.25">
      <c r="A498" s="402">
        <f t="shared" ca="1" si="209"/>
        <v>0.01</v>
      </c>
      <c r="B498" s="357">
        <f t="shared" ca="1" si="210"/>
        <v>4.9399999999999391</v>
      </c>
      <c r="C498" s="342"/>
      <c r="D498" s="359">
        <f t="shared" ca="1" si="211"/>
        <v>-4.3624381169824868</v>
      </c>
      <c r="E498" s="360">
        <f t="shared" ca="1" si="212"/>
        <v>-27.204635355127969</v>
      </c>
      <c r="F498" s="357">
        <f t="shared" ca="1" si="213"/>
        <v>27.5521877739315</v>
      </c>
      <c r="G498" s="359">
        <f t="shared" ca="1" si="214"/>
        <v>63.229340389321365</v>
      </c>
      <c r="H498" s="360">
        <f t="shared" ca="1" si="215"/>
        <v>252.02039207348324</v>
      </c>
      <c r="I498" s="357">
        <f t="shared" ca="1" si="216"/>
        <v>259.83115191781928</v>
      </c>
      <c r="J498" s="359">
        <f t="shared" ca="1" si="217"/>
        <v>190.48016087989785</v>
      </c>
      <c r="K498" s="360">
        <f t="shared" ca="1" si="218"/>
        <v>821.03503431707884</v>
      </c>
      <c r="L498" s="357">
        <f t="shared" ca="1" si="203"/>
        <v>842.84115897651714</v>
      </c>
      <c r="M498" s="359">
        <f t="shared" ca="1" si="219"/>
        <v>1.3249804003983903</v>
      </c>
      <c r="N498" s="357">
        <f t="shared" ca="1" si="220"/>
        <v>75.915784880381707</v>
      </c>
      <c r="O498" s="343"/>
      <c r="P498" s="363">
        <f t="shared" ca="1" si="221"/>
        <v>23</v>
      </c>
      <c r="Q498" s="357">
        <f t="shared" ca="1" si="222"/>
        <v>0</v>
      </c>
      <c r="R498" s="359">
        <f t="shared" ca="1" si="223"/>
        <v>0</v>
      </c>
      <c r="S498" s="360">
        <f t="shared" ca="1" si="224"/>
        <v>9.637999999999975</v>
      </c>
      <c r="T498" s="357">
        <f t="shared" ca="1" si="204"/>
        <v>94.548779999999766</v>
      </c>
      <c r="U498" s="364">
        <f t="shared" ca="1" si="205"/>
        <v>0</v>
      </c>
      <c r="V498" s="359">
        <f t="shared" ca="1" si="206"/>
        <v>1.1283892488648406</v>
      </c>
      <c r="W498" s="357">
        <f t="shared" ca="1" si="207"/>
        <v>172.43324247940831</v>
      </c>
      <c r="X498" s="343"/>
      <c r="Y498" s="367" t="str">
        <f t="shared" ca="1" si="225"/>
        <v/>
      </c>
      <c r="Z498" s="368" t="str">
        <f t="shared" ca="1" si="226"/>
        <v/>
      </c>
      <c r="AA498" s="369" t="str">
        <f t="shared" ca="1" si="227"/>
        <v/>
      </c>
      <c r="AB498" s="344"/>
      <c r="AC498" s="363" t="e">
        <f t="shared" ca="1" si="228"/>
        <v>#N/A</v>
      </c>
      <c r="AD498" s="376" t="e">
        <f t="shared" ca="1" si="229"/>
        <v>#N/A</v>
      </c>
      <c r="AE498" s="377">
        <f t="shared" ca="1" si="208"/>
        <v>821.03503431707884</v>
      </c>
      <c r="AF498" s="344"/>
      <c r="AG498" s="359">
        <f t="shared" ca="1" si="230"/>
        <v>-27.448648393407833</v>
      </c>
      <c r="AH498" s="357">
        <f t="shared" ca="1" si="231"/>
        <v>-17.933326670263092</v>
      </c>
    </row>
    <row r="499" spans="1:34" x14ac:dyDescent="0.25">
      <c r="A499" s="402">
        <f t="shared" ca="1" si="209"/>
        <v>0.01</v>
      </c>
      <c r="B499" s="357">
        <f t="shared" ca="1" si="210"/>
        <v>4.9499999999999389</v>
      </c>
      <c r="C499" s="342"/>
      <c r="D499" s="359">
        <f t="shared" ca="1" si="211"/>
        <v>-4.3537301307014431</v>
      </c>
      <c r="E499" s="360">
        <f t="shared" ca="1" si="212"/>
        <v>-27.16315864068104</v>
      </c>
      <c r="F499" s="357">
        <f t="shared" ca="1" si="213"/>
        <v>27.509855568319196</v>
      </c>
      <c r="G499" s="359">
        <f t="shared" ca="1" si="214"/>
        <v>63.185803088014353</v>
      </c>
      <c r="H499" s="360">
        <f t="shared" ca="1" si="215"/>
        <v>251.74876048707642</v>
      </c>
      <c r="I499" s="357">
        <f t="shared" ca="1" si="216"/>
        <v>259.55709221413446</v>
      </c>
      <c r="J499" s="359">
        <f t="shared" ca="1" si="217"/>
        <v>191.11223659728452</v>
      </c>
      <c r="K499" s="360">
        <f t="shared" ca="1" si="218"/>
        <v>823.55388007988165</v>
      </c>
      <c r="L499" s="357">
        <f t="shared" ca="1" si="203"/>
        <v>845.43768568230064</v>
      </c>
      <c r="M499" s="359">
        <f t="shared" ca="1" si="219"/>
        <v>1.3248884267233019</v>
      </c>
      <c r="N499" s="357">
        <f t="shared" ca="1" si="220"/>
        <v>75.910515176972837</v>
      </c>
      <c r="O499" s="343"/>
      <c r="P499" s="363">
        <f t="shared" ca="1" si="221"/>
        <v>23</v>
      </c>
      <c r="Q499" s="357">
        <f t="shared" ca="1" si="222"/>
        <v>0</v>
      </c>
      <c r="R499" s="359">
        <f t="shared" ca="1" si="223"/>
        <v>0</v>
      </c>
      <c r="S499" s="360">
        <f t="shared" ca="1" si="224"/>
        <v>9.637999999999975</v>
      </c>
      <c r="T499" s="357">
        <f t="shared" ca="1" si="204"/>
        <v>94.548779999999766</v>
      </c>
      <c r="U499" s="364">
        <f t="shared" ca="1" si="205"/>
        <v>0</v>
      </c>
      <c r="V499" s="359">
        <f t="shared" ca="1" si="206"/>
        <v>1.1281045796593887</v>
      </c>
      <c r="W499" s="357">
        <f t="shared" ca="1" si="207"/>
        <v>172.02627306622867</v>
      </c>
      <c r="X499" s="343"/>
      <c r="Y499" s="367" t="str">
        <f t="shared" ca="1" si="225"/>
        <v/>
      </c>
      <c r="Z499" s="368" t="str">
        <f t="shared" ca="1" si="226"/>
        <v/>
      </c>
      <c r="AA499" s="369" t="str">
        <f t="shared" ca="1" si="227"/>
        <v/>
      </c>
      <c r="AB499" s="344"/>
      <c r="AC499" s="363" t="e">
        <f t="shared" ca="1" si="228"/>
        <v>#N/A</v>
      </c>
      <c r="AD499" s="376" t="e">
        <f t="shared" ca="1" si="229"/>
        <v>#N/A</v>
      </c>
      <c r="AE499" s="377">
        <f t="shared" ca="1" si="208"/>
        <v>823.55388007988165</v>
      </c>
      <c r="AF499" s="344"/>
      <c r="AG499" s="359">
        <f t="shared" ca="1" si="230"/>
        <v>-27.406080150190299</v>
      </c>
      <c r="AH499" s="357">
        <f t="shared" ca="1" si="231"/>
        <v>-17.89097763845287</v>
      </c>
    </row>
    <row r="500" spans="1:34" x14ac:dyDescent="0.25">
      <c r="A500" s="402">
        <f t="shared" ca="1" si="209"/>
        <v>0.01</v>
      </c>
      <c r="B500" s="357">
        <f t="shared" ca="1" si="210"/>
        <v>4.9599999999999387</v>
      </c>
      <c r="C500" s="342"/>
      <c r="D500" s="359">
        <f t="shared" ca="1" si="211"/>
        <v>-4.3450468953743568</v>
      </c>
      <c r="E500" s="360">
        <f t="shared" ca="1" si="212"/>
        <v>-27.121802916313762</v>
      </c>
      <c r="F500" s="357">
        <f t="shared" ca="1" si="213"/>
        <v>27.467646895108579</v>
      </c>
      <c r="G500" s="359">
        <f t="shared" ca="1" si="214"/>
        <v>63.14235261906061</v>
      </c>
      <c r="H500" s="360">
        <f t="shared" ca="1" si="215"/>
        <v>251.47754245791327</v>
      </c>
      <c r="I500" s="357">
        <f t="shared" ca="1" si="216"/>
        <v>259.28345696349652</v>
      </c>
      <c r="J500" s="359">
        <f t="shared" ca="1" si="217"/>
        <v>191.74387737581989</v>
      </c>
      <c r="K500" s="360">
        <f t="shared" ca="1" si="218"/>
        <v>826.07001159460663</v>
      </c>
      <c r="L500" s="357">
        <f t="shared" ca="1" si="203"/>
        <v>848.03147262765378</v>
      </c>
      <c r="M500" s="359">
        <f t="shared" ca="1" si="219"/>
        <v>1.324796322231814</v>
      </c>
      <c r="N500" s="357">
        <f t="shared" ca="1" si="220"/>
        <v>75.905237978336373</v>
      </c>
      <c r="O500" s="343"/>
      <c r="P500" s="363">
        <f t="shared" ca="1" si="221"/>
        <v>23</v>
      </c>
      <c r="Q500" s="357">
        <f t="shared" ca="1" si="222"/>
        <v>0</v>
      </c>
      <c r="R500" s="359">
        <f t="shared" ca="1" si="223"/>
        <v>0</v>
      </c>
      <c r="S500" s="360">
        <f t="shared" ca="1" si="224"/>
        <v>9.637999999999975</v>
      </c>
      <c r="T500" s="357">
        <f t="shared" ca="1" si="204"/>
        <v>94.548779999999766</v>
      </c>
      <c r="U500" s="364">
        <f t="shared" ca="1" si="205"/>
        <v>0</v>
      </c>
      <c r="V500" s="359">
        <f t="shared" ca="1" si="206"/>
        <v>1.1278202859550543</v>
      </c>
      <c r="W500" s="357">
        <f t="shared" ca="1" si="207"/>
        <v>171.62048960045925</v>
      </c>
      <c r="X500" s="343"/>
      <c r="Y500" s="367" t="str">
        <f t="shared" ca="1" si="225"/>
        <v/>
      </c>
      <c r="Z500" s="368" t="str">
        <f t="shared" ca="1" si="226"/>
        <v/>
      </c>
      <c r="AA500" s="369" t="str">
        <f t="shared" ca="1" si="227"/>
        <v/>
      </c>
      <c r="AB500" s="344"/>
      <c r="AC500" s="363" t="e">
        <f t="shared" ca="1" si="228"/>
        <v>#N/A</v>
      </c>
      <c r="AD500" s="376" t="e">
        <f t="shared" ca="1" si="229"/>
        <v>#N/A</v>
      </c>
      <c r="AE500" s="377">
        <f t="shared" ca="1" si="208"/>
        <v>826.07001159460663</v>
      </c>
      <c r="AF500" s="344"/>
      <c r="AG500" s="359">
        <f t="shared" ca="1" si="230"/>
        <v>-27.363635041945145</v>
      </c>
      <c r="AH500" s="357">
        <f t="shared" ca="1" si="231"/>
        <v>-17.848752133868967</v>
      </c>
    </row>
    <row r="501" spans="1:34" x14ac:dyDescent="0.25">
      <c r="A501" s="402">
        <f t="shared" ca="1" si="209"/>
        <v>0.01</v>
      </c>
      <c r="B501" s="357">
        <f t="shared" ca="1" si="210"/>
        <v>4.9699999999999385</v>
      </c>
      <c r="C501" s="342"/>
      <c r="D501" s="359">
        <f t="shared" ca="1" si="211"/>
        <v>-4.3363883146473707</v>
      </c>
      <c r="E501" s="360">
        <f t="shared" ca="1" si="212"/>
        <v>-27.080567713714629</v>
      </c>
      <c r="F501" s="357">
        <f t="shared" ca="1" si="213"/>
        <v>27.425561276161577</v>
      </c>
      <c r="G501" s="359">
        <f t="shared" ca="1" si="214"/>
        <v>63.098988735914133</v>
      </c>
      <c r="H501" s="360">
        <f t="shared" ca="1" si="215"/>
        <v>251.20673678077614</v>
      </c>
      <c r="I501" s="357">
        <f t="shared" ca="1" si="216"/>
        <v>259.01024493934824</v>
      </c>
      <c r="J501" s="359">
        <f t="shared" ca="1" si="217"/>
        <v>192.37508408259475</v>
      </c>
      <c r="K501" s="360">
        <f t="shared" ca="1" si="218"/>
        <v>828.58343299080002</v>
      </c>
      <c r="L501" s="357">
        <f t="shared" ca="1" si="203"/>
        <v>850.62252403907394</v>
      </c>
      <c r="M501" s="359">
        <f t="shared" ca="1" si="219"/>
        <v>1.3247040867509601</v>
      </c>
      <c r="N501" s="357">
        <f t="shared" ca="1" si="220"/>
        <v>75.89995327456208</v>
      </c>
      <c r="O501" s="343"/>
      <c r="P501" s="363">
        <f t="shared" ca="1" si="221"/>
        <v>23</v>
      </c>
      <c r="Q501" s="357">
        <f t="shared" ca="1" si="222"/>
        <v>0</v>
      </c>
      <c r="R501" s="359">
        <f t="shared" ca="1" si="223"/>
        <v>0</v>
      </c>
      <c r="S501" s="360">
        <f t="shared" ca="1" si="224"/>
        <v>9.637999999999975</v>
      </c>
      <c r="T501" s="357">
        <f t="shared" ca="1" si="204"/>
        <v>94.548779999999766</v>
      </c>
      <c r="U501" s="364">
        <f t="shared" ca="1" si="205"/>
        <v>0</v>
      </c>
      <c r="V501" s="359">
        <f t="shared" ca="1" si="206"/>
        <v>1.1275363670381897</v>
      </c>
      <c r="W501" s="357">
        <f t="shared" ca="1" si="207"/>
        <v>171.21588749667399</v>
      </c>
      <c r="X501" s="343"/>
      <c r="Y501" s="367" t="str">
        <f t="shared" ca="1" si="225"/>
        <v/>
      </c>
      <c r="Z501" s="368" t="str">
        <f t="shared" ca="1" si="226"/>
        <v/>
      </c>
      <c r="AA501" s="369" t="str">
        <f t="shared" ca="1" si="227"/>
        <v/>
      </c>
      <c r="AB501" s="344"/>
      <c r="AC501" s="363" t="e">
        <f t="shared" ca="1" si="228"/>
        <v>#N/A</v>
      </c>
      <c r="AD501" s="376" t="e">
        <f t="shared" ca="1" si="229"/>
        <v>#N/A</v>
      </c>
      <c r="AE501" s="377">
        <f t="shared" ca="1" si="208"/>
        <v>828.58343299080002</v>
      </c>
      <c r="AF501" s="344"/>
      <c r="AG501" s="359">
        <f t="shared" ca="1" si="230"/>
        <v>-27.321312589811804</v>
      </c>
      <c r="AH501" s="357">
        <f t="shared" ca="1" si="231"/>
        <v>-17.806649678404202</v>
      </c>
    </row>
    <row r="502" spans="1:34" x14ac:dyDescent="0.25">
      <c r="A502" s="402">
        <f t="shared" ca="1" si="209"/>
        <v>0.01</v>
      </c>
      <c r="B502" s="357">
        <f t="shared" ca="1" si="210"/>
        <v>4.9799999999999383</v>
      </c>
      <c r="C502" s="342"/>
      <c r="D502" s="359">
        <f t="shared" ca="1" si="211"/>
        <v>-4.3277542926382235</v>
      </c>
      <c r="E502" s="360">
        <f t="shared" ca="1" si="212"/>
        <v>-27.039452566866004</v>
      </c>
      <c r="F502" s="357">
        <f t="shared" ca="1" si="213"/>
        <v>27.383598235681976</v>
      </c>
      <c r="G502" s="359">
        <f t="shared" ca="1" si="214"/>
        <v>63.055711192987751</v>
      </c>
      <c r="H502" s="360">
        <f t="shared" ca="1" si="215"/>
        <v>250.93634225510749</v>
      </c>
      <c r="I502" s="357">
        <f t="shared" ca="1" si="216"/>
        <v>258.73745491989735</v>
      </c>
      <c r="J502" s="359">
        <f t="shared" ca="1" si="217"/>
        <v>193.00585758223926</v>
      </c>
      <c r="K502" s="360">
        <f t="shared" ca="1" si="218"/>
        <v>831.09414838597945</v>
      </c>
      <c r="L502" s="357">
        <f t="shared" ca="1" si="203"/>
        <v>853.21084413084679</v>
      </c>
      <c r="M502" s="359">
        <f t="shared" ca="1" si="219"/>
        <v>1.324611720107371</v>
      </c>
      <c r="N502" s="357">
        <f t="shared" ca="1" si="220"/>
        <v>75.894661055716639</v>
      </c>
      <c r="O502" s="343"/>
      <c r="P502" s="363">
        <f t="shared" ca="1" si="221"/>
        <v>23</v>
      </c>
      <c r="Q502" s="357">
        <f t="shared" ca="1" si="222"/>
        <v>0</v>
      </c>
      <c r="R502" s="359">
        <f t="shared" ca="1" si="223"/>
        <v>0</v>
      </c>
      <c r="S502" s="360">
        <f t="shared" ca="1" si="224"/>
        <v>9.637999999999975</v>
      </c>
      <c r="T502" s="357">
        <f t="shared" ca="1" si="204"/>
        <v>94.548779999999766</v>
      </c>
      <c r="U502" s="364">
        <f t="shared" ca="1" si="205"/>
        <v>0</v>
      </c>
      <c r="V502" s="359">
        <f t="shared" ca="1" si="206"/>
        <v>1.1272528221973683</v>
      </c>
      <c r="W502" s="357">
        <f t="shared" ca="1" si="207"/>
        <v>170.8124621918837</v>
      </c>
      <c r="X502" s="343"/>
      <c r="Y502" s="367" t="str">
        <f t="shared" ca="1" si="225"/>
        <v/>
      </c>
      <c r="Z502" s="368" t="str">
        <f t="shared" ca="1" si="226"/>
        <v/>
      </c>
      <c r="AA502" s="369" t="str">
        <f t="shared" ca="1" si="227"/>
        <v/>
      </c>
      <c r="AB502" s="344"/>
      <c r="AC502" s="363" t="e">
        <f t="shared" ca="1" si="228"/>
        <v>#N/A</v>
      </c>
      <c r="AD502" s="376" t="e">
        <f t="shared" ca="1" si="229"/>
        <v>#N/A</v>
      </c>
      <c r="AE502" s="377">
        <f t="shared" ca="1" si="208"/>
        <v>831.09414838597945</v>
      </c>
      <c r="AF502" s="344"/>
      <c r="AG502" s="359">
        <f t="shared" ca="1" si="230"/>
        <v>-27.279112317269529</v>
      </c>
      <c r="AH502" s="357">
        <f t="shared" ca="1" si="231"/>
        <v>-17.764669796293258</v>
      </c>
    </row>
    <row r="503" spans="1:34" x14ac:dyDescent="0.25">
      <c r="A503" s="402">
        <f t="shared" ca="1" si="209"/>
        <v>0.01</v>
      </c>
      <c r="B503" s="357">
        <f t="shared" ca="1" si="210"/>
        <v>4.989999999999938</v>
      </c>
      <c r="C503" s="342"/>
      <c r="D503" s="359">
        <f t="shared" ca="1" si="211"/>
        <v>-4.3191447339334843</v>
      </c>
      <c r="E503" s="360">
        <f t="shared" ca="1" si="212"/>
        <v>-26.998457012030457</v>
      </c>
      <c r="F503" s="357">
        <f t="shared" ca="1" si="213"/>
        <v>27.341757300201497</v>
      </c>
      <c r="G503" s="359">
        <f t="shared" ca="1" si="214"/>
        <v>63.012519745648419</v>
      </c>
      <c r="H503" s="360">
        <f t="shared" ca="1" si="215"/>
        <v>250.66635768498719</v>
      </c>
      <c r="I503" s="357">
        <f t="shared" ca="1" si="216"/>
        <v>258.46508568809384</v>
      </c>
      <c r="J503" s="359">
        <f t="shared" ca="1" si="217"/>
        <v>193.63619873693244</v>
      </c>
      <c r="K503" s="360">
        <f t="shared" ca="1" si="218"/>
        <v>833.60216188567995</v>
      </c>
      <c r="L503" s="357">
        <f t="shared" ca="1" si="203"/>
        <v>855.79643710509106</v>
      </c>
      <c r="M503" s="359">
        <f t="shared" ca="1" si="219"/>
        <v>1.3245192221272768</v>
      </c>
      <c r="N503" s="357">
        <f t="shared" ca="1" si="220"/>
        <v>75.889361311843757</v>
      </c>
      <c r="O503" s="343"/>
      <c r="P503" s="363">
        <f t="shared" ca="1" si="221"/>
        <v>23</v>
      </c>
      <c r="Q503" s="357">
        <f t="shared" ca="1" si="222"/>
        <v>0</v>
      </c>
      <c r="R503" s="359">
        <f t="shared" ca="1" si="223"/>
        <v>0</v>
      </c>
      <c r="S503" s="360">
        <f t="shared" ca="1" si="224"/>
        <v>9.637999999999975</v>
      </c>
      <c r="T503" s="357">
        <f t="shared" ca="1" si="204"/>
        <v>94.548779999999766</v>
      </c>
      <c r="U503" s="364">
        <f t="shared" ca="1" si="205"/>
        <v>0</v>
      </c>
      <c r="V503" s="359">
        <f t="shared" ca="1" si="206"/>
        <v>1.1269696507233744</v>
      </c>
      <c r="W503" s="357">
        <f t="shared" ca="1" si="207"/>
        <v>170.41020914540488</v>
      </c>
      <c r="X503" s="343"/>
      <c r="Y503" s="367" t="str">
        <f t="shared" ca="1" si="225"/>
        <v/>
      </c>
      <c r="Z503" s="368" t="str">
        <f t="shared" ca="1" si="226"/>
        <v/>
      </c>
      <c r="AA503" s="369" t="str">
        <f t="shared" ca="1" si="227"/>
        <v/>
      </c>
      <c r="AB503" s="344"/>
      <c r="AC503" s="363" t="e">
        <f t="shared" ca="1" si="228"/>
        <v>#N/A</v>
      </c>
      <c r="AD503" s="376" t="e">
        <f t="shared" ca="1" si="229"/>
        <v>#N/A</v>
      </c>
      <c r="AE503" s="377">
        <f t="shared" ca="1" si="208"/>
        <v>833.60216188567995</v>
      </c>
      <c r="AF503" s="344"/>
      <c r="AG503" s="359">
        <f t="shared" ca="1" si="230"/>
        <v>-27.237033750123512</v>
      </c>
      <c r="AH503" s="357">
        <f t="shared" ca="1" si="231"/>
        <v>-17.722812014098789</v>
      </c>
    </row>
    <row r="504" spans="1:34" x14ac:dyDescent="0.25">
      <c r="A504" s="402">
        <f t="shared" ca="1" si="209"/>
        <v>0.01</v>
      </c>
      <c r="B504" s="357">
        <f t="shared" ca="1" si="210"/>
        <v>4.9999999999999378</v>
      </c>
      <c r="C504" s="342"/>
      <c r="D504" s="359">
        <f t="shared" ca="1" si="211"/>
        <v>-4.3105595435857724</v>
      </c>
      <c r="E504" s="360">
        <f t="shared" ca="1" si="212"/>
        <v>-26.957580587737496</v>
      </c>
      <c r="F504" s="357">
        <f t="shared" ca="1" si="213"/>
        <v>27.300037998566228</v>
      </c>
      <c r="G504" s="359">
        <f t="shared" ca="1" si="214"/>
        <v>62.969414150212558</v>
      </c>
      <c r="H504" s="360">
        <f t="shared" ca="1" si="215"/>
        <v>250.39678187910982</v>
      </c>
      <c r="I504" s="357">
        <f t="shared" ca="1" si="216"/>
        <v>258.19313603160617</v>
      </c>
      <c r="J504" s="359">
        <f t="shared" ca="1" si="217"/>
        <v>194.26610840641175</v>
      </c>
      <c r="K504" s="360">
        <f t="shared" ca="1" si="218"/>
        <v>836.10747758350044</v>
      </c>
      <c r="L504" s="357">
        <f t="shared" ca="1" si="203"/>
        <v>858.37930715180653</v>
      </c>
      <c r="M504" s="359">
        <f t="shared" ca="1" si="219"/>
        <v>1.3244265926365033</v>
      </c>
      <c r="N504" s="357">
        <f t="shared" ca="1" si="220"/>
        <v>75.884054032963988</v>
      </c>
      <c r="O504" s="343"/>
      <c r="P504" s="363">
        <f t="shared" ca="1" si="221"/>
        <v>23</v>
      </c>
      <c r="Q504" s="357">
        <f t="shared" ca="1" si="222"/>
        <v>0</v>
      </c>
      <c r="R504" s="359">
        <f t="shared" ca="1" si="223"/>
        <v>0</v>
      </c>
      <c r="S504" s="360">
        <f t="shared" ca="1" si="224"/>
        <v>9.637999999999975</v>
      </c>
      <c r="T504" s="357">
        <f t="shared" ca="1" si="204"/>
        <v>94.548779999999766</v>
      </c>
      <c r="U504" s="364">
        <f t="shared" ca="1" si="205"/>
        <v>0</v>
      </c>
      <c r="V504" s="359">
        <f t="shared" ca="1" si="206"/>
        <v>1.1266868519091962</v>
      </c>
      <c r="W504" s="357">
        <f t="shared" ca="1" si="207"/>
        <v>170.00912383872702</v>
      </c>
      <c r="X504" s="343"/>
      <c r="Y504" s="367" t="str">
        <f t="shared" ca="1" si="225"/>
        <v/>
      </c>
      <c r="Z504" s="368" t="str">
        <f t="shared" ca="1" si="226"/>
        <v/>
      </c>
      <c r="AA504" s="369" t="str">
        <f t="shared" ca="1" si="227"/>
        <v/>
      </c>
      <c r="AB504" s="344"/>
      <c r="AC504" s="363">
        <f t="shared" ca="1" si="228"/>
        <v>4.9999999999999378</v>
      </c>
      <c r="AD504" s="376">
        <f t="shared" ca="1" si="229"/>
        <v>194.26610840641175</v>
      </c>
      <c r="AE504" s="377">
        <f t="shared" ca="1" si="208"/>
        <v>836.10747758350044</v>
      </c>
      <c r="AF504" s="344"/>
      <c r="AG504" s="359">
        <f t="shared" ca="1" si="230"/>
        <v>-27.195076416491236</v>
      </c>
      <c r="AH504" s="357">
        <f t="shared" ca="1" si="231"/>
        <v>-17.681075860697792</v>
      </c>
    </row>
    <row r="505" spans="1:34" x14ac:dyDescent="0.25">
      <c r="A505" s="402">
        <f t="shared" ca="1" si="209"/>
        <v>0.1</v>
      </c>
      <c r="B505" s="357">
        <f t="shared" ca="1" si="210"/>
        <v>5.0999999999999375</v>
      </c>
      <c r="C505" s="342"/>
      <c r="D505" s="359">
        <f t="shared" ca="1" si="211"/>
        <v>-4.3019986271110122</v>
      </c>
      <c r="E505" s="360">
        <f t="shared" ca="1" si="212"/>
        <v>-26.916822834770009</v>
      </c>
      <c r="F505" s="357">
        <f t="shared" ca="1" si="213"/>
        <v>27.258439861922788</v>
      </c>
      <c r="G505" s="359">
        <f t="shared" ca="1" si="214"/>
        <v>62.539214287501459</v>
      </c>
      <c r="H505" s="360">
        <f t="shared" ca="1" si="215"/>
        <v>247.70509959563282</v>
      </c>
      <c r="I505" s="357">
        <f t="shared" ca="1" si="216"/>
        <v>255.47792407443035</v>
      </c>
      <c r="J505" s="359">
        <f t="shared" ca="1" si="217"/>
        <v>200.54153982829746</v>
      </c>
      <c r="K505" s="360">
        <f t="shared" ca="1" si="218"/>
        <v>861.01257165723757</v>
      </c>
      <c r="L505" s="357">
        <f t="shared" ca="1" si="203"/>
        <v>884.058571446776</v>
      </c>
      <c r="M505" s="359">
        <f t="shared" ca="1" si="219"/>
        <v>1.323490108009544</v>
      </c>
      <c r="N505" s="357">
        <f t="shared" ca="1" si="220"/>
        <v>75.83039741626034</v>
      </c>
      <c r="O505" s="343"/>
      <c r="P505" s="363">
        <f t="shared" ca="1" si="221"/>
        <v>23</v>
      </c>
      <c r="Q505" s="357">
        <f t="shared" ca="1" si="222"/>
        <v>0</v>
      </c>
      <c r="R505" s="359">
        <f t="shared" ca="1" si="223"/>
        <v>0</v>
      </c>
      <c r="S505" s="360">
        <f t="shared" ca="1" si="224"/>
        <v>9.637999999999975</v>
      </c>
      <c r="T505" s="357">
        <f t="shared" ca="1" si="204"/>
        <v>94.548779999999766</v>
      </c>
      <c r="U505" s="364">
        <f t="shared" ca="1" si="205"/>
        <v>0</v>
      </c>
      <c r="V505" s="359">
        <f t="shared" ca="1" si="206"/>
        <v>1.1238792709215721</v>
      </c>
      <c r="W505" s="357">
        <f t="shared" ca="1" si="207"/>
        <v>166.03744281421521</v>
      </c>
      <c r="X505" s="343"/>
      <c r="Y505" s="367" t="str">
        <f t="shared" ca="1" si="225"/>
        <v/>
      </c>
      <c r="Z505" s="368" t="str">
        <f t="shared" ca="1" si="226"/>
        <v/>
      </c>
      <c r="AA505" s="369" t="str">
        <f t="shared" ca="1" si="227"/>
        <v/>
      </c>
      <c r="AB505" s="344"/>
      <c r="AC505" s="363" t="e">
        <f t="shared" ca="1" si="228"/>
        <v>#N/A</v>
      </c>
      <c r="AD505" s="376" t="e">
        <f t="shared" ca="1" si="229"/>
        <v>#N/A</v>
      </c>
      <c r="AE505" s="377">
        <f t="shared" ca="1" si="208"/>
        <v>861.01257165723757</v>
      </c>
      <c r="AF505" s="344"/>
      <c r="AG505" s="359">
        <f t="shared" ca="1" si="230"/>
        <v>-27.153239846788715</v>
      </c>
      <c r="AH505" s="357">
        <f t="shared" ca="1" si="231"/>
        <v>-17.639460867267843</v>
      </c>
    </row>
    <row r="506" spans="1:34" x14ac:dyDescent="0.25">
      <c r="A506" s="402">
        <f t="shared" ca="1" si="209"/>
        <v>0.1</v>
      </c>
      <c r="B506" s="357">
        <f t="shared" ca="1" si="210"/>
        <v>5.1999999999999371</v>
      </c>
      <c r="C506" s="342"/>
      <c r="D506" s="359">
        <f t="shared" ca="1" si="211"/>
        <v>-4.2171413333583647</v>
      </c>
      <c r="E506" s="360">
        <f t="shared" ca="1" si="212"/>
        <v>-26.513238534244906</v>
      </c>
      <c r="F506" s="357">
        <f t="shared" ca="1" si="213"/>
        <v>26.846528613571039</v>
      </c>
      <c r="G506" s="359">
        <f t="shared" ca="1" si="214"/>
        <v>62.117500154165619</v>
      </c>
      <c r="H506" s="360">
        <f t="shared" ca="1" si="215"/>
        <v>245.05377574220833</v>
      </c>
      <c r="I506" s="357">
        <f t="shared" ca="1" si="216"/>
        <v>252.8041471790273</v>
      </c>
      <c r="J506" s="359">
        <f t="shared" ca="1" si="217"/>
        <v>206.77437555038082</v>
      </c>
      <c r="K506" s="360">
        <f t="shared" ca="1" si="218"/>
        <v>885.65051542412959</v>
      </c>
      <c r="L506" s="357">
        <f t="shared" ca="1" si="203"/>
        <v>909.46823905800932</v>
      </c>
      <c r="M506" s="359">
        <f t="shared" ca="1" si="219"/>
        <v>1.3225401948139712</v>
      </c>
      <c r="N506" s="357">
        <f t="shared" ca="1" si="220"/>
        <v>75.775971399250238</v>
      </c>
      <c r="O506" s="343"/>
      <c r="P506" s="363">
        <f t="shared" ca="1" si="221"/>
        <v>23</v>
      </c>
      <c r="Q506" s="357">
        <f t="shared" ca="1" si="222"/>
        <v>0</v>
      </c>
      <c r="R506" s="359">
        <f t="shared" ca="1" si="223"/>
        <v>0</v>
      </c>
      <c r="S506" s="360">
        <f t="shared" ca="1" si="224"/>
        <v>9.637999999999975</v>
      </c>
      <c r="T506" s="357">
        <f t="shared" ca="1" si="204"/>
        <v>94.548779999999766</v>
      </c>
      <c r="U506" s="364">
        <f t="shared" ca="1" si="205"/>
        <v>0</v>
      </c>
      <c r="V506" s="359">
        <f t="shared" ca="1" si="206"/>
        <v>1.1211083945560287</v>
      </c>
      <c r="W506" s="357">
        <f t="shared" ca="1" si="207"/>
        <v>162.17937059139666</v>
      </c>
      <c r="X506" s="343"/>
      <c r="Y506" s="367" t="str">
        <f t="shared" ca="1" si="225"/>
        <v/>
      </c>
      <c r="Z506" s="368" t="str">
        <f t="shared" ca="1" si="226"/>
        <v/>
      </c>
      <c r="AA506" s="369" t="str">
        <f t="shared" ca="1" si="227"/>
        <v/>
      </c>
      <c r="AB506" s="344"/>
      <c r="AC506" s="363" t="e">
        <f t="shared" ca="1" si="228"/>
        <v>#N/A</v>
      </c>
      <c r="AD506" s="376" t="e">
        <f t="shared" ca="1" si="229"/>
        <v>#N/A</v>
      </c>
      <c r="AE506" s="377">
        <f t="shared" ca="1" si="208"/>
        <v>885.65051542412959</v>
      </c>
      <c r="AF506" s="344"/>
      <c r="AG506" s="359">
        <f t="shared" ca="1" si="230"/>
        <v>-26.738909524195506</v>
      </c>
      <c r="AH506" s="357">
        <f t="shared" ca="1" si="231"/>
        <v>-17.227375266052672</v>
      </c>
    </row>
    <row r="507" spans="1:34" x14ac:dyDescent="0.25">
      <c r="A507" s="402">
        <f t="shared" ca="1" si="209"/>
        <v>0.1</v>
      </c>
      <c r="B507" s="357">
        <f t="shared" ca="1" si="210"/>
        <v>5.2999999999999368</v>
      </c>
      <c r="C507" s="342"/>
      <c r="D507" s="359">
        <f t="shared" ca="1" si="211"/>
        <v>-4.1346472583421541</v>
      </c>
      <c r="E507" s="360">
        <f t="shared" ca="1" si="212"/>
        <v>-26.121199251487724</v>
      </c>
      <c r="F507" s="357">
        <f t="shared" ca="1" si="213"/>
        <v>26.446405394435725</v>
      </c>
      <c r="G507" s="359">
        <f t="shared" ca="1" si="214"/>
        <v>61.704035428331402</v>
      </c>
      <c r="H507" s="360">
        <f t="shared" ca="1" si="215"/>
        <v>242.44165581705957</v>
      </c>
      <c r="I507" s="357">
        <f t="shared" ca="1" si="216"/>
        <v>250.17063069724702</v>
      </c>
      <c r="J507" s="359">
        <f t="shared" ca="1" si="217"/>
        <v>212.96545232950567</v>
      </c>
      <c r="K507" s="360">
        <f t="shared" ca="1" si="218"/>
        <v>910.02528700209302</v>
      </c>
      <c r="L507" s="357">
        <f t="shared" ca="1" si="203"/>
        <v>934.61238322052679</v>
      </c>
      <c r="M507" s="359">
        <f t="shared" ca="1" si="219"/>
        <v>1.3215766708362713</v>
      </c>
      <c r="N507" s="357">
        <f t="shared" ca="1" si="220"/>
        <v>75.720765541868374</v>
      </c>
      <c r="O507" s="343"/>
      <c r="P507" s="363">
        <f t="shared" ca="1" si="221"/>
        <v>23</v>
      </c>
      <c r="Q507" s="357">
        <f t="shared" ca="1" si="222"/>
        <v>0</v>
      </c>
      <c r="R507" s="359">
        <f t="shared" ca="1" si="223"/>
        <v>0</v>
      </c>
      <c r="S507" s="360">
        <f t="shared" ca="1" si="224"/>
        <v>9.637999999999975</v>
      </c>
      <c r="T507" s="357">
        <f t="shared" ca="1" si="204"/>
        <v>94.548779999999766</v>
      </c>
      <c r="U507" s="364">
        <f t="shared" ca="1" si="205"/>
        <v>0</v>
      </c>
      <c r="V507" s="359">
        <f t="shared" ca="1" si="206"/>
        <v>1.1183735410381812</v>
      </c>
      <c r="W507" s="357">
        <f t="shared" ca="1" si="207"/>
        <v>158.43062976822242</v>
      </c>
      <c r="X507" s="343"/>
      <c r="Y507" s="367" t="str">
        <f t="shared" ca="1" si="225"/>
        <v/>
      </c>
      <c r="Z507" s="368" t="str">
        <f t="shared" ca="1" si="226"/>
        <v/>
      </c>
      <c r="AA507" s="369" t="str">
        <f t="shared" ca="1" si="227"/>
        <v/>
      </c>
      <c r="AB507" s="344"/>
      <c r="AC507" s="363" t="e">
        <f t="shared" ca="1" si="228"/>
        <v>#N/A</v>
      </c>
      <c r="AD507" s="376" t="e">
        <f t="shared" ca="1" si="229"/>
        <v>#N/A</v>
      </c>
      <c r="AE507" s="377">
        <f t="shared" ca="1" si="208"/>
        <v>910.02528700209302</v>
      </c>
      <c r="AF507" s="344"/>
      <c r="AG507" s="359">
        <f t="shared" ca="1" si="230"/>
        <v>-26.336326082831945</v>
      </c>
      <c r="AH507" s="357">
        <f t="shared" ca="1" si="231"/>
        <v>-16.827077255799654</v>
      </c>
    </row>
    <row r="508" spans="1:34" x14ac:dyDescent="0.25">
      <c r="A508" s="402">
        <f t="shared" ca="1" si="209"/>
        <v>0.1</v>
      </c>
      <c r="B508" s="357">
        <f t="shared" ca="1" si="210"/>
        <v>5.3999999999999364</v>
      </c>
      <c r="C508" s="342"/>
      <c r="D508" s="359">
        <f t="shared" ca="1" si="211"/>
        <v>-4.054426864672303</v>
      </c>
      <c r="E508" s="360">
        <f t="shared" ca="1" si="212"/>
        <v>-25.740270291673585</v>
      </c>
      <c r="F508" s="357">
        <f t="shared" ca="1" si="213"/>
        <v>26.057626367138475</v>
      </c>
      <c r="G508" s="359">
        <f t="shared" ca="1" si="214"/>
        <v>61.298592741864169</v>
      </c>
      <c r="H508" s="360">
        <f t="shared" ca="1" si="215"/>
        <v>239.86762878789222</v>
      </c>
      <c r="I508" s="357">
        <f t="shared" ca="1" si="216"/>
        <v>247.57624444291699</v>
      </c>
      <c r="J508" s="359">
        <f t="shared" ca="1" si="217"/>
        <v>219.11558373801546</v>
      </c>
      <c r="K508" s="360">
        <f t="shared" ca="1" si="218"/>
        <v>934.14075123234056</v>
      </c>
      <c r="L508" s="357">
        <f t="shared" ca="1" si="203"/>
        <v>959.49496202417492</v>
      </c>
      <c r="M508" s="359">
        <f t="shared" ca="1" si="219"/>
        <v>1.3205993495676165</v>
      </c>
      <c r="N508" s="357">
        <f t="shared" ca="1" si="220"/>
        <v>75.664769157946083</v>
      </c>
      <c r="O508" s="343"/>
      <c r="P508" s="363">
        <f t="shared" ca="1" si="221"/>
        <v>23</v>
      </c>
      <c r="Q508" s="357">
        <f t="shared" ca="1" si="222"/>
        <v>0</v>
      </c>
      <c r="R508" s="359">
        <f t="shared" ca="1" si="223"/>
        <v>0</v>
      </c>
      <c r="S508" s="360">
        <f t="shared" ca="1" si="224"/>
        <v>9.637999999999975</v>
      </c>
      <c r="T508" s="357">
        <f t="shared" ca="1" si="204"/>
        <v>94.548779999999766</v>
      </c>
      <c r="U508" s="364">
        <f t="shared" ca="1" si="205"/>
        <v>0</v>
      </c>
      <c r="V508" s="359">
        <f t="shared" ca="1" si="206"/>
        <v>1.1156740492616346</v>
      </c>
      <c r="W508" s="357">
        <f t="shared" ca="1" si="207"/>
        <v>154.78714529889649</v>
      </c>
      <c r="X508" s="343"/>
      <c r="Y508" s="367" t="str">
        <f t="shared" ca="1" si="225"/>
        <v/>
      </c>
      <c r="Z508" s="368" t="str">
        <f t="shared" ca="1" si="226"/>
        <v/>
      </c>
      <c r="AA508" s="369" t="str">
        <f t="shared" ca="1" si="227"/>
        <v/>
      </c>
      <c r="AB508" s="344"/>
      <c r="AC508" s="363" t="e">
        <f t="shared" ca="1" si="228"/>
        <v>#N/A</v>
      </c>
      <c r="AD508" s="376" t="e">
        <f t="shared" ca="1" si="229"/>
        <v>#N/A</v>
      </c>
      <c r="AE508" s="377">
        <f t="shared" ca="1" si="208"/>
        <v>934.14075123234056</v>
      </c>
      <c r="AF508" s="344"/>
      <c r="AG508" s="359">
        <f t="shared" ca="1" si="230"/>
        <v>-25.945044913950227</v>
      </c>
      <c r="AH508" s="357">
        <f t="shared" ca="1" si="231"/>
        <v>-16.438123030527375</v>
      </c>
    </row>
    <row r="509" spans="1:34" x14ac:dyDescent="0.25">
      <c r="A509" s="402">
        <f t="shared" ca="1" si="209"/>
        <v>0.1</v>
      </c>
      <c r="B509" s="357">
        <f t="shared" ca="1" si="210"/>
        <v>5.4999999999999361</v>
      </c>
      <c r="C509" s="342"/>
      <c r="D509" s="359">
        <f t="shared" ca="1" si="211"/>
        <v>-3.9763948477062105</v>
      </c>
      <c r="E509" s="360">
        <f t="shared" ca="1" si="212"/>
        <v>-25.370037524193812</v>
      </c>
      <c r="F509" s="357">
        <f t="shared" ca="1" si="213"/>
        <v>25.679768689843499</v>
      </c>
      <c r="G509" s="359">
        <f t="shared" ca="1" si="214"/>
        <v>60.900953257093548</v>
      </c>
      <c r="H509" s="360">
        <f t="shared" ca="1" si="215"/>
        <v>237.33062503547282</v>
      </c>
      <c r="I509" s="357">
        <f t="shared" ca="1" si="216"/>
        <v>245.01990059452496</v>
      </c>
      <c r="J509" s="359">
        <f t="shared" ca="1" si="217"/>
        <v>225.22556103796336</v>
      </c>
      <c r="K509" s="360">
        <f t="shared" ca="1" si="218"/>
        <v>958.0006639235088</v>
      </c>
      <c r="L509" s="357">
        <f t="shared" ca="1" si="203"/>
        <v>984.11982269576754</v>
      </c>
      <c r="M509" s="359">
        <f t="shared" ca="1" si="219"/>
        <v>1.3196080401026578</v>
      </c>
      <c r="N509" s="357">
        <f t="shared" ca="1" si="220"/>
        <v>75.607971309412576</v>
      </c>
      <c r="O509" s="343"/>
      <c r="P509" s="363">
        <f t="shared" ca="1" si="221"/>
        <v>23</v>
      </c>
      <c r="Q509" s="357">
        <f t="shared" ca="1" si="222"/>
        <v>0</v>
      </c>
      <c r="R509" s="359">
        <f t="shared" ca="1" si="223"/>
        <v>0</v>
      </c>
      <c r="S509" s="360">
        <f t="shared" ca="1" si="224"/>
        <v>9.637999999999975</v>
      </c>
      <c r="T509" s="357">
        <f t="shared" ca="1" si="204"/>
        <v>94.548779999999766</v>
      </c>
      <c r="U509" s="364">
        <f t="shared" ca="1" si="205"/>
        <v>0</v>
      </c>
      <c r="V509" s="359">
        <f t="shared" ca="1" si="206"/>
        <v>1.1130092779721674</v>
      </c>
      <c r="W509" s="357">
        <f t="shared" ca="1" si="207"/>
        <v>151.24503304478961</v>
      </c>
      <c r="X509" s="343"/>
      <c r="Y509" s="367" t="str">
        <f t="shared" ca="1" si="225"/>
        <v/>
      </c>
      <c r="Z509" s="368" t="str">
        <f t="shared" ca="1" si="226"/>
        <v/>
      </c>
      <c r="AA509" s="369" t="str">
        <f t="shared" ca="1" si="227"/>
        <v/>
      </c>
      <c r="AB509" s="344"/>
      <c r="AC509" s="363" t="e">
        <f t="shared" ca="1" si="228"/>
        <v>#N/A</v>
      </c>
      <c r="AD509" s="376" t="e">
        <f t="shared" ca="1" si="229"/>
        <v>#N/A</v>
      </c>
      <c r="AE509" s="377">
        <f t="shared" ca="1" si="208"/>
        <v>958.0006639235088</v>
      </c>
      <c r="AF509" s="344"/>
      <c r="AG509" s="359">
        <f t="shared" ca="1" si="230"/>
        <v>-25.564642382310289</v>
      </c>
      <c r="AH509" s="357">
        <f t="shared" ca="1" si="231"/>
        <v>-16.060089779922897</v>
      </c>
    </row>
    <row r="510" spans="1:34" x14ac:dyDescent="0.25">
      <c r="A510" s="402">
        <f t="shared" ca="1" si="209"/>
        <v>0.1</v>
      </c>
      <c r="B510" s="357">
        <f t="shared" ca="1" si="210"/>
        <v>5.5999999999999357</v>
      </c>
      <c r="C510" s="342"/>
      <c r="D510" s="359">
        <f t="shared" ca="1" si="211"/>
        <v>-3.9004698960213782</v>
      </c>
      <c r="E510" s="360">
        <f t="shared" ca="1" si="212"/>
        <v>-25.010106219141591</v>
      </c>
      <c r="F510" s="357">
        <f t="shared" ca="1" si="213"/>
        <v>25.312429328346063</v>
      </c>
      <c r="G510" s="359">
        <f t="shared" ca="1" si="214"/>
        <v>60.510906267491407</v>
      </c>
      <c r="H510" s="360">
        <f t="shared" ca="1" si="215"/>
        <v>234.82961441355866</v>
      </c>
      <c r="I510" s="357">
        <f t="shared" ca="1" si="216"/>
        <v>242.50055171676161</v>
      </c>
      <c r="J510" s="359">
        <f t="shared" ca="1" si="217"/>
        <v>231.29615401419261</v>
      </c>
      <c r="K510" s="360">
        <f t="shared" ca="1" si="218"/>
        <v>981.60867589596035</v>
      </c>
      <c r="L510" s="357">
        <f t="shared" ca="1" si="203"/>
        <v>1008.4907056864618</v>
      </c>
      <c r="M510" s="359">
        <f t="shared" ca="1" si="219"/>
        <v>1.3186025470349545</v>
      </c>
      <c r="N510" s="357">
        <f t="shared" ca="1" si="220"/>
        <v>75.550360800303523</v>
      </c>
      <c r="O510" s="343"/>
      <c r="P510" s="363">
        <f t="shared" ca="1" si="221"/>
        <v>23</v>
      </c>
      <c r="Q510" s="357">
        <f t="shared" ca="1" si="222"/>
        <v>0</v>
      </c>
      <c r="R510" s="359">
        <f t="shared" ca="1" si="223"/>
        <v>0</v>
      </c>
      <c r="S510" s="360">
        <f t="shared" ca="1" si="224"/>
        <v>9.637999999999975</v>
      </c>
      <c r="T510" s="357">
        <f t="shared" ca="1" si="204"/>
        <v>94.548779999999766</v>
      </c>
      <c r="U510" s="364">
        <f t="shared" ca="1" si="205"/>
        <v>0</v>
      </c>
      <c r="V510" s="359">
        <f t="shared" ca="1" si="206"/>
        <v>1.1103786049919069</v>
      </c>
      <c r="W510" s="357">
        <f t="shared" ca="1" si="207"/>
        <v>147.80058907793486</v>
      </c>
      <c r="X510" s="343"/>
      <c r="Y510" s="367" t="str">
        <f t="shared" ca="1" si="225"/>
        <v/>
      </c>
      <c r="Z510" s="368" t="str">
        <f t="shared" ca="1" si="226"/>
        <v/>
      </c>
      <c r="AA510" s="369" t="str">
        <f t="shared" ca="1" si="227"/>
        <v/>
      </c>
      <c r="AB510" s="344"/>
      <c r="AC510" s="363" t="e">
        <f t="shared" ca="1" si="228"/>
        <v>#N/A</v>
      </c>
      <c r="AD510" s="376" t="e">
        <f t="shared" ca="1" si="229"/>
        <v>#N/A</v>
      </c>
      <c r="AE510" s="377">
        <f t="shared" ca="1" si="208"/>
        <v>981.60867589596035</v>
      </c>
      <c r="AF510" s="344"/>
      <c r="AG510" s="359">
        <f t="shared" ca="1" si="230"/>
        <v>-25.194714637594139</v>
      </c>
      <c r="AH510" s="357">
        <f t="shared" ca="1" si="231"/>
        <v>-15.692574501430794</v>
      </c>
    </row>
    <row r="511" spans="1:34" x14ac:dyDescent="0.25">
      <c r="A511" s="402">
        <f t="shared" ca="1" si="209"/>
        <v>0.1</v>
      </c>
      <c r="B511" s="357">
        <f t="shared" ca="1" si="210"/>
        <v>5.6999999999999353</v>
      </c>
      <c r="C511" s="342"/>
      <c r="D511" s="359">
        <f t="shared" ca="1" si="211"/>
        <v>-3.8265744676340385</v>
      </c>
      <c r="E511" s="360">
        <f t="shared" ca="1" si="212"/>
        <v>-24.660099960278163</v>
      </c>
      <c r="F511" s="357">
        <f t="shared" ca="1" si="213"/>
        <v>24.955223946245397</v>
      </c>
      <c r="G511" s="359">
        <f t="shared" ca="1" si="214"/>
        <v>60.128248820728004</v>
      </c>
      <c r="H511" s="360">
        <f t="shared" ca="1" si="215"/>
        <v>232.36360441753084</v>
      </c>
      <c r="I511" s="357">
        <f t="shared" ca="1" si="216"/>
        <v>240.01718889311684</v>
      </c>
      <c r="J511" s="359">
        <f t="shared" ca="1" si="217"/>
        <v>237.32811176860358</v>
      </c>
      <c r="K511" s="360">
        <f t="shared" ca="1" si="218"/>
        <v>1004.9683368375148</v>
      </c>
      <c r="L511" s="357">
        <f t="shared" ca="1" si="203"/>
        <v>1032.6112485740273</v>
      </c>
      <c r="M511" s="359">
        <f t="shared" ca="1" si="219"/>
        <v>1.3175826703489262</v>
      </c>
      <c r="N511" s="357">
        <f t="shared" ca="1" si="220"/>
        <v>75.491926170570309</v>
      </c>
      <c r="O511" s="343"/>
      <c r="P511" s="363">
        <f t="shared" ca="1" si="221"/>
        <v>23</v>
      </c>
      <c r="Q511" s="357">
        <f t="shared" ca="1" si="222"/>
        <v>0</v>
      </c>
      <c r="R511" s="359">
        <f t="shared" ca="1" si="223"/>
        <v>0</v>
      </c>
      <c r="S511" s="360">
        <f t="shared" ca="1" si="224"/>
        <v>9.637999999999975</v>
      </c>
      <c r="T511" s="357">
        <f t="shared" ca="1" si="204"/>
        <v>94.548779999999766</v>
      </c>
      <c r="U511" s="364">
        <f t="shared" ca="1" si="205"/>
        <v>0</v>
      </c>
      <c r="V511" s="359">
        <f t="shared" ca="1" si="206"/>
        <v>1.1077814264811876</v>
      </c>
      <c r="W511" s="357">
        <f t="shared" ca="1" si="207"/>
        <v>144.45027968088857</v>
      </c>
      <c r="X511" s="343"/>
      <c r="Y511" s="367" t="str">
        <f t="shared" ca="1" si="225"/>
        <v/>
      </c>
      <c r="Z511" s="368" t="str">
        <f t="shared" ca="1" si="226"/>
        <v/>
      </c>
      <c r="AA511" s="369" t="str">
        <f t="shared" ca="1" si="227"/>
        <v/>
      </c>
      <c r="AB511" s="344"/>
      <c r="AC511" s="363" t="e">
        <f t="shared" ca="1" si="228"/>
        <v>#N/A</v>
      </c>
      <c r="AD511" s="376" t="e">
        <f t="shared" ca="1" si="229"/>
        <v>#N/A</v>
      </c>
      <c r="AE511" s="377">
        <f t="shared" ca="1" si="208"/>
        <v>1004.9683368375148</v>
      </c>
      <c r="AF511" s="344"/>
      <c r="AG511" s="359">
        <f t="shared" ca="1" si="230"/>
        <v>-24.834876503879894</v>
      </c>
      <c r="AH511" s="357">
        <f t="shared" ca="1" si="231"/>
        <v>-15.335192890426981</v>
      </c>
    </row>
    <row r="512" spans="1:34" x14ac:dyDescent="0.25">
      <c r="A512" s="402">
        <f t="shared" ca="1" si="209"/>
        <v>0.1</v>
      </c>
      <c r="B512" s="357">
        <f t="shared" ca="1" si="210"/>
        <v>5.799999999999935</v>
      </c>
      <c r="C512" s="342"/>
      <c r="D512" s="359">
        <f t="shared" ca="1" si="211"/>
        <v>-3.7546345807877453</v>
      </c>
      <c r="E512" s="360">
        <f t="shared" ca="1" si="212"/>
        <v>-24.319659628766519</v>
      </c>
      <c r="F512" s="357">
        <f t="shared" ca="1" si="213"/>
        <v>24.607785867369358</v>
      </c>
      <c r="G512" s="359">
        <f t="shared" ca="1" si="214"/>
        <v>59.752785362649227</v>
      </c>
      <c r="H512" s="360">
        <f t="shared" ca="1" si="215"/>
        <v>229.93163845465418</v>
      </c>
      <c r="I512" s="357">
        <f t="shared" ca="1" si="216"/>
        <v>237.56883996230783</v>
      </c>
      <c r="J512" s="359">
        <f t="shared" ca="1" si="217"/>
        <v>243.32216347777245</v>
      </c>
      <c r="K512" s="360">
        <f t="shared" ca="1" si="218"/>
        <v>1028.0830989811241</v>
      </c>
      <c r="L512" s="357">
        <f t="shared" ca="1" si="203"/>
        <v>1056.4849897893182</v>
      </c>
      <c r="M512" s="359">
        <f t="shared" ca="1" si="219"/>
        <v>1.3165482053082207</v>
      </c>
      <c r="N512" s="357">
        <f t="shared" ca="1" si="220"/>
        <v>75.432655689684054</v>
      </c>
      <c r="O512" s="343"/>
      <c r="P512" s="363">
        <f t="shared" ca="1" si="221"/>
        <v>23</v>
      </c>
      <c r="Q512" s="357">
        <f t="shared" ca="1" si="222"/>
        <v>0</v>
      </c>
      <c r="R512" s="359">
        <f t="shared" ca="1" si="223"/>
        <v>0</v>
      </c>
      <c r="S512" s="360">
        <f t="shared" ca="1" si="224"/>
        <v>9.637999999999975</v>
      </c>
      <c r="T512" s="357">
        <f t="shared" ca="1" si="204"/>
        <v>94.548779999999766</v>
      </c>
      <c r="U512" s="364">
        <f t="shared" ca="1" si="205"/>
        <v>0</v>
      </c>
      <c r="V512" s="359">
        <f t="shared" ca="1" si="206"/>
        <v>1.1052171562359006</v>
      </c>
      <c r="W512" s="357">
        <f t="shared" ca="1" si="207"/>
        <v>141.19073199142895</v>
      </c>
      <c r="X512" s="343"/>
      <c r="Y512" s="367" t="str">
        <f t="shared" ca="1" si="225"/>
        <v/>
      </c>
      <c r="Z512" s="368" t="str">
        <f t="shared" ca="1" si="226"/>
        <v/>
      </c>
      <c r="AA512" s="369" t="str">
        <f t="shared" ca="1" si="227"/>
        <v/>
      </c>
      <c r="AB512" s="344"/>
      <c r="AC512" s="363" t="e">
        <f t="shared" ca="1" si="228"/>
        <v>#N/A</v>
      </c>
      <c r="AD512" s="376" t="e">
        <f t="shared" ca="1" si="229"/>
        <v>#N/A</v>
      </c>
      <c r="AE512" s="377">
        <f t="shared" ca="1" si="208"/>
        <v>1028.0830989811241</v>
      </c>
      <c r="AF512" s="344"/>
      <c r="AG512" s="359">
        <f t="shared" ca="1" si="230"/>
        <v>-24.484760441341649</v>
      </c>
      <c r="AH512" s="357">
        <f t="shared" ca="1" si="231"/>
        <v>-14.98757830264463</v>
      </c>
    </row>
    <row r="513" spans="1:34" x14ac:dyDescent="0.25">
      <c r="A513" s="402">
        <f t="shared" ca="1" si="209"/>
        <v>0.1</v>
      </c>
      <c r="B513" s="357">
        <f t="shared" ca="1" si="210"/>
        <v>5.8999999999999346</v>
      </c>
      <c r="C513" s="342"/>
      <c r="D513" s="359">
        <f t="shared" ca="1" si="211"/>
        <v>-3.6845796182336978</v>
      </c>
      <c r="E513" s="360">
        <f t="shared" ca="1" si="212"/>
        <v>-23.988442452436271</v>
      </c>
      <c r="F513" s="357">
        <f t="shared" ca="1" si="213"/>
        <v>24.26976510510454</v>
      </c>
      <c r="G513" s="359">
        <f t="shared" ca="1" si="214"/>
        <v>59.38432740082586</v>
      </c>
      <c r="H513" s="360">
        <f t="shared" ca="1" si="215"/>
        <v>227.53279420941055</v>
      </c>
      <c r="I513" s="357">
        <f t="shared" ca="1" si="216"/>
        <v>235.15456785185026</v>
      </c>
      <c r="J513" s="359">
        <f t="shared" ca="1" si="217"/>
        <v>249.2790191159462</v>
      </c>
      <c r="K513" s="360">
        <f t="shared" ca="1" si="218"/>
        <v>1050.9563206143273</v>
      </c>
      <c r="L513" s="357">
        <f t="shared" ca="1" si="203"/>
        <v>1080.1153721758676</v>
      </c>
      <c r="M513" s="359">
        <f t="shared" ca="1" si="219"/>
        <v>1.315498942340376</v>
      </c>
      <c r="N513" s="357">
        <f t="shared" ca="1" si="220"/>
        <v>75.372537350027173</v>
      </c>
      <c r="O513" s="343"/>
      <c r="P513" s="363">
        <f t="shared" ca="1" si="221"/>
        <v>23</v>
      </c>
      <c r="Q513" s="357">
        <f t="shared" ca="1" si="222"/>
        <v>0</v>
      </c>
      <c r="R513" s="359">
        <f t="shared" ca="1" si="223"/>
        <v>0</v>
      </c>
      <c r="S513" s="360">
        <f t="shared" ca="1" si="224"/>
        <v>9.637999999999975</v>
      </c>
      <c r="T513" s="357">
        <f t="shared" ca="1" si="204"/>
        <v>94.548779999999766</v>
      </c>
      <c r="U513" s="364">
        <f t="shared" ca="1" si="205"/>
        <v>0</v>
      </c>
      <c r="V513" s="359">
        <f t="shared" ca="1" si="206"/>
        <v>1.1026852250183206</v>
      </c>
      <c r="W513" s="357">
        <f t="shared" ca="1" si="207"/>
        <v>138.01872524483301</v>
      </c>
      <c r="X513" s="343"/>
      <c r="Y513" s="367" t="str">
        <f t="shared" ca="1" si="225"/>
        <v/>
      </c>
      <c r="Z513" s="368" t="str">
        <f t="shared" ca="1" si="226"/>
        <v/>
      </c>
      <c r="AA513" s="369" t="str">
        <f t="shared" ca="1" si="227"/>
        <v/>
      </c>
      <c r="AB513" s="344"/>
      <c r="AC513" s="363" t="e">
        <f t="shared" ca="1" si="228"/>
        <v>#N/A</v>
      </c>
      <c r="AD513" s="376" t="e">
        <f t="shared" ca="1" si="229"/>
        <v>#N/A</v>
      </c>
      <c r="AE513" s="377">
        <f t="shared" ca="1" si="208"/>
        <v>1050.9563206143273</v>
      </c>
      <c r="AF513" s="344"/>
      <c r="AG513" s="359">
        <f t="shared" ca="1" si="230"/>
        <v>-24.144015574827932</v>
      </c>
      <c r="AH513" s="357">
        <f t="shared" ca="1" si="231"/>
        <v>-14.649380783505842</v>
      </c>
    </row>
    <row r="514" spans="1:34" x14ac:dyDescent="0.25">
      <c r="A514" s="402">
        <f t="shared" ca="1" si="209"/>
        <v>0.1</v>
      </c>
      <c r="B514" s="357">
        <f t="shared" ca="1" si="210"/>
        <v>5.9999999999999343</v>
      </c>
      <c r="C514" s="342"/>
      <c r="D514" s="359">
        <f t="shared" ca="1" si="211"/>
        <v>-3.616342144014145</v>
      </c>
      <c r="E514" s="360">
        <f t="shared" ca="1" si="212"/>
        <v>-23.666121115776857</v>
      </c>
      <c r="F514" s="357">
        <f t="shared" ca="1" si="213"/>
        <v>23.940827453728328</v>
      </c>
      <c r="G514" s="359">
        <f t="shared" ca="1" si="214"/>
        <v>59.022693186424448</v>
      </c>
      <c r="H514" s="360">
        <f t="shared" ca="1" si="215"/>
        <v>225.16618209783286</v>
      </c>
      <c r="I514" s="357">
        <f t="shared" ca="1" si="216"/>
        <v>232.77346900257604</v>
      </c>
      <c r="J514" s="359">
        <f t="shared" ca="1" si="217"/>
        <v>255.19937014530871</v>
      </c>
      <c r="K514" s="360">
        <f t="shared" ca="1" si="218"/>
        <v>1073.5912694296894</v>
      </c>
      <c r="L514" s="357">
        <f t="shared" ca="1" si="203"/>
        <v>1103.505746391116</v>
      </c>
      <c r="M514" s="359">
        <f t="shared" ca="1" si="219"/>
        <v>1.3144346669176565</v>
      </c>
      <c r="N514" s="357">
        <f t="shared" ca="1" si="220"/>
        <v>75.311558860065858</v>
      </c>
      <c r="O514" s="343"/>
      <c r="P514" s="363">
        <f t="shared" ca="1" si="221"/>
        <v>23</v>
      </c>
      <c r="Q514" s="357">
        <f t="shared" ca="1" si="222"/>
        <v>0</v>
      </c>
      <c r="R514" s="359">
        <f t="shared" ca="1" si="223"/>
        <v>0</v>
      </c>
      <c r="S514" s="360">
        <f t="shared" ca="1" si="224"/>
        <v>9.637999999999975</v>
      </c>
      <c r="T514" s="357">
        <f t="shared" ca="1" si="204"/>
        <v>94.548779999999766</v>
      </c>
      <c r="U514" s="364">
        <f t="shared" ca="1" si="205"/>
        <v>0</v>
      </c>
      <c r="V514" s="359">
        <f t="shared" ca="1" si="206"/>
        <v>1.1001850799195121</v>
      </c>
      <c r="W514" s="357">
        <f t="shared" ca="1" si="207"/>
        <v>134.93118257034135</v>
      </c>
      <c r="X514" s="343"/>
      <c r="Y514" s="367" t="str">
        <f t="shared" ca="1" si="225"/>
        <v/>
      </c>
      <c r="Z514" s="368" t="str">
        <f t="shared" ca="1" si="226"/>
        <v/>
      </c>
      <c r="AA514" s="369" t="str">
        <f t="shared" ca="1" si="227"/>
        <v/>
      </c>
      <c r="AB514" s="344"/>
      <c r="AC514" s="363">
        <f t="shared" ca="1" si="228"/>
        <v>5.9999999999999343</v>
      </c>
      <c r="AD514" s="376">
        <f t="shared" ca="1" si="229"/>
        <v>255.19937014530871</v>
      </c>
      <c r="AE514" s="377">
        <f t="shared" ca="1" si="208"/>
        <v>1073.5912694296894</v>
      </c>
      <c r="AF514" s="344"/>
      <c r="AG514" s="359">
        <f t="shared" ca="1" si="230"/>
        <v>-23.812306784414112</v>
      </c>
      <c r="AH514" s="357">
        <f t="shared" ca="1" si="231"/>
        <v>-14.320266159455631</v>
      </c>
    </row>
    <row r="515" spans="1:34" x14ac:dyDescent="0.25">
      <c r="A515" s="402">
        <f t="shared" ca="1" si="209"/>
        <v>0.1</v>
      </c>
      <c r="B515" s="357">
        <f t="shared" ca="1" si="210"/>
        <v>6.0999999999999339</v>
      </c>
      <c r="C515" s="342"/>
      <c r="D515" s="359">
        <f t="shared" ca="1" si="211"/>
        <v>-3.5498577318409561</v>
      </c>
      <c r="E515" s="360">
        <f t="shared" ca="1" si="212"/>
        <v>-23.352382926249561</v>
      </c>
      <c r="F515" s="357">
        <f t="shared" ca="1" si="213"/>
        <v>23.620653637240927</v>
      </c>
      <c r="G515" s="359">
        <f t="shared" ca="1" si="214"/>
        <v>58.66770741324035</v>
      </c>
      <c r="H515" s="360">
        <f t="shared" ca="1" si="215"/>
        <v>222.83094380520791</v>
      </c>
      <c r="I515" s="357">
        <f t="shared" ca="1" si="216"/>
        <v>230.4246718783501</v>
      </c>
      <c r="J515" s="359">
        <f t="shared" ca="1" si="217"/>
        <v>261.08389017529197</v>
      </c>
      <c r="K515" s="360">
        <f t="shared" ca="1" si="218"/>
        <v>1095.9911257248414</v>
      </c>
      <c r="L515" s="357">
        <f t="shared" ca="1" si="203"/>
        <v>1126.6593741573665</v>
      </c>
      <c r="M515" s="359">
        <f t="shared" ca="1" si="219"/>
        <v>1.3133551594339354</v>
      </c>
      <c r="N515" s="357">
        <f t="shared" ca="1" si="220"/>
        <v>75.249707637295842</v>
      </c>
      <c r="O515" s="343"/>
      <c r="P515" s="363">
        <f t="shared" ca="1" si="221"/>
        <v>23</v>
      </c>
      <c r="Q515" s="357">
        <f t="shared" ca="1" si="222"/>
        <v>0</v>
      </c>
      <c r="R515" s="359">
        <f t="shared" ca="1" si="223"/>
        <v>0</v>
      </c>
      <c r="S515" s="360">
        <f t="shared" ca="1" si="224"/>
        <v>9.637999999999975</v>
      </c>
      <c r="T515" s="357">
        <f t="shared" ca="1" si="204"/>
        <v>94.548779999999766</v>
      </c>
      <c r="U515" s="364">
        <f t="shared" ca="1" si="205"/>
        <v>0</v>
      </c>
      <c r="V515" s="359">
        <f t="shared" ca="1" si="206"/>
        <v>1.0977161837515421</v>
      </c>
      <c r="W515" s="357">
        <f t="shared" ca="1" si="207"/>
        <v>131.92516330194442</v>
      </c>
      <c r="X515" s="343"/>
      <c r="Y515" s="367" t="str">
        <f t="shared" ca="1" si="225"/>
        <v/>
      </c>
      <c r="Z515" s="368" t="str">
        <f t="shared" ca="1" si="226"/>
        <v/>
      </c>
      <c r="AA515" s="369" t="str">
        <f t="shared" ca="1" si="227"/>
        <v/>
      </c>
      <c r="AB515" s="344"/>
      <c r="AC515" s="363" t="e">
        <f t="shared" ca="1" si="228"/>
        <v>#N/A</v>
      </c>
      <c r="AD515" s="376" t="e">
        <f t="shared" ca="1" si="229"/>
        <v>#N/A</v>
      </c>
      <c r="AE515" s="377">
        <f t="shared" ca="1" si="208"/>
        <v>1095.9911257248414</v>
      </c>
      <c r="AF515" s="344"/>
      <c r="AG515" s="359">
        <f t="shared" ca="1" si="230"/>
        <v>-23.489313853425571</v>
      </c>
      <c r="AH515" s="357">
        <f t="shared" ca="1" si="231"/>
        <v>-13.999915186796192</v>
      </c>
    </row>
    <row r="516" spans="1:34" x14ac:dyDescent="0.25">
      <c r="A516" s="402">
        <f t="shared" ca="1" si="209"/>
        <v>0.1</v>
      </c>
      <c r="B516" s="357">
        <f t="shared" ca="1" si="210"/>
        <v>6.1999999999999336</v>
      </c>
      <c r="C516" s="342"/>
      <c r="D516" s="359">
        <f t="shared" ca="1" si="211"/>
        <v>-3.4850648042353143</v>
      </c>
      <c r="E516" s="360">
        <f t="shared" ca="1" si="212"/>
        <v>-23.046929032866991</v>
      </c>
      <c r="F516" s="357">
        <f t="shared" ca="1" si="213"/>
        <v>23.308938511560907</v>
      </c>
      <c r="G516" s="359">
        <f t="shared" ca="1" si="214"/>
        <v>58.31920093281682</v>
      </c>
      <c r="H516" s="360">
        <f t="shared" ca="1" si="215"/>
        <v>220.5262509019212</v>
      </c>
      <c r="I516" s="357">
        <f t="shared" ca="1" si="216"/>
        <v>228.10733555565321</v>
      </c>
      <c r="J516" s="359">
        <f t="shared" ca="1" si="217"/>
        <v>266.93323559259483</v>
      </c>
      <c r="K516" s="360">
        <f t="shared" ca="1" si="218"/>
        <v>1118.1589854601978</v>
      </c>
      <c r="L516" s="357">
        <f t="shared" ref="L516:L579" ca="1" si="232">SQRT(pos_x^2+pos_z^2)</f>
        <v>1149.5794313701469</v>
      </c>
      <c r="M516" s="359">
        <f t="shared" ca="1" si="219"/>
        <v>1.3122601950774881</v>
      </c>
      <c r="N516" s="357">
        <f t="shared" ca="1" si="220"/>
        <v>75.186970800954157</v>
      </c>
      <c r="O516" s="343"/>
      <c r="P516" s="363">
        <f t="shared" ca="1" si="221"/>
        <v>23</v>
      </c>
      <c r="Q516" s="357">
        <f t="shared" ca="1" si="222"/>
        <v>0</v>
      </c>
      <c r="R516" s="359">
        <f t="shared" ca="1" si="223"/>
        <v>0</v>
      </c>
      <c r="S516" s="360">
        <f t="shared" ca="1" si="224"/>
        <v>9.637999999999975</v>
      </c>
      <c r="T516" s="357">
        <f t="shared" ref="T516:T579" ca="1" si="233">m*g</f>
        <v>94.548779999999766</v>
      </c>
      <c r="U516" s="364">
        <f t="shared" ref="U516:U579" ca="1" si="234">IF(pos_xz&lt;L_rampe,Poids*COS(Beta),0)</f>
        <v>0</v>
      </c>
      <c r="V516" s="359">
        <f t="shared" ref="V516:V579" ca="1" si="235">Rho_moyen*(20000-Alt_rampe-pos_z)/(20000+Alt_rampe+pos_z)</f>
        <v>1.0952780144678511</v>
      </c>
      <c r="W516" s="357">
        <f t="shared" ref="W516:W579" ca="1" si="236">1/2*Rho*Sref*Cx*vit_xz^2</f>
        <v>128.99785576683161</v>
      </c>
      <c r="X516" s="343"/>
      <c r="Y516" s="367" t="str">
        <f t="shared" ca="1" si="225"/>
        <v/>
      </c>
      <c r="Z516" s="368" t="str">
        <f t="shared" ca="1" si="226"/>
        <v/>
      </c>
      <c r="AA516" s="369" t="str">
        <f t="shared" ca="1" si="227"/>
        <v/>
      </c>
      <c r="AB516" s="344"/>
      <c r="AC516" s="363" t="e">
        <f t="shared" ca="1" si="228"/>
        <v>#N/A</v>
      </c>
      <c r="AD516" s="376" t="e">
        <f t="shared" ca="1" si="229"/>
        <v>#N/A</v>
      </c>
      <c r="AE516" s="377">
        <f t="shared" ref="AE516:AE579" ca="1" si="237">IF(t&lt;T_para, pos_z, NA())</f>
        <v>1118.1589854601978</v>
      </c>
      <c r="AF516" s="344"/>
      <c r="AG516" s="359">
        <f t="shared" ca="1" si="230"/>
        <v>-23.174730669794172</v>
      </c>
      <c r="AH516" s="357">
        <f t="shared" ca="1" si="231"/>
        <v>-13.688022753885118</v>
      </c>
    </row>
    <row r="517" spans="1:34" x14ac:dyDescent="0.25">
      <c r="A517" s="402">
        <f t="shared" ref="A517:A580" ca="1" si="238">IF(B516+0.01&lt;=T_ini+ROUNDUP(Temps_fin_propu,0), 0.01, IF(K516&gt;0, 0.1, 0.0001))</f>
        <v>0.1</v>
      </c>
      <c r="B517" s="357">
        <f t="shared" ref="B517:B580" ca="1" si="239">B516+pas</f>
        <v>6.2999999999999332</v>
      </c>
      <c r="C517" s="342"/>
      <c r="D517" s="359">
        <f t="shared" ref="D517:D580" ca="1" si="240">IF(AND(L516&lt;L_rampe,Poussee&lt;Poids*SIN(M516)),0,(-W516+Poussee)/m*COS(M516)-U516/m*SIN(M516))</f>
        <v>-3.42190448166156</v>
      </c>
      <c r="E517" s="360">
        <f t="shared" ref="E517:E580" ca="1" si="241">IF(AND(L516&lt;L_rampe,Poussee&lt;Poids*SIN(M516)),0,(-W516+Poussee)/m*SIN(M516)+U516/m*COS(M516)-Poids/m)</f>
        <v>-22.749473693314496</v>
      </c>
      <c r="F517" s="357">
        <f t="shared" ref="F517:F580" ca="1" si="242">SQRT(acc_x^2+acc_z^2)</f>
        <v>23.005390316280742</v>
      </c>
      <c r="G517" s="359">
        <f t="shared" ref="G517:G580" ca="1" si="243">G516+acc_x*pas</f>
        <v>57.977010484650663</v>
      </c>
      <c r="H517" s="360">
        <f t="shared" ref="H517:H580" ca="1" si="244">H516+acc_z*pas</f>
        <v>218.25130353258976</v>
      </c>
      <c r="I517" s="357">
        <f t="shared" ref="I517:I580" ca="1" si="245">SQRT(vit_x^2+vit_z^2)</f>
        <v>225.82064838807793</v>
      </c>
      <c r="J517" s="359">
        <f t="shared" ref="J517:J580" ca="1" si="246">J516+0.5*(vit_x+G516)*pas*(K516&gt;=0)</f>
        <v>272.74804616346819</v>
      </c>
      <c r="K517" s="360">
        <f t="shared" ref="K517:K580" ca="1" si="247">K516+0.5*(vit_z+H516)*pas</f>
        <v>1140.0978631819232</v>
      </c>
      <c r="L517" s="357">
        <f t="shared" ca="1" si="232"/>
        <v>1172.2690110712545</v>
      </c>
      <c r="M517" s="359">
        <f t="shared" ref="M517:M580" ca="1" si="248">IF(AND(L516&gt;L_rampe,G517&gt;0),ATAN2(G517,H517),$M$4)</f>
        <v>1.3111495436995613</v>
      </c>
      <c r="N517" s="357">
        <f t="shared" ref="N517:N580" ca="1" si="249">DEGREES(Beta)</f>
        <v>75.123335164488552</v>
      </c>
      <c r="O517" s="343"/>
      <c r="P517" s="363">
        <f t="shared" ref="P517:P580" ca="1" si="250">MATCH(t-pas/2-T_ini,CdP_t)</f>
        <v>23</v>
      </c>
      <c r="Q517" s="357">
        <f t="shared" ref="Q517:Q580" ca="1" si="251">(INDEX(CdP,2,i_P+1)-INDEX(CdP,2,i_P+0))/(INDEX(CdP,1,i_P+1)-INDEX(CdP,1,i_P+0))*(t-pas/2-T_ini-INDEX(CdP,1,i_P+0))+INDEX(CdP,2,i_P+0)</f>
        <v>0</v>
      </c>
      <c r="R517" s="359">
        <f t="shared" ref="R517:R580" ca="1" si="252">Poussee/(g*ISP)</f>
        <v>0</v>
      </c>
      <c r="S517" s="360">
        <f t="shared" ref="S517:S580" ca="1" si="253">S516-Débit*pas</f>
        <v>9.637999999999975</v>
      </c>
      <c r="T517" s="357">
        <f t="shared" ca="1" si="233"/>
        <v>94.548779999999766</v>
      </c>
      <c r="U517" s="364">
        <f t="shared" ca="1" si="234"/>
        <v>0</v>
      </c>
      <c r="V517" s="359">
        <f t="shared" ca="1" si="235"/>
        <v>1.0928700646102267</v>
      </c>
      <c r="W517" s="357">
        <f t="shared" ca="1" si="236"/>
        <v>126.14657051776553</v>
      </c>
      <c r="X517" s="343"/>
      <c r="Y517" s="367" t="str">
        <f t="shared" ref="Y517:Y580" ca="1" si="254">IF(AND(pos_z&lt;=0,K516&gt;0),"Impact balistique","") &amp; IF(AND(H518&lt;0,vit_z&gt;=0),"Apogée","") &amp; IF(AND(Poussee=0,Q516&gt;0),"Fin de propulsion","") &amp; IF(AND(L518&gt;L_rampe,pos_xz&lt;=L_rampe),"Sortie de rampe","")</f>
        <v/>
      </c>
      <c r="Z517" s="368" t="str">
        <f t="shared" ref="Z517:Z580" ca="1" si="255">IF(ABS(t-T_para)&lt;pas/2,"Para","")</f>
        <v/>
      </c>
      <c r="AA517" s="369" t="str">
        <f t="shared" ref="AA517:AA580" ca="1" si="256">IF(ABS(t-T_satellite)&lt;pas/2,"Satellite","")</f>
        <v/>
      </c>
      <c r="AB517" s="344"/>
      <c r="AC517" s="363" t="e">
        <f t="shared" ref="AC517:AC580" ca="1" si="257">IF(ABS(t-ROUND(t,0))&lt;0.001,t,NA())</f>
        <v>#N/A</v>
      </c>
      <c r="AD517" s="376" t="e">
        <f t="shared" ref="AD517:AD580" ca="1" si="258">IF(ABS(t-ROUND(t,0))&lt;0.001,pos_x,NA())</f>
        <v>#N/A</v>
      </c>
      <c r="AE517" s="377">
        <f t="shared" ca="1" si="237"/>
        <v>1140.0978631819232</v>
      </c>
      <c r="AF517" s="344"/>
      <c r="AG517" s="359">
        <f t="shared" ref="AG517:AG580" ca="1" si="259">IF(AND(L516&lt;L_rampe,Poussee&lt;Poids*SIN(M516)),0,(-W516+Poussee)/m-Poids*SIN(M516)/m)</f>
        <v>-22.868264476942976</v>
      </c>
      <c r="AH517" s="357">
        <f t="shared" ref="AH517:AH580" ca="1" si="260">IF(AND(L516&lt;L_rampe,Poussee&lt;Poids*SIN(M516)), g*SIN(M516), (-W516+Poussee)/m)</f>
        <v>-13.384297132893956</v>
      </c>
    </row>
    <row r="518" spans="1:34" x14ac:dyDescent="0.25">
      <c r="A518" s="402">
        <f t="shared" ca="1" si="238"/>
        <v>0.1</v>
      </c>
      <c r="B518" s="357">
        <f t="shared" ca="1" si="239"/>
        <v>6.3999999999999329</v>
      </c>
      <c r="C518" s="342"/>
      <c r="D518" s="359">
        <f t="shared" ca="1" si="240"/>
        <v>-3.3603204409493093</v>
      </c>
      <c r="E518" s="360">
        <f t="shared" ca="1" si="241"/>
        <v>-22.459743586185056</v>
      </c>
      <c r="F518" s="357">
        <f t="shared" ca="1" si="242"/>
        <v>22.709729972481895</v>
      </c>
      <c r="G518" s="359">
        <f t="shared" ca="1" si="243"/>
        <v>57.640978440555735</v>
      </c>
      <c r="H518" s="360">
        <f t="shared" ca="1" si="244"/>
        <v>216.00532917397126</v>
      </c>
      <c r="I518" s="357">
        <f t="shared" ca="1" si="245"/>
        <v>223.56382674113513</v>
      </c>
      <c r="J518" s="359">
        <f t="shared" ca="1" si="246"/>
        <v>278.52894560972851</v>
      </c>
      <c r="K518" s="360">
        <f t="shared" ca="1" si="247"/>
        <v>1161.8106948172513</v>
      </c>
      <c r="L518" s="357">
        <f t="shared" ca="1" si="232"/>
        <v>1194.7311262933645</v>
      </c>
      <c r="M518" s="359">
        <f t="shared" ca="1" si="248"/>
        <v>1.3100229696785692</v>
      </c>
      <c r="N518" s="357">
        <f t="shared" ca="1" si="249"/>
        <v>75.058787227776634</v>
      </c>
      <c r="O518" s="343"/>
      <c r="P518" s="363">
        <f t="shared" ca="1" si="250"/>
        <v>23</v>
      </c>
      <c r="Q518" s="357">
        <f t="shared" ca="1" si="251"/>
        <v>0</v>
      </c>
      <c r="R518" s="359">
        <f t="shared" ca="1" si="252"/>
        <v>0</v>
      </c>
      <c r="S518" s="360">
        <f t="shared" ca="1" si="253"/>
        <v>9.637999999999975</v>
      </c>
      <c r="T518" s="357">
        <f t="shared" ca="1" si="233"/>
        <v>94.548779999999766</v>
      </c>
      <c r="U518" s="364">
        <f t="shared" ca="1" si="234"/>
        <v>0</v>
      </c>
      <c r="V518" s="359">
        <f t="shared" ca="1" si="235"/>
        <v>1.0904918407809316</v>
      </c>
      <c r="W518" s="357">
        <f t="shared" ca="1" si="236"/>
        <v>123.36873397830989</v>
      </c>
      <c r="X518" s="343"/>
      <c r="Y518" s="367" t="str">
        <f t="shared" ca="1" si="254"/>
        <v/>
      </c>
      <c r="Z518" s="368" t="str">
        <f t="shared" ca="1" si="255"/>
        <v/>
      </c>
      <c r="AA518" s="369" t="str">
        <f t="shared" ca="1" si="256"/>
        <v/>
      </c>
      <c r="AB518" s="344"/>
      <c r="AC518" s="363" t="e">
        <f t="shared" ca="1" si="257"/>
        <v>#N/A</v>
      </c>
      <c r="AD518" s="376" t="e">
        <f t="shared" ca="1" si="258"/>
        <v>#N/A</v>
      </c>
      <c r="AE518" s="377">
        <f t="shared" ca="1" si="237"/>
        <v>1161.8106948172513</v>
      </c>
      <c r="AF518" s="344"/>
      <c r="AG518" s="359">
        <f t="shared" ca="1" si="259"/>
        <v>-22.569635170697666</v>
      </c>
      <c r="AH518" s="357">
        <f t="shared" ca="1" si="260"/>
        <v>-13.08845927762667</v>
      </c>
    </row>
    <row r="519" spans="1:34" x14ac:dyDescent="0.25">
      <c r="A519" s="402">
        <f t="shared" ca="1" si="238"/>
        <v>0.1</v>
      </c>
      <c r="B519" s="357">
        <f t="shared" ca="1" si="239"/>
        <v>6.4999999999999325</v>
      </c>
      <c r="C519" s="342"/>
      <c r="D519" s="359">
        <f t="shared" ca="1" si="240"/>
        <v>-3.3002587823537946</v>
      </c>
      <c r="E519" s="360">
        <f t="shared" ca="1" si="241"/>
        <v>-22.177477165169854</v>
      </c>
      <c r="F519" s="357">
        <f t="shared" ca="1" si="242"/>
        <v>22.421690423385424</v>
      </c>
      <c r="G519" s="359">
        <f t="shared" ca="1" si="243"/>
        <v>57.310952562320352</v>
      </c>
      <c r="H519" s="360">
        <f t="shared" ca="1" si="244"/>
        <v>213.78758145745428</v>
      </c>
      <c r="I519" s="357">
        <f t="shared" ca="1" si="245"/>
        <v>221.33611379309113</v>
      </c>
      <c r="J519" s="359">
        <f t="shared" ca="1" si="246"/>
        <v>284.27654215987229</v>
      </c>
      <c r="K519" s="360">
        <f t="shared" ca="1" si="247"/>
        <v>1183.3003403488226</v>
      </c>
      <c r="L519" s="357">
        <f t="shared" ca="1" si="232"/>
        <v>1216.9687127827128</v>
      </c>
      <c r="M519" s="359">
        <f t="shared" ca="1" si="248"/>
        <v>1.3088802317797708</v>
      </c>
      <c r="N519" s="357">
        <f t="shared" ca="1" si="249"/>
        <v>74.993313169085837</v>
      </c>
      <c r="O519" s="343"/>
      <c r="P519" s="363">
        <f t="shared" ca="1" si="250"/>
        <v>23</v>
      </c>
      <c r="Q519" s="357">
        <f t="shared" ca="1" si="251"/>
        <v>0</v>
      </c>
      <c r="R519" s="359">
        <f t="shared" ca="1" si="252"/>
        <v>0</v>
      </c>
      <c r="S519" s="360">
        <f t="shared" ca="1" si="253"/>
        <v>9.637999999999975</v>
      </c>
      <c r="T519" s="357">
        <f t="shared" ca="1" si="233"/>
        <v>94.548779999999766</v>
      </c>
      <c r="U519" s="364">
        <f t="shared" ca="1" si="234"/>
        <v>0</v>
      </c>
      <c r="V519" s="359">
        <f t="shared" ca="1" si="235"/>
        <v>1.0881428631386305</v>
      </c>
      <c r="W519" s="357">
        <f t="shared" ca="1" si="236"/>
        <v>120.66188247227167</v>
      </c>
      <c r="X519" s="343"/>
      <c r="Y519" s="367" t="str">
        <f t="shared" ca="1" si="254"/>
        <v/>
      </c>
      <c r="Z519" s="368" t="str">
        <f t="shared" ca="1" si="255"/>
        <v/>
      </c>
      <c r="AA519" s="369" t="str">
        <f t="shared" ca="1" si="256"/>
        <v/>
      </c>
      <c r="AB519" s="344"/>
      <c r="AC519" s="363" t="e">
        <f t="shared" ca="1" si="257"/>
        <v>#N/A</v>
      </c>
      <c r="AD519" s="376" t="e">
        <f t="shared" ca="1" si="258"/>
        <v>#N/A</v>
      </c>
      <c r="AE519" s="377">
        <f t="shared" ca="1" si="237"/>
        <v>1183.3003403488226</v>
      </c>
      <c r="AF519" s="344"/>
      <c r="AG519" s="359">
        <f t="shared" ca="1" si="259"/>
        <v>-22.278574638999157</v>
      </c>
      <c r="AH519" s="357">
        <f t="shared" ca="1" si="260"/>
        <v>-12.800242164174124</v>
      </c>
    </row>
    <row r="520" spans="1:34" x14ac:dyDescent="0.25">
      <c r="A520" s="402">
        <f t="shared" ca="1" si="238"/>
        <v>0.1</v>
      </c>
      <c r="B520" s="357">
        <f t="shared" ca="1" si="239"/>
        <v>6.5999999999999321</v>
      </c>
      <c r="C520" s="342"/>
      <c r="D520" s="359">
        <f t="shared" ca="1" si="240"/>
        <v>-3.2416679046552277</v>
      </c>
      <c r="E520" s="360">
        <f t="shared" ca="1" si="241"/>
        <v>-21.902424052294201</v>
      </c>
      <c r="F520" s="357">
        <f t="shared" ca="1" si="242"/>
        <v>22.141016014866782</v>
      </c>
      <c r="G520" s="359">
        <f t="shared" ca="1" si="243"/>
        <v>56.986785771854827</v>
      </c>
      <c r="H520" s="360">
        <f t="shared" ca="1" si="244"/>
        <v>211.59733905222487</v>
      </c>
      <c r="I520" s="357">
        <f t="shared" ca="1" si="245"/>
        <v>219.13677839785242</v>
      </c>
      <c r="J520" s="359">
        <f t="shared" ca="1" si="246"/>
        <v>289.99142907658103</v>
      </c>
      <c r="K520" s="360">
        <f t="shared" ca="1" si="247"/>
        <v>1204.5695863743065</v>
      </c>
      <c r="L520" s="357">
        <f t="shared" ca="1" si="232"/>
        <v>1238.9846316059959</v>
      </c>
      <c r="M520" s="359">
        <f t="shared" ca="1" si="248"/>
        <v>1.307721083010265</v>
      </c>
      <c r="N520" s="357">
        <f t="shared" ca="1" si="249"/>
        <v>74.926898836765375</v>
      </c>
      <c r="O520" s="343"/>
      <c r="P520" s="363">
        <f t="shared" ca="1" si="250"/>
        <v>23</v>
      </c>
      <c r="Q520" s="357">
        <f t="shared" ca="1" si="251"/>
        <v>0</v>
      </c>
      <c r="R520" s="359">
        <f t="shared" ca="1" si="252"/>
        <v>0</v>
      </c>
      <c r="S520" s="360">
        <f t="shared" ca="1" si="253"/>
        <v>9.637999999999975</v>
      </c>
      <c r="T520" s="357">
        <f t="shared" ca="1" si="233"/>
        <v>94.548779999999766</v>
      </c>
      <c r="U520" s="364">
        <f t="shared" ca="1" si="234"/>
        <v>0</v>
      </c>
      <c r="V520" s="359">
        <f t="shared" ca="1" si="235"/>
        <v>1.0858226649168377</v>
      </c>
      <c r="W520" s="357">
        <f t="shared" ca="1" si="236"/>
        <v>118.02365661094063</v>
      </c>
      <c r="X520" s="343"/>
      <c r="Y520" s="367" t="str">
        <f t="shared" ca="1" si="254"/>
        <v/>
      </c>
      <c r="Z520" s="368" t="str">
        <f t="shared" ca="1" si="255"/>
        <v/>
      </c>
      <c r="AA520" s="369" t="str">
        <f t="shared" ca="1" si="256"/>
        <v/>
      </c>
      <c r="AB520" s="344"/>
      <c r="AC520" s="363" t="e">
        <f t="shared" ca="1" si="257"/>
        <v>#N/A</v>
      </c>
      <c r="AD520" s="376" t="e">
        <f t="shared" ca="1" si="258"/>
        <v>#N/A</v>
      </c>
      <c r="AE520" s="377">
        <f t="shared" ca="1" si="237"/>
        <v>1204.5695863743065</v>
      </c>
      <c r="AF520" s="344"/>
      <c r="AG520" s="359">
        <f t="shared" ca="1" si="259"/>
        <v>-21.994826141444634</v>
      </c>
      <c r="AH520" s="357">
        <f t="shared" ca="1" si="260"/>
        <v>-12.519390171433075</v>
      </c>
    </row>
    <row r="521" spans="1:34" x14ac:dyDescent="0.25">
      <c r="A521" s="402">
        <f t="shared" ca="1" si="238"/>
        <v>0.1</v>
      </c>
      <c r="B521" s="357">
        <f t="shared" ca="1" si="239"/>
        <v>6.6999999999999318</v>
      </c>
      <c r="C521" s="342"/>
      <c r="D521" s="359">
        <f t="shared" ca="1" si="240"/>
        <v>-3.1844983877445308</v>
      </c>
      <c r="E521" s="360">
        <f t="shared" ca="1" si="241"/>
        <v>-21.634344467514097</v>
      </c>
      <c r="F521" s="357">
        <f t="shared" ca="1" si="242"/>
        <v>21.867461913093738</v>
      </c>
      <c r="G521" s="359">
        <f t="shared" ca="1" si="243"/>
        <v>56.668335933080371</v>
      </c>
      <c r="H521" s="360">
        <f t="shared" ca="1" si="244"/>
        <v>209.43390460547346</v>
      </c>
      <c r="I521" s="357">
        <f t="shared" ca="1" si="245"/>
        <v>216.96511400618994</v>
      </c>
      <c r="J521" s="359">
        <f t="shared" ca="1" si="246"/>
        <v>295.67418516182778</v>
      </c>
      <c r="K521" s="360">
        <f t="shared" ca="1" si="247"/>
        <v>1225.6211485571914</v>
      </c>
      <c r="L521" s="357">
        <f t="shared" ca="1" si="232"/>
        <v>1260.7816716472998</v>
      </c>
      <c r="M521" s="359">
        <f t="shared" ca="1" si="248"/>
        <v>1.3065452704691471</v>
      </c>
      <c r="N521" s="357">
        <f t="shared" ca="1" si="249"/>
        <v>74.859529740660761</v>
      </c>
      <c r="O521" s="343"/>
      <c r="P521" s="363">
        <f t="shared" ca="1" si="250"/>
        <v>23</v>
      </c>
      <c r="Q521" s="357">
        <f t="shared" ca="1" si="251"/>
        <v>0</v>
      </c>
      <c r="R521" s="359">
        <f t="shared" ca="1" si="252"/>
        <v>0</v>
      </c>
      <c r="S521" s="360">
        <f t="shared" ca="1" si="253"/>
        <v>9.637999999999975</v>
      </c>
      <c r="T521" s="357">
        <f t="shared" ca="1" si="233"/>
        <v>94.548779999999766</v>
      </c>
      <c r="U521" s="364">
        <f t="shared" ca="1" si="234"/>
        <v>0</v>
      </c>
      <c r="V521" s="359">
        <f t="shared" ca="1" si="235"/>
        <v>1.0835307919636912</v>
      </c>
      <c r="W521" s="357">
        <f t="shared" ca="1" si="236"/>
        <v>115.45179601374132</v>
      </c>
      <c r="X521" s="343"/>
      <c r="Y521" s="367" t="str">
        <f t="shared" ca="1" si="254"/>
        <v/>
      </c>
      <c r="Z521" s="368" t="str">
        <f t="shared" ca="1" si="255"/>
        <v/>
      </c>
      <c r="AA521" s="369" t="str">
        <f t="shared" ca="1" si="256"/>
        <v/>
      </c>
      <c r="AB521" s="344"/>
      <c r="AC521" s="363" t="e">
        <f t="shared" ca="1" si="257"/>
        <v>#N/A</v>
      </c>
      <c r="AD521" s="376" t="e">
        <f t="shared" ca="1" si="258"/>
        <v>#N/A</v>
      </c>
      <c r="AE521" s="377">
        <f t="shared" ca="1" si="237"/>
        <v>1225.6211485571914</v>
      </c>
      <c r="AF521" s="344"/>
      <c r="AG521" s="359">
        <f t="shared" ca="1" si="259"/>
        <v>-21.718143725914434</v>
      </c>
      <c r="AH521" s="357">
        <f t="shared" ca="1" si="260"/>
        <v>-12.245658498748801</v>
      </c>
    </row>
    <row r="522" spans="1:34" x14ac:dyDescent="0.25">
      <c r="A522" s="402">
        <f t="shared" ca="1" si="238"/>
        <v>0.1</v>
      </c>
      <c r="B522" s="357">
        <f t="shared" ca="1" si="239"/>
        <v>6.7999999999999314</v>
      </c>
      <c r="C522" s="342"/>
      <c r="D522" s="359">
        <f t="shared" ca="1" si="240"/>
        <v>-3.1287028821852418</v>
      </c>
      <c r="E522" s="360">
        <f t="shared" ca="1" si="241"/>
        <v>-21.373008692195341</v>
      </c>
      <c r="F522" s="357">
        <f t="shared" ca="1" si="242"/>
        <v>21.600793556757399</v>
      </c>
      <c r="G522" s="359">
        <f t="shared" ca="1" si="243"/>
        <v>56.355465644861845</v>
      </c>
      <c r="H522" s="360">
        <f t="shared" ca="1" si="244"/>
        <v>207.29660373625393</v>
      </c>
      <c r="I522" s="357">
        <f t="shared" ca="1" si="245"/>
        <v>214.82043764184704</v>
      </c>
      <c r="J522" s="359">
        <f t="shared" ca="1" si="246"/>
        <v>301.3253752407249</v>
      </c>
      <c r="K522" s="360">
        <f t="shared" ca="1" si="247"/>
        <v>1246.4576739742779</v>
      </c>
      <c r="L522" s="357">
        <f t="shared" ca="1" si="232"/>
        <v>1282.3625520005373</v>
      </c>
      <c r="M522" s="359">
        <f t="shared" ca="1" si="248"/>
        <v>1.3053525351926483</v>
      </c>
      <c r="N522" s="357">
        <f t="shared" ca="1" si="249"/>
        <v>74.791191043241014</v>
      </c>
      <c r="O522" s="343"/>
      <c r="P522" s="363">
        <f t="shared" ca="1" si="250"/>
        <v>23</v>
      </c>
      <c r="Q522" s="357">
        <f t="shared" ca="1" si="251"/>
        <v>0</v>
      </c>
      <c r="R522" s="359">
        <f t="shared" ca="1" si="252"/>
        <v>0</v>
      </c>
      <c r="S522" s="360">
        <f t="shared" ca="1" si="253"/>
        <v>9.637999999999975</v>
      </c>
      <c r="T522" s="357">
        <f t="shared" ca="1" si="233"/>
        <v>94.548779999999766</v>
      </c>
      <c r="U522" s="364">
        <f t="shared" ca="1" si="234"/>
        <v>0</v>
      </c>
      <c r="V522" s="359">
        <f t="shared" ca="1" si="235"/>
        <v>1.0812668023019321</v>
      </c>
      <c r="W522" s="357">
        <f t="shared" ca="1" si="236"/>
        <v>112.94413433977155</v>
      </c>
      <c r="X522" s="343"/>
      <c r="Y522" s="367" t="str">
        <f t="shared" ca="1" si="254"/>
        <v/>
      </c>
      <c r="Z522" s="368" t="str">
        <f t="shared" ca="1" si="255"/>
        <v/>
      </c>
      <c r="AA522" s="369" t="str">
        <f t="shared" ca="1" si="256"/>
        <v/>
      </c>
      <c r="AB522" s="344"/>
      <c r="AC522" s="363" t="e">
        <f t="shared" ca="1" si="257"/>
        <v>#N/A</v>
      </c>
      <c r="AD522" s="376" t="e">
        <f t="shared" ca="1" si="258"/>
        <v>#N/A</v>
      </c>
      <c r="AE522" s="377">
        <f t="shared" ca="1" si="237"/>
        <v>1246.4576739742779</v>
      </c>
      <c r="AF522" s="344"/>
      <c r="AG522" s="359">
        <f t="shared" ca="1" si="259"/>
        <v>-21.448291679753183</v>
      </c>
      <c r="AH522" s="357">
        <f t="shared" ca="1" si="260"/>
        <v>-11.978812618151236</v>
      </c>
    </row>
    <row r="523" spans="1:34" x14ac:dyDescent="0.25">
      <c r="A523" s="402">
        <f t="shared" ca="1" si="238"/>
        <v>0.1</v>
      </c>
      <c r="B523" s="357">
        <f t="shared" ca="1" si="239"/>
        <v>6.8999999999999311</v>
      </c>
      <c r="C523" s="342"/>
      <c r="D523" s="359">
        <f t="shared" ca="1" si="240"/>
        <v>-3.074236005280369</v>
      </c>
      <c r="E523" s="360">
        <f t="shared" ca="1" si="241"/>
        <v>-21.118196564186</v>
      </c>
      <c r="F523" s="357">
        <f t="shared" ca="1" si="242"/>
        <v>21.340786141559068</v>
      </c>
      <c r="G523" s="359">
        <f t="shared" ca="1" si="243"/>
        <v>56.048042044333805</v>
      </c>
      <c r="H523" s="360">
        <f t="shared" ca="1" si="244"/>
        <v>205.18478407983534</v>
      </c>
      <c r="I523" s="357">
        <f t="shared" ca="1" si="245"/>
        <v>212.70208892930992</v>
      </c>
      <c r="J523" s="359">
        <f t="shared" ca="1" si="246"/>
        <v>306.94555062518469</v>
      </c>
      <c r="K523" s="360">
        <f t="shared" ca="1" si="247"/>
        <v>1267.0817433650823</v>
      </c>
      <c r="L523" s="357">
        <f t="shared" ca="1" si="232"/>
        <v>1303.7299242625729</v>
      </c>
      <c r="M523" s="359">
        <f t="shared" ca="1" si="248"/>
        <v>1.3041426119940867</v>
      </c>
      <c r="N523" s="357">
        <f t="shared" ca="1" si="249"/>
        <v>74.721867550428456</v>
      </c>
      <c r="O523" s="343"/>
      <c r="P523" s="363">
        <f t="shared" ca="1" si="250"/>
        <v>23</v>
      </c>
      <c r="Q523" s="357">
        <f t="shared" ca="1" si="251"/>
        <v>0</v>
      </c>
      <c r="R523" s="359">
        <f t="shared" ca="1" si="252"/>
        <v>0</v>
      </c>
      <c r="S523" s="360">
        <f t="shared" ca="1" si="253"/>
        <v>9.637999999999975</v>
      </c>
      <c r="T523" s="357">
        <f t="shared" ca="1" si="233"/>
        <v>94.548779999999766</v>
      </c>
      <c r="U523" s="364">
        <f t="shared" ca="1" si="234"/>
        <v>0</v>
      </c>
      <c r="V523" s="359">
        <f t="shared" ca="1" si="235"/>
        <v>1.0790302657080375</v>
      </c>
      <c r="W523" s="357">
        <f t="shared" ca="1" si="236"/>
        <v>110.49859460940525</v>
      </c>
      <c r="X523" s="343"/>
      <c r="Y523" s="367" t="str">
        <f t="shared" ca="1" si="254"/>
        <v/>
      </c>
      <c r="Z523" s="368" t="str">
        <f t="shared" ca="1" si="255"/>
        <v/>
      </c>
      <c r="AA523" s="369" t="str">
        <f t="shared" ca="1" si="256"/>
        <v/>
      </c>
      <c r="AB523" s="344"/>
      <c r="AC523" s="363" t="e">
        <f t="shared" ca="1" si="257"/>
        <v>#N/A</v>
      </c>
      <c r="AD523" s="376" t="e">
        <f t="shared" ca="1" si="258"/>
        <v>#N/A</v>
      </c>
      <c r="AE523" s="377">
        <f t="shared" ca="1" si="237"/>
        <v>1267.0817433650823</v>
      </c>
      <c r="AF523" s="344"/>
      <c r="AG523" s="359">
        <f t="shared" ca="1" si="259"/>
        <v>-21.185044013166227</v>
      </c>
      <c r="AH523" s="357">
        <f t="shared" ca="1" si="260"/>
        <v>-11.718627758847463</v>
      </c>
    </row>
    <row r="524" spans="1:34" x14ac:dyDescent="0.25">
      <c r="A524" s="402">
        <f t="shared" ca="1" si="238"/>
        <v>0.1</v>
      </c>
      <c r="B524" s="357">
        <f t="shared" ca="1" si="239"/>
        <v>6.9999999999999307</v>
      </c>
      <c r="C524" s="342"/>
      <c r="D524" s="359">
        <f t="shared" ca="1" si="240"/>
        <v>-3.0210542432085186</v>
      </c>
      <c r="E524" s="360">
        <f t="shared" ca="1" si="241"/>
        <v>-20.869697002366141</v>
      </c>
      <c r="F524" s="357">
        <f t="shared" ca="1" si="242"/>
        <v>21.087224134792574</v>
      </c>
      <c r="G524" s="359">
        <f t="shared" ca="1" si="243"/>
        <v>55.745936620012955</v>
      </c>
      <c r="H524" s="360">
        <f t="shared" ca="1" si="244"/>
        <v>203.09781437959873</v>
      </c>
      <c r="I524" s="357">
        <f t="shared" ca="1" si="245"/>
        <v>210.6094291702355</v>
      </c>
      <c r="J524" s="359">
        <f t="shared" ca="1" si="246"/>
        <v>312.53524955840203</v>
      </c>
      <c r="K524" s="360">
        <f t="shared" ca="1" si="247"/>
        <v>1287.4958732880539</v>
      </c>
      <c r="L524" s="357">
        <f t="shared" ca="1" si="232"/>
        <v>1324.8863747319244</v>
      </c>
      <c r="M524" s="359">
        <f t="shared" ca="1" si="248"/>
        <v>1.3029152292984414</v>
      </c>
      <c r="N524" s="357">
        <f t="shared" ca="1" si="249"/>
        <v>74.651543702120591</v>
      </c>
      <c r="O524" s="343"/>
      <c r="P524" s="363">
        <f t="shared" ca="1" si="250"/>
        <v>23</v>
      </c>
      <c r="Q524" s="357">
        <f t="shared" ca="1" si="251"/>
        <v>0</v>
      </c>
      <c r="R524" s="359">
        <f t="shared" ca="1" si="252"/>
        <v>0</v>
      </c>
      <c r="S524" s="360">
        <f t="shared" ca="1" si="253"/>
        <v>9.637999999999975</v>
      </c>
      <c r="T524" s="357">
        <f t="shared" ca="1" si="233"/>
        <v>94.548779999999766</v>
      </c>
      <c r="U524" s="364">
        <f t="shared" ca="1" si="234"/>
        <v>0</v>
      </c>
      <c r="V524" s="359">
        <f t="shared" ca="1" si="235"/>
        <v>1.0768207633095122</v>
      </c>
      <c r="W524" s="357">
        <f t="shared" ca="1" si="236"/>
        <v>108.11318479669644</v>
      </c>
      <c r="X524" s="343"/>
      <c r="Y524" s="367" t="str">
        <f t="shared" ca="1" si="254"/>
        <v/>
      </c>
      <c r="Z524" s="368" t="str">
        <f t="shared" ca="1" si="255"/>
        <v/>
      </c>
      <c r="AA524" s="369" t="str">
        <f t="shared" ca="1" si="256"/>
        <v/>
      </c>
      <c r="AB524" s="344"/>
      <c r="AC524" s="363">
        <f t="shared" ca="1" si="257"/>
        <v>6.9999999999999307</v>
      </c>
      <c r="AD524" s="376">
        <f t="shared" ca="1" si="258"/>
        <v>312.53524955840203</v>
      </c>
      <c r="AE524" s="377">
        <f t="shared" ca="1" si="237"/>
        <v>1287.4958732880539</v>
      </c>
      <c r="AF524" s="344"/>
      <c r="AG524" s="359">
        <f t="shared" ca="1" si="259"/>
        <v>-20.928183972669224</v>
      </c>
      <c r="AH524" s="357">
        <f t="shared" ca="1" si="260"/>
        <v>-11.464888421810079</v>
      </c>
    </row>
    <row r="525" spans="1:34" x14ac:dyDescent="0.25">
      <c r="A525" s="402">
        <f t="shared" ca="1" si="238"/>
        <v>0.1</v>
      </c>
      <c r="B525" s="357">
        <f t="shared" ca="1" si="239"/>
        <v>7.0999999999999304</v>
      </c>
      <c r="C525" s="342"/>
      <c r="D525" s="359">
        <f t="shared" ca="1" si="240"/>
        <v>-2.9691158588263518</v>
      </c>
      <c r="E525" s="360">
        <f t="shared" ca="1" si="241"/>
        <v>-20.62730755871722</v>
      </c>
      <c r="F525" s="357">
        <f t="shared" ca="1" si="242"/>
        <v>20.839900818023263</v>
      </c>
      <c r="G525" s="359">
        <f t="shared" ca="1" si="243"/>
        <v>55.449025034130322</v>
      </c>
      <c r="H525" s="360">
        <f t="shared" ca="1" si="244"/>
        <v>201.03508362372702</v>
      </c>
      <c r="I525" s="357">
        <f t="shared" ca="1" si="245"/>
        <v>208.5418404657313</v>
      </c>
      <c r="J525" s="359">
        <f t="shared" ca="1" si="246"/>
        <v>318.09499764110922</v>
      </c>
      <c r="K525" s="360">
        <f t="shared" ca="1" si="247"/>
        <v>1307.7025181882202</v>
      </c>
      <c r="L525" s="357">
        <f t="shared" ca="1" si="232"/>
        <v>1345.8344265176565</v>
      </c>
      <c r="M525" s="359">
        <f t="shared" ca="1" si="248"/>
        <v>1.3016701089713556</v>
      </c>
      <c r="N525" s="357">
        <f t="shared" ca="1" si="249"/>
        <v>74.580203562392626</v>
      </c>
      <c r="O525" s="343"/>
      <c r="P525" s="363">
        <f t="shared" ca="1" si="250"/>
        <v>23</v>
      </c>
      <c r="Q525" s="357">
        <f t="shared" ca="1" si="251"/>
        <v>0</v>
      </c>
      <c r="R525" s="359">
        <f t="shared" ca="1" si="252"/>
        <v>0</v>
      </c>
      <c r="S525" s="360">
        <f t="shared" ca="1" si="253"/>
        <v>9.637999999999975</v>
      </c>
      <c r="T525" s="357">
        <f t="shared" ca="1" si="233"/>
        <v>94.548779999999766</v>
      </c>
      <c r="U525" s="364">
        <f t="shared" ca="1" si="234"/>
        <v>0</v>
      </c>
      <c r="V525" s="359">
        <f t="shared" ca="1" si="235"/>
        <v>1.0746378871994144</v>
      </c>
      <c r="W525" s="357">
        <f t="shared" ca="1" si="236"/>
        <v>105.78599367475483</v>
      </c>
      <c r="X525" s="343"/>
      <c r="Y525" s="367" t="str">
        <f t="shared" ca="1" si="254"/>
        <v/>
      </c>
      <c r="Z525" s="368" t="str">
        <f t="shared" ca="1" si="255"/>
        <v/>
      </c>
      <c r="AA525" s="369" t="str">
        <f t="shared" ca="1" si="256"/>
        <v/>
      </c>
      <c r="AB525" s="344"/>
      <c r="AC525" s="363" t="e">
        <f t="shared" ca="1" si="257"/>
        <v>#N/A</v>
      </c>
      <c r="AD525" s="376" t="e">
        <f t="shared" ca="1" si="258"/>
        <v>#N/A</v>
      </c>
      <c r="AE525" s="377">
        <f t="shared" ca="1" si="237"/>
        <v>1307.7025181882202</v>
      </c>
      <c r="AF525" s="344"/>
      <c r="AG525" s="359">
        <f t="shared" ca="1" si="259"/>
        <v>-20.677503582590354</v>
      </c>
      <c r="AH525" s="357">
        <f t="shared" ca="1" si="260"/>
        <v>-11.217387922462827</v>
      </c>
    </row>
    <row r="526" spans="1:34" x14ac:dyDescent="0.25">
      <c r="A526" s="402">
        <f t="shared" ca="1" si="238"/>
        <v>0.1</v>
      </c>
      <c r="B526" s="357">
        <f t="shared" ca="1" si="239"/>
        <v>7.19999999999993</v>
      </c>
      <c r="C526" s="342"/>
      <c r="D526" s="359">
        <f t="shared" ca="1" si="240"/>
        <v>-2.9183808047643565</v>
      </c>
      <c r="E526" s="360">
        <f t="shared" ca="1" si="241"/>
        <v>-20.390833996099211</v>
      </c>
      <c r="F526" s="357">
        <f t="shared" ca="1" si="242"/>
        <v>20.598617856013846</v>
      </c>
      <c r="G526" s="359">
        <f t="shared" ca="1" si="243"/>
        <v>55.157186953653884</v>
      </c>
      <c r="H526" s="360">
        <f t="shared" ca="1" si="244"/>
        <v>198.9960002241171</v>
      </c>
      <c r="I526" s="357">
        <f t="shared" ca="1" si="245"/>
        <v>206.49872488186733</v>
      </c>
      <c r="J526" s="359">
        <f t="shared" ca="1" si="246"/>
        <v>323.62530824049844</v>
      </c>
      <c r="K526" s="360">
        <f t="shared" ca="1" si="247"/>
        <v>1327.7040723806124</v>
      </c>
      <c r="L526" s="357">
        <f t="shared" ca="1" si="232"/>
        <v>1366.5765415628282</v>
      </c>
      <c r="M526" s="359">
        <f t="shared" ca="1" si="248"/>
        <v>1.3004069661423705</v>
      </c>
      <c r="N526" s="357">
        <f t="shared" ca="1" si="249"/>
        <v>74.507830809369565</v>
      </c>
      <c r="O526" s="343"/>
      <c r="P526" s="363">
        <f t="shared" ca="1" si="250"/>
        <v>23</v>
      </c>
      <c r="Q526" s="357">
        <f t="shared" ca="1" si="251"/>
        <v>0</v>
      </c>
      <c r="R526" s="359">
        <f t="shared" ca="1" si="252"/>
        <v>0</v>
      </c>
      <c r="S526" s="360">
        <f t="shared" ca="1" si="253"/>
        <v>9.637999999999975</v>
      </c>
      <c r="T526" s="357">
        <f t="shared" ca="1" si="233"/>
        <v>94.548779999999766</v>
      </c>
      <c r="U526" s="364">
        <f t="shared" ca="1" si="234"/>
        <v>0</v>
      </c>
      <c r="V526" s="359">
        <f t="shared" ca="1" si="235"/>
        <v>1.0724812400672339</v>
      </c>
      <c r="W526" s="357">
        <f t="shared" ca="1" si="236"/>
        <v>103.51518689757442</v>
      </c>
      <c r="X526" s="343"/>
      <c r="Y526" s="367" t="str">
        <f t="shared" ca="1" si="254"/>
        <v/>
      </c>
      <c r="Z526" s="368" t="str">
        <f t="shared" ca="1" si="255"/>
        <v/>
      </c>
      <c r="AA526" s="369" t="str">
        <f t="shared" ca="1" si="256"/>
        <v/>
      </c>
      <c r="AB526" s="344"/>
      <c r="AC526" s="363" t="e">
        <f t="shared" ca="1" si="257"/>
        <v>#N/A</v>
      </c>
      <c r="AD526" s="376" t="e">
        <f t="shared" ca="1" si="258"/>
        <v>#N/A</v>
      </c>
      <c r="AE526" s="377">
        <f t="shared" ca="1" si="237"/>
        <v>1327.7040723806124</v>
      </c>
      <c r="AF526" s="344"/>
      <c r="AG526" s="359">
        <f t="shared" ca="1" si="259"/>
        <v>-20.432803212773265</v>
      </c>
      <c r="AH526" s="357">
        <f t="shared" ca="1" si="260"/>
        <v>-10.97592795961352</v>
      </c>
    </row>
    <row r="527" spans="1:34" x14ac:dyDescent="0.25">
      <c r="A527" s="402">
        <f t="shared" ca="1" si="238"/>
        <v>0.1</v>
      </c>
      <c r="B527" s="357">
        <f t="shared" ca="1" si="239"/>
        <v>7.2999999999999297</v>
      </c>
      <c r="C527" s="342"/>
      <c r="D527" s="359">
        <f t="shared" ca="1" si="240"/>
        <v>-2.8688106414703287</v>
      </c>
      <c r="E527" s="360">
        <f t="shared" ca="1" si="241"/>
        <v>-20.160089890056678</v>
      </c>
      <c r="F527" s="357">
        <f t="shared" ca="1" si="242"/>
        <v>20.363184890183042</v>
      </c>
      <c r="G527" s="359">
        <f t="shared" ca="1" si="243"/>
        <v>54.870305889506852</v>
      </c>
      <c r="H527" s="360">
        <f t="shared" ca="1" si="244"/>
        <v>196.97999123511144</v>
      </c>
      <c r="I527" s="357">
        <f t="shared" ca="1" si="245"/>
        <v>204.47950365597191</v>
      </c>
      <c r="J527" s="359">
        <f t="shared" ca="1" si="246"/>
        <v>329.1266828826565</v>
      </c>
      <c r="K527" s="360">
        <f t="shared" ca="1" si="247"/>
        <v>1347.5028719535737</v>
      </c>
      <c r="L527" s="357">
        <f t="shared" ca="1" si="232"/>
        <v>1387.1151225866115</v>
      </c>
      <c r="M527" s="359">
        <f t="shared" ca="1" si="248"/>
        <v>1.2991255090221774</v>
      </c>
      <c r="N527" s="357">
        <f t="shared" ca="1" si="249"/>
        <v>74.434408724755514</v>
      </c>
      <c r="O527" s="343"/>
      <c r="P527" s="363">
        <f t="shared" ca="1" si="250"/>
        <v>23</v>
      </c>
      <c r="Q527" s="357">
        <f t="shared" ca="1" si="251"/>
        <v>0</v>
      </c>
      <c r="R527" s="359">
        <f t="shared" ca="1" si="252"/>
        <v>0</v>
      </c>
      <c r="S527" s="360">
        <f t="shared" ca="1" si="253"/>
        <v>9.637999999999975</v>
      </c>
      <c r="T527" s="357">
        <f t="shared" ca="1" si="233"/>
        <v>94.548779999999766</v>
      </c>
      <c r="U527" s="364">
        <f t="shared" ca="1" si="234"/>
        <v>0</v>
      </c>
      <c r="V527" s="359">
        <f t="shared" ca="1" si="235"/>
        <v>1.0703504348453035</v>
      </c>
      <c r="W527" s="357">
        <f t="shared" ca="1" si="236"/>
        <v>101.29900330300686</v>
      </c>
      <c r="X527" s="343"/>
      <c r="Y527" s="367" t="str">
        <f t="shared" ca="1" si="254"/>
        <v/>
      </c>
      <c r="Z527" s="368" t="str">
        <f t="shared" ca="1" si="255"/>
        <v/>
      </c>
      <c r="AA527" s="369" t="str">
        <f t="shared" ca="1" si="256"/>
        <v/>
      </c>
      <c r="AB527" s="344"/>
      <c r="AC527" s="363" t="e">
        <f t="shared" ca="1" si="257"/>
        <v>#N/A</v>
      </c>
      <c r="AD527" s="376" t="e">
        <f t="shared" ca="1" si="258"/>
        <v>#N/A</v>
      </c>
      <c r="AE527" s="377">
        <f t="shared" ca="1" si="237"/>
        <v>1347.5028719535737</v>
      </c>
      <c r="AF527" s="344"/>
      <c r="AG527" s="359">
        <f t="shared" ca="1" si="259"/>
        <v>-20.193891170764896</v>
      </c>
      <c r="AH527" s="357">
        <f t="shared" ca="1" si="260"/>
        <v>-10.740318208920387</v>
      </c>
    </row>
    <row r="528" spans="1:34" x14ac:dyDescent="0.25">
      <c r="A528" s="402">
        <f t="shared" ca="1" si="238"/>
        <v>0.1</v>
      </c>
      <c r="B528" s="357">
        <f t="shared" ca="1" si="239"/>
        <v>7.3999999999999293</v>
      </c>
      <c r="C528" s="342"/>
      <c r="D528" s="359">
        <f t="shared" ca="1" si="240"/>
        <v>-2.8203684598803695</v>
      </c>
      <c r="E528" s="360">
        <f t="shared" ca="1" si="241"/>
        <v>-19.934896253098199</v>
      </c>
      <c r="F528" s="357">
        <f t="shared" ca="1" si="242"/>
        <v>20.133419155008834</v>
      </c>
      <c r="G528" s="359">
        <f t="shared" ca="1" si="243"/>
        <v>54.588269043518814</v>
      </c>
      <c r="H528" s="360">
        <f t="shared" ca="1" si="244"/>
        <v>194.98650160980162</v>
      </c>
      <c r="I528" s="357">
        <f t="shared" ca="1" si="245"/>
        <v>202.48361644142165</v>
      </c>
      <c r="J528" s="359">
        <f t="shared" ca="1" si="246"/>
        <v>334.59961162930779</v>
      </c>
      <c r="K528" s="360">
        <f t="shared" ca="1" si="247"/>
        <v>1367.1011965958194</v>
      </c>
      <c r="L528" s="357">
        <f t="shared" ca="1" si="232"/>
        <v>1407.4525149489787</v>
      </c>
      <c r="M528" s="359">
        <f t="shared" ca="1" si="248"/>
        <v>1.2978254387136703</v>
      </c>
      <c r="N528" s="357">
        <f t="shared" ca="1" si="249"/>
        <v>74.359920183007787</v>
      </c>
      <c r="O528" s="343"/>
      <c r="P528" s="363">
        <f t="shared" ca="1" si="250"/>
        <v>23</v>
      </c>
      <c r="Q528" s="357">
        <f t="shared" ca="1" si="251"/>
        <v>0</v>
      </c>
      <c r="R528" s="359">
        <f t="shared" ca="1" si="252"/>
        <v>0</v>
      </c>
      <c r="S528" s="360">
        <f t="shared" ca="1" si="253"/>
        <v>9.637999999999975</v>
      </c>
      <c r="T528" s="357">
        <f t="shared" ca="1" si="233"/>
        <v>94.548779999999766</v>
      </c>
      <c r="U528" s="364">
        <f t="shared" ca="1" si="234"/>
        <v>0</v>
      </c>
      <c r="V528" s="359">
        <f t="shared" ca="1" si="235"/>
        <v>1.0682450943699664</v>
      </c>
      <c r="W528" s="357">
        <f t="shared" ca="1" si="236"/>
        <v>99.135751422677984</v>
      </c>
      <c r="X528" s="343"/>
      <c r="Y528" s="367" t="str">
        <f t="shared" ca="1" si="254"/>
        <v/>
      </c>
      <c r="Z528" s="368" t="str">
        <f t="shared" ca="1" si="255"/>
        <v/>
      </c>
      <c r="AA528" s="369" t="str">
        <f t="shared" ca="1" si="256"/>
        <v/>
      </c>
      <c r="AB528" s="344"/>
      <c r="AC528" s="363" t="e">
        <f t="shared" ca="1" si="257"/>
        <v>#N/A</v>
      </c>
      <c r="AD528" s="376" t="e">
        <f t="shared" ca="1" si="258"/>
        <v>#N/A</v>
      </c>
      <c r="AE528" s="377">
        <f t="shared" ca="1" si="237"/>
        <v>1367.1011965958194</v>
      </c>
      <c r="AF528" s="344"/>
      <c r="AG528" s="359">
        <f t="shared" ca="1" si="259"/>
        <v>-19.960583316897591</v>
      </c>
      <c r="AH528" s="357">
        <f t="shared" ca="1" si="260"/>
        <v>-10.510375939303499</v>
      </c>
    </row>
    <row r="529" spans="1:34" x14ac:dyDescent="0.25">
      <c r="A529" s="402">
        <f t="shared" ca="1" si="238"/>
        <v>0.1</v>
      </c>
      <c r="B529" s="357">
        <f t="shared" ca="1" si="239"/>
        <v>7.4999999999999289</v>
      </c>
      <c r="C529" s="342"/>
      <c r="D529" s="359">
        <f t="shared" ca="1" si="240"/>
        <v>-2.7730188084202738</v>
      </c>
      <c r="E529" s="360">
        <f t="shared" ca="1" si="241"/>
        <v>-19.715081180005772</v>
      </c>
      <c r="F529" s="357">
        <f t="shared" ca="1" si="242"/>
        <v>19.90914511590265</v>
      </c>
      <c r="G529" s="359">
        <f t="shared" ca="1" si="243"/>
        <v>54.310967162676789</v>
      </c>
      <c r="H529" s="360">
        <f t="shared" ca="1" si="244"/>
        <v>193.01499349180105</v>
      </c>
      <c r="I529" s="357">
        <f t="shared" ca="1" si="245"/>
        <v>200.51052058878449</v>
      </c>
      <c r="J529" s="359">
        <f t="shared" ca="1" si="246"/>
        <v>340.04457343961758</v>
      </c>
      <c r="K529" s="360">
        <f t="shared" ca="1" si="247"/>
        <v>1386.5012713508995</v>
      </c>
      <c r="L529" s="357">
        <f t="shared" ca="1" si="232"/>
        <v>1427.5910084416307</v>
      </c>
      <c r="M529" s="359">
        <f t="shared" ca="1" si="248"/>
        <v>1.2965064490165714</v>
      </c>
      <c r="N529" s="357">
        <f t="shared" ca="1" si="249"/>
        <v>74.284347640142784</v>
      </c>
      <c r="O529" s="343"/>
      <c r="P529" s="363">
        <f t="shared" ca="1" si="250"/>
        <v>23</v>
      </c>
      <c r="Q529" s="357">
        <f t="shared" ca="1" si="251"/>
        <v>0</v>
      </c>
      <c r="R529" s="359">
        <f t="shared" ca="1" si="252"/>
        <v>0</v>
      </c>
      <c r="S529" s="360">
        <f t="shared" ca="1" si="253"/>
        <v>9.637999999999975</v>
      </c>
      <c r="T529" s="357">
        <f t="shared" ca="1" si="233"/>
        <v>94.548779999999766</v>
      </c>
      <c r="U529" s="364">
        <f t="shared" ca="1" si="234"/>
        <v>0</v>
      </c>
      <c r="V529" s="359">
        <f t="shared" ca="1" si="235"/>
        <v>1.0661648510567652</v>
      </c>
      <c r="W529" s="357">
        <f t="shared" ca="1" si="236"/>
        <v>97.023806185668533</v>
      </c>
      <c r="X529" s="343"/>
      <c r="Y529" s="367" t="str">
        <f t="shared" ca="1" si="254"/>
        <v/>
      </c>
      <c r="Z529" s="368" t="str">
        <f t="shared" ca="1" si="255"/>
        <v/>
      </c>
      <c r="AA529" s="369" t="str">
        <f t="shared" ca="1" si="256"/>
        <v/>
      </c>
      <c r="AB529" s="344"/>
      <c r="AC529" s="363" t="e">
        <f t="shared" ca="1" si="257"/>
        <v>#N/A</v>
      </c>
      <c r="AD529" s="376" t="e">
        <f t="shared" ca="1" si="258"/>
        <v>#N/A</v>
      </c>
      <c r="AE529" s="377">
        <f t="shared" ca="1" si="237"/>
        <v>1386.5012713508995</v>
      </c>
      <c r="AF529" s="344"/>
      <c r="AG529" s="359">
        <f t="shared" ca="1" si="259"/>
        <v>-19.732702700789908</v>
      </c>
      <c r="AH529" s="357">
        <f t="shared" ca="1" si="260"/>
        <v>-10.285925650827791</v>
      </c>
    </row>
    <row r="530" spans="1:34" x14ac:dyDescent="0.25">
      <c r="A530" s="402">
        <f t="shared" ca="1" si="238"/>
        <v>0.1</v>
      </c>
      <c r="B530" s="357">
        <f t="shared" ca="1" si="239"/>
        <v>7.5999999999999286</v>
      </c>
      <c r="C530" s="342"/>
      <c r="D530" s="359">
        <f t="shared" ca="1" si="240"/>
        <v>-2.7267276240616329</v>
      </c>
      <c r="E530" s="360">
        <f t="shared" ca="1" si="241"/>
        <v>-19.500479512834936</v>
      </c>
      <c r="F530" s="357">
        <f t="shared" ca="1" si="242"/>
        <v>19.690194127187162</v>
      </c>
      <c r="G530" s="359">
        <f t="shared" ca="1" si="243"/>
        <v>54.038294400270622</v>
      </c>
      <c r="H530" s="360">
        <f t="shared" ca="1" si="244"/>
        <v>191.06494554051756</v>
      </c>
      <c r="I530" s="357">
        <f t="shared" ca="1" si="245"/>
        <v>198.55969046131003</v>
      </c>
      <c r="J530" s="359">
        <f t="shared" ca="1" si="246"/>
        <v>345.46203651776494</v>
      </c>
      <c r="K530" s="360">
        <f t="shared" ca="1" si="247"/>
        <v>1405.7052683025154</v>
      </c>
      <c r="L530" s="357">
        <f t="shared" ca="1" si="232"/>
        <v>1447.532839008652</v>
      </c>
      <c r="M530" s="359">
        <f t="shared" ca="1" si="248"/>
        <v>1.2951682262253912</v>
      </c>
      <c r="N530" s="357">
        <f t="shared" ca="1" si="249"/>
        <v>74.207673122159946</v>
      </c>
      <c r="O530" s="343"/>
      <c r="P530" s="363">
        <f t="shared" ca="1" si="250"/>
        <v>23</v>
      </c>
      <c r="Q530" s="357">
        <f t="shared" ca="1" si="251"/>
        <v>0</v>
      </c>
      <c r="R530" s="359">
        <f t="shared" ca="1" si="252"/>
        <v>0</v>
      </c>
      <c r="S530" s="360">
        <f t="shared" ca="1" si="253"/>
        <v>9.637999999999975</v>
      </c>
      <c r="T530" s="357">
        <f t="shared" ca="1" si="233"/>
        <v>94.548779999999766</v>
      </c>
      <c r="U530" s="364">
        <f t="shared" ca="1" si="234"/>
        <v>0</v>
      </c>
      <c r="V530" s="359">
        <f t="shared" ca="1" si="235"/>
        <v>1.0641093465889682</v>
      </c>
      <c r="W530" s="357">
        <f t="shared" ca="1" si="236"/>
        <v>94.961605803717987</v>
      </c>
      <c r="X530" s="343"/>
      <c r="Y530" s="367" t="str">
        <f t="shared" ca="1" si="254"/>
        <v/>
      </c>
      <c r="Z530" s="368" t="str">
        <f t="shared" ca="1" si="255"/>
        <v/>
      </c>
      <c r="AA530" s="369" t="str">
        <f t="shared" ca="1" si="256"/>
        <v/>
      </c>
      <c r="AB530" s="344"/>
      <c r="AC530" s="363" t="e">
        <f t="shared" ca="1" si="257"/>
        <v>#N/A</v>
      </c>
      <c r="AD530" s="376" t="e">
        <f t="shared" ca="1" si="258"/>
        <v>#N/A</v>
      </c>
      <c r="AE530" s="377">
        <f t="shared" ca="1" si="237"/>
        <v>1405.7052683025154</v>
      </c>
      <c r="AF530" s="344"/>
      <c r="AG530" s="359">
        <f t="shared" ca="1" si="259"/>
        <v>-19.510079217896291</v>
      </c>
      <c r="AH530" s="357">
        <f t="shared" ca="1" si="260"/>
        <v>-10.066798732690266</v>
      </c>
    </row>
    <row r="531" spans="1:34" x14ac:dyDescent="0.25">
      <c r="A531" s="402">
        <f t="shared" ca="1" si="238"/>
        <v>0.1</v>
      </c>
      <c r="B531" s="357">
        <f t="shared" ca="1" si="239"/>
        <v>7.6999999999999282</v>
      </c>
      <c r="C531" s="342"/>
      <c r="D531" s="359">
        <f t="shared" ca="1" si="240"/>
        <v>-2.6814621671765821</v>
      </c>
      <c r="E531" s="360">
        <f t="shared" ca="1" si="241"/>
        <v>-19.290932524361576</v>
      </c>
      <c r="F531" s="357">
        <f t="shared" ca="1" si="242"/>
        <v>19.476404108907541</v>
      </c>
      <c r="G531" s="359">
        <f t="shared" ca="1" si="243"/>
        <v>53.770148183552962</v>
      </c>
      <c r="H531" s="360">
        <f t="shared" ca="1" si="244"/>
        <v>189.1358522880814</v>
      </c>
      <c r="I531" s="357">
        <f t="shared" ca="1" si="245"/>
        <v>196.63061678289114</v>
      </c>
      <c r="J531" s="359">
        <f t="shared" ca="1" si="246"/>
        <v>350.85245864695611</v>
      </c>
      <c r="K531" s="360">
        <f t="shared" ca="1" si="247"/>
        <v>1424.7153081939452</v>
      </c>
      <c r="L531" s="357">
        <f t="shared" ca="1" si="232"/>
        <v>1467.2801904001781</v>
      </c>
      <c r="M531" s="359">
        <f t="shared" ca="1" si="248"/>
        <v>1.293810448920476</v>
      </c>
      <c r="N531" s="357">
        <f t="shared" ca="1" si="249"/>
        <v>74.129878213069659</v>
      </c>
      <c r="O531" s="343"/>
      <c r="P531" s="363">
        <f t="shared" ca="1" si="250"/>
        <v>23</v>
      </c>
      <c r="Q531" s="357">
        <f t="shared" ca="1" si="251"/>
        <v>0</v>
      </c>
      <c r="R531" s="359">
        <f t="shared" ca="1" si="252"/>
        <v>0</v>
      </c>
      <c r="S531" s="360">
        <f t="shared" ca="1" si="253"/>
        <v>9.637999999999975</v>
      </c>
      <c r="T531" s="357">
        <f t="shared" ca="1" si="233"/>
        <v>94.548779999999766</v>
      </c>
      <c r="U531" s="364">
        <f t="shared" ca="1" si="234"/>
        <v>0</v>
      </c>
      <c r="V531" s="359">
        <f t="shared" ca="1" si="235"/>
        <v>1.0620782316187793</v>
      </c>
      <c r="W531" s="357">
        <f t="shared" ca="1" si="236"/>
        <v>92.947648826578643</v>
      </c>
      <c r="X531" s="343"/>
      <c r="Y531" s="367" t="str">
        <f t="shared" ca="1" si="254"/>
        <v/>
      </c>
      <c r="Z531" s="368" t="str">
        <f t="shared" ca="1" si="255"/>
        <v/>
      </c>
      <c r="AA531" s="369" t="str">
        <f t="shared" ca="1" si="256"/>
        <v/>
      </c>
      <c r="AB531" s="344"/>
      <c r="AC531" s="363" t="e">
        <f t="shared" ca="1" si="257"/>
        <v>#N/A</v>
      </c>
      <c r="AD531" s="376" t="e">
        <f t="shared" ca="1" si="258"/>
        <v>#N/A</v>
      </c>
      <c r="AE531" s="377">
        <f t="shared" ca="1" si="237"/>
        <v>1424.7153081939452</v>
      </c>
      <c r="AF531" s="344"/>
      <c r="AG531" s="359">
        <f t="shared" ca="1" si="259"/>
        <v>-19.292549284833051</v>
      </c>
      <c r="AH531" s="357">
        <f t="shared" ca="1" si="260"/>
        <v>-9.8528331400413194</v>
      </c>
    </row>
    <row r="532" spans="1:34" x14ac:dyDescent="0.25">
      <c r="A532" s="402">
        <f t="shared" ca="1" si="238"/>
        <v>0.1</v>
      </c>
      <c r="B532" s="357">
        <f t="shared" ca="1" si="239"/>
        <v>7.7999999999999279</v>
      </c>
      <c r="C532" s="342"/>
      <c r="D532" s="359">
        <f t="shared" ca="1" si="240"/>
        <v>-2.6371909599532914</v>
      </c>
      <c r="E532" s="360">
        <f t="shared" ca="1" si="241"/>
        <v>-19.086287618819636</v>
      </c>
      <c r="F532" s="357">
        <f t="shared" ca="1" si="242"/>
        <v>19.267619241296188</v>
      </c>
      <c r="G532" s="359">
        <f t="shared" ca="1" si="243"/>
        <v>53.506429087557635</v>
      </c>
      <c r="H532" s="360">
        <f t="shared" ca="1" si="244"/>
        <v>187.22722352619942</v>
      </c>
      <c r="I532" s="357">
        <f t="shared" ca="1" si="245"/>
        <v>194.72280601673569</v>
      </c>
      <c r="J532" s="359">
        <f t="shared" ca="1" si="246"/>
        <v>356.21628751051162</v>
      </c>
      <c r="K532" s="360">
        <f t="shared" ca="1" si="247"/>
        <v>1443.5334619846592</v>
      </c>
      <c r="L532" s="357">
        <f t="shared" ca="1" si="232"/>
        <v>1486.835195762189</v>
      </c>
      <c r="M532" s="359">
        <f t="shared" ca="1" si="248"/>
        <v>1.2924327877518837</v>
      </c>
      <c r="N532" s="357">
        <f t="shared" ca="1" si="249"/>
        <v>74.050944042510253</v>
      </c>
      <c r="O532" s="343"/>
      <c r="P532" s="363">
        <f t="shared" ca="1" si="250"/>
        <v>23</v>
      </c>
      <c r="Q532" s="357">
        <f t="shared" ca="1" si="251"/>
        <v>0</v>
      </c>
      <c r="R532" s="359">
        <f t="shared" ca="1" si="252"/>
        <v>0</v>
      </c>
      <c r="S532" s="360">
        <f t="shared" ca="1" si="253"/>
        <v>9.637999999999975</v>
      </c>
      <c r="T532" s="357">
        <f t="shared" ca="1" si="233"/>
        <v>94.548779999999766</v>
      </c>
      <c r="U532" s="364">
        <f t="shared" ca="1" si="234"/>
        <v>0</v>
      </c>
      <c r="V532" s="359">
        <f t="shared" ca="1" si="235"/>
        <v>1.0600711654806221</v>
      </c>
      <c r="W532" s="357">
        <f t="shared" ca="1" si="236"/>
        <v>90.98049135694157</v>
      </c>
      <c r="X532" s="343"/>
      <c r="Y532" s="367" t="str">
        <f t="shared" ca="1" si="254"/>
        <v/>
      </c>
      <c r="Z532" s="368" t="str">
        <f t="shared" ca="1" si="255"/>
        <v/>
      </c>
      <c r="AA532" s="369" t="str">
        <f t="shared" ca="1" si="256"/>
        <v/>
      </c>
      <c r="AB532" s="344"/>
      <c r="AC532" s="363" t="e">
        <f t="shared" ca="1" si="257"/>
        <v>#N/A</v>
      </c>
      <c r="AD532" s="376" t="e">
        <f t="shared" ca="1" si="258"/>
        <v>#N/A</v>
      </c>
      <c r="AE532" s="377">
        <f t="shared" ca="1" si="237"/>
        <v>1443.5334619846592</v>
      </c>
      <c r="AF532" s="344"/>
      <c r="AG532" s="359">
        <f t="shared" ca="1" si="259"/>
        <v>-19.079955532298158</v>
      </c>
      <c r="AH532" s="357">
        <f t="shared" ca="1" si="260"/>
        <v>-9.6438730884601451</v>
      </c>
    </row>
    <row r="533" spans="1:34" x14ac:dyDescent="0.25">
      <c r="A533" s="402">
        <f t="shared" ca="1" si="238"/>
        <v>0.1</v>
      </c>
      <c r="B533" s="357">
        <f t="shared" ca="1" si="239"/>
        <v>7.8999999999999275</v>
      </c>
      <c r="C533" s="342"/>
      <c r="D533" s="359">
        <f t="shared" ca="1" si="240"/>
        <v>-2.593883728150939</v>
      </c>
      <c r="E533" s="360">
        <f t="shared" ca="1" si="241"/>
        <v>-18.886398048854637</v>
      </c>
      <c r="F533" s="357">
        <f t="shared" ca="1" si="242"/>
        <v>19.06368967579326</v>
      </c>
      <c r="G533" s="359">
        <f t="shared" ca="1" si="243"/>
        <v>53.247040714742539</v>
      </c>
      <c r="H533" s="360">
        <f t="shared" ca="1" si="244"/>
        <v>185.33858372131397</v>
      </c>
      <c r="I533" s="357">
        <f t="shared" ca="1" si="245"/>
        <v>192.83577977310111</v>
      </c>
      <c r="J533" s="359">
        <f t="shared" ca="1" si="246"/>
        <v>361.5539610006266</v>
      </c>
      <c r="K533" s="360">
        <f t="shared" ca="1" si="247"/>
        <v>1462.161752347035</v>
      </c>
      <c r="L533" s="357">
        <f t="shared" ca="1" si="232"/>
        <v>1506.1999391653801</v>
      </c>
      <c r="M533" s="359">
        <f t="shared" ca="1" si="248"/>
        <v>1.2910349052158216</v>
      </c>
      <c r="N533" s="357">
        <f t="shared" ca="1" si="249"/>
        <v>73.970851272938859</v>
      </c>
      <c r="O533" s="343"/>
      <c r="P533" s="363">
        <f t="shared" ca="1" si="250"/>
        <v>23</v>
      </c>
      <c r="Q533" s="357">
        <f t="shared" ca="1" si="251"/>
        <v>0</v>
      </c>
      <c r="R533" s="359">
        <f t="shared" ca="1" si="252"/>
        <v>0</v>
      </c>
      <c r="S533" s="360">
        <f t="shared" ca="1" si="253"/>
        <v>9.637999999999975</v>
      </c>
      <c r="T533" s="357">
        <f t="shared" ca="1" si="233"/>
        <v>94.548779999999766</v>
      </c>
      <c r="U533" s="364">
        <f t="shared" ca="1" si="234"/>
        <v>0</v>
      </c>
      <c r="V533" s="359">
        <f t="shared" ca="1" si="235"/>
        <v>1.0580878159159115</v>
      </c>
      <c r="W533" s="357">
        <f t="shared" ca="1" si="236"/>
        <v>89.058744415095219</v>
      </c>
      <c r="X533" s="343"/>
      <c r="Y533" s="367" t="str">
        <f t="shared" ca="1" si="254"/>
        <v/>
      </c>
      <c r="Z533" s="368" t="str">
        <f t="shared" ca="1" si="255"/>
        <v/>
      </c>
      <c r="AA533" s="369" t="str">
        <f t="shared" ca="1" si="256"/>
        <v/>
      </c>
      <c r="AB533" s="344"/>
      <c r="AC533" s="363" t="e">
        <f t="shared" ca="1" si="257"/>
        <v>#N/A</v>
      </c>
      <c r="AD533" s="376" t="e">
        <f t="shared" ca="1" si="258"/>
        <v>#N/A</v>
      </c>
      <c r="AE533" s="377">
        <f t="shared" ca="1" si="237"/>
        <v>1462.161752347035</v>
      </c>
      <c r="AF533" s="344"/>
      <c r="AG533" s="359">
        <f t="shared" ca="1" si="259"/>
        <v>-18.87214651448441</v>
      </c>
      <c r="AH533" s="357">
        <f t="shared" ca="1" si="260"/>
        <v>-9.4397687649866988</v>
      </c>
    </row>
    <row r="534" spans="1:34" x14ac:dyDescent="0.25">
      <c r="A534" s="402">
        <f t="shared" ca="1" si="238"/>
        <v>0.1</v>
      </c>
      <c r="B534" s="357">
        <f t="shared" ca="1" si="239"/>
        <v>7.9999999999999272</v>
      </c>
      <c r="C534" s="342"/>
      <c r="D534" s="359">
        <f t="shared" ca="1" si="240"/>
        <v>-2.5515113459883225</v>
      </c>
      <c r="E534" s="360">
        <f t="shared" ca="1" si="241"/>
        <v>-18.691122647693149</v>
      </c>
      <c r="F534" s="357">
        <f t="shared" ca="1" si="242"/>
        <v>18.864471261602191</v>
      </c>
      <c r="G534" s="359">
        <f t="shared" ca="1" si="243"/>
        <v>52.991889580143706</v>
      </c>
      <c r="H534" s="360">
        <f t="shared" ca="1" si="244"/>
        <v>183.46947145654465</v>
      </c>
      <c r="I534" s="357">
        <f t="shared" ca="1" si="245"/>
        <v>190.96907424454358</v>
      </c>
      <c r="J534" s="359">
        <f t="shared" ca="1" si="246"/>
        <v>366.86590751537091</v>
      </c>
      <c r="K534" s="360">
        <f t="shared" ca="1" si="247"/>
        <v>1480.602155105928</v>
      </c>
      <c r="L534" s="357">
        <f t="shared" ca="1" si="232"/>
        <v>1525.3764570758901</v>
      </c>
      <c r="M534" s="359">
        <f t="shared" ca="1" si="248"/>
        <v>1.2896164554233598</v>
      </c>
      <c r="N534" s="357">
        <f t="shared" ca="1" si="249"/>
        <v>73.889580086379581</v>
      </c>
      <c r="O534" s="343"/>
      <c r="P534" s="363">
        <f t="shared" ca="1" si="250"/>
        <v>23</v>
      </c>
      <c r="Q534" s="357">
        <f t="shared" ca="1" si="251"/>
        <v>0</v>
      </c>
      <c r="R534" s="359">
        <f t="shared" ca="1" si="252"/>
        <v>0</v>
      </c>
      <c r="S534" s="360">
        <f t="shared" ca="1" si="253"/>
        <v>9.637999999999975</v>
      </c>
      <c r="T534" s="357">
        <f t="shared" ca="1" si="233"/>
        <v>94.548779999999766</v>
      </c>
      <c r="U534" s="364">
        <f t="shared" ca="1" si="234"/>
        <v>0</v>
      </c>
      <c r="V534" s="359">
        <f t="shared" ca="1" si="235"/>
        <v>1.0561278588087779</v>
      </c>
      <c r="W534" s="357">
        <f t="shared" ca="1" si="236"/>
        <v>87.181071444155492</v>
      </c>
      <c r="X534" s="343"/>
      <c r="Y534" s="367" t="str">
        <f t="shared" ca="1" si="254"/>
        <v/>
      </c>
      <c r="Z534" s="368" t="str">
        <f t="shared" ca="1" si="255"/>
        <v/>
      </c>
      <c r="AA534" s="369" t="str">
        <f t="shared" ca="1" si="256"/>
        <v/>
      </c>
      <c r="AB534" s="344"/>
      <c r="AC534" s="363">
        <f t="shared" ca="1" si="257"/>
        <v>7.9999999999999272</v>
      </c>
      <c r="AD534" s="376">
        <f t="shared" ca="1" si="258"/>
        <v>366.86590751537091</v>
      </c>
      <c r="AE534" s="377">
        <f t="shared" ca="1" si="237"/>
        <v>1480.602155105928</v>
      </c>
      <c r="AF534" s="344"/>
      <c r="AG534" s="359">
        <f t="shared" ca="1" si="259"/>
        <v>-18.668976433962424</v>
      </c>
      <c r="AH534" s="357">
        <f t="shared" ca="1" si="260"/>
        <v>-9.2403760546892979</v>
      </c>
    </row>
    <row r="535" spans="1:34" x14ac:dyDescent="0.25">
      <c r="A535" s="402">
        <f t="shared" ca="1" si="238"/>
        <v>0.1</v>
      </c>
      <c r="B535" s="357">
        <f t="shared" ca="1" si="239"/>
        <v>8.0999999999999268</v>
      </c>
      <c r="C535" s="342"/>
      <c r="D535" s="359">
        <f t="shared" ca="1" si="240"/>
        <v>-2.5100457839745562</v>
      </c>
      <c r="E535" s="360">
        <f t="shared" ca="1" si="241"/>
        <v>-18.500325575597103</v>
      </c>
      <c r="F535" s="357">
        <f t="shared" ca="1" si="242"/>
        <v>18.669825286829568</v>
      </c>
      <c r="G535" s="359">
        <f t="shared" ca="1" si="243"/>
        <v>52.74088500174625</v>
      </c>
      <c r="H535" s="360">
        <f t="shared" ca="1" si="244"/>
        <v>181.61943889898495</v>
      </c>
      <c r="I535" s="357">
        <f t="shared" ca="1" si="245"/>
        <v>189.12223966723096</v>
      </c>
      <c r="J535" s="359">
        <f t="shared" ca="1" si="246"/>
        <v>372.15254624446538</v>
      </c>
      <c r="K535" s="360">
        <f t="shared" ca="1" si="247"/>
        <v>1498.8566006237045</v>
      </c>
      <c r="L535" s="357">
        <f t="shared" ca="1" si="232"/>
        <v>1544.3667397705397</v>
      </c>
      <c r="M535" s="359">
        <f t="shared" ca="1" si="248"/>
        <v>1.2881770838611344</v>
      </c>
      <c r="N535" s="357">
        <f t="shared" ca="1" si="249"/>
        <v>73.807110170712917</v>
      </c>
      <c r="O535" s="343"/>
      <c r="P535" s="363">
        <f t="shared" ca="1" si="250"/>
        <v>23</v>
      </c>
      <c r="Q535" s="357">
        <f t="shared" ca="1" si="251"/>
        <v>0</v>
      </c>
      <c r="R535" s="359">
        <f t="shared" ca="1" si="252"/>
        <v>0</v>
      </c>
      <c r="S535" s="360">
        <f t="shared" ca="1" si="253"/>
        <v>9.637999999999975</v>
      </c>
      <c r="T535" s="357">
        <f t="shared" ca="1" si="233"/>
        <v>94.548779999999766</v>
      </c>
      <c r="U535" s="364">
        <f t="shared" ca="1" si="234"/>
        <v>0</v>
      </c>
      <c r="V535" s="359">
        <f t="shared" ca="1" si="235"/>
        <v>1.0541909779322152</v>
      </c>
      <c r="W535" s="357">
        <f t="shared" ca="1" si="236"/>
        <v>85.346185947333694</v>
      </c>
      <c r="X535" s="343"/>
      <c r="Y535" s="367" t="str">
        <f t="shared" ca="1" si="254"/>
        <v/>
      </c>
      <c r="Z535" s="368" t="str">
        <f t="shared" ca="1" si="255"/>
        <v/>
      </c>
      <c r="AA535" s="369" t="str">
        <f t="shared" ca="1" si="256"/>
        <v/>
      </c>
      <c r="AB535" s="344"/>
      <c r="AC535" s="363" t="e">
        <f t="shared" ca="1" si="257"/>
        <v>#N/A</v>
      </c>
      <c r="AD535" s="376" t="e">
        <f t="shared" ca="1" si="258"/>
        <v>#N/A</v>
      </c>
      <c r="AE535" s="377">
        <f t="shared" ca="1" si="237"/>
        <v>1498.8566006237045</v>
      </c>
      <c r="AF535" s="344"/>
      <c r="AG535" s="359">
        <f t="shared" ca="1" si="259"/>
        <v>-18.47030488107978</v>
      </c>
      <c r="AH535" s="357">
        <f t="shared" ca="1" si="260"/>
        <v>-9.04555628181736</v>
      </c>
    </row>
    <row r="536" spans="1:34" x14ac:dyDescent="0.25">
      <c r="A536" s="402">
        <f t="shared" ca="1" si="238"/>
        <v>0.1</v>
      </c>
      <c r="B536" s="357">
        <f t="shared" ca="1" si="239"/>
        <v>8.1999999999999265</v>
      </c>
      <c r="C536" s="342"/>
      <c r="D536" s="359">
        <f t="shared" ca="1" si="240"/>
        <v>-2.4694600595032967</v>
      </c>
      <c r="E536" s="360">
        <f t="shared" ca="1" si="241"/>
        <v>-18.313876079735724</v>
      </c>
      <c r="F536" s="357">
        <f t="shared" ca="1" si="242"/>
        <v>18.479618233323933</v>
      </c>
      <c r="G536" s="359">
        <f t="shared" ca="1" si="243"/>
        <v>52.493938995795922</v>
      </c>
      <c r="H536" s="360">
        <f t="shared" ca="1" si="244"/>
        <v>179.78805129101139</v>
      </c>
      <c r="I536" s="357">
        <f t="shared" ca="1" si="245"/>
        <v>187.29483980695699</v>
      </c>
      <c r="J536" s="359">
        <f t="shared" ca="1" si="246"/>
        <v>377.41428744434251</v>
      </c>
      <c r="K536" s="360">
        <f t="shared" ca="1" si="247"/>
        <v>1516.9269751332042</v>
      </c>
      <c r="L536" s="357">
        <f t="shared" ca="1" si="232"/>
        <v>1563.1727326990749</v>
      </c>
      <c r="M536" s="359">
        <f t="shared" ca="1" si="248"/>
        <v>1.2867164271437317</v>
      </c>
      <c r="N536" s="357">
        <f t="shared" ca="1" si="249"/>
        <v>73.723420705488309</v>
      </c>
      <c r="O536" s="343"/>
      <c r="P536" s="363">
        <f t="shared" ca="1" si="250"/>
        <v>23</v>
      </c>
      <c r="Q536" s="357">
        <f t="shared" ca="1" si="251"/>
        <v>0</v>
      </c>
      <c r="R536" s="359">
        <f t="shared" ca="1" si="252"/>
        <v>0</v>
      </c>
      <c r="S536" s="360">
        <f t="shared" ca="1" si="253"/>
        <v>9.637999999999975</v>
      </c>
      <c r="T536" s="357">
        <f t="shared" ca="1" si="233"/>
        <v>94.548779999999766</v>
      </c>
      <c r="U536" s="364">
        <f t="shared" ca="1" si="234"/>
        <v>0</v>
      </c>
      <c r="V536" s="359">
        <f t="shared" ca="1" si="235"/>
        <v>1.0522768647041738</v>
      </c>
      <c r="W536" s="357">
        <f t="shared" ca="1" si="236"/>
        <v>83.552849249289665</v>
      </c>
      <c r="X536" s="343"/>
      <c r="Y536" s="367" t="str">
        <f t="shared" ca="1" si="254"/>
        <v/>
      </c>
      <c r="Z536" s="368" t="str">
        <f t="shared" ca="1" si="255"/>
        <v/>
      </c>
      <c r="AA536" s="369" t="str">
        <f t="shared" ca="1" si="256"/>
        <v/>
      </c>
      <c r="AB536" s="344"/>
      <c r="AC536" s="363" t="e">
        <f t="shared" ca="1" si="257"/>
        <v>#N/A</v>
      </c>
      <c r="AD536" s="376" t="e">
        <f t="shared" ca="1" si="258"/>
        <v>#N/A</v>
      </c>
      <c r="AE536" s="377">
        <f t="shared" ca="1" si="237"/>
        <v>1516.9269751332042</v>
      </c>
      <c r="AF536" s="344"/>
      <c r="AG536" s="359">
        <f t="shared" ca="1" si="259"/>
        <v>-18.275996586987862</v>
      </c>
      <c r="AH536" s="357">
        <f t="shared" ca="1" si="260"/>
        <v>-8.8551759646538617</v>
      </c>
    </row>
    <row r="537" spans="1:34" x14ac:dyDescent="0.25">
      <c r="A537" s="402">
        <f t="shared" ca="1" si="238"/>
        <v>0.1</v>
      </c>
      <c r="B537" s="357">
        <f t="shared" ca="1" si="239"/>
        <v>8.2999999999999261</v>
      </c>
      <c r="C537" s="342"/>
      <c r="D537" s="359">
        <f t="shared" ca="1" si="240"/>
        <v>-2.4297281900442069</v>
      </c>
      <c r="E537" s="360">
        <f t="shared" ca="1" si="241"/>
        <v>-18.131648266666922</v>
      </c>
      <c r="F537" s="357">
        <f t="shared" ca="1" si="242"/>
        <v>18.293721544388422</v>
      </c>
      <c r="G537" s="359">
        <f t="shared" ca="1" si="243"/>
        <v>52.250966176791501</v>
      </c>
      <c r="H537" s="360">
        <f t="shared" ca="1" si="244"/>
        <v>177.97488646434471</v>
      </c>
      <c r="I537" s="357">
        <f t="shared" ca="1" si="245"/>
        <v>185.48645146857652</v>
      </c>
      <c r="J537" s="359">
        <f t="shared" ca="1" si="246"/>
        <v>382.65153270297185</v>
      </c>
      <c r="K537" s="360">
        <f t="shared" ca="1" si="247"/>
        <v>1534.815122020972</v>
      </c>
      <c r="L537" s="357">
        <f t="shared" ca="1" si="232"/>
        <v>1581.7963377957938</v>
      </c>
      <c r="M537" s="359">
        <f t="shared" ca="1" si="248"/>
        <v>1.2852341127574332</v>
      </c>
      <c r="N537" s="357">
        <f t="shared" ca="1" si="249"/>
        <v>73.63849034724187</v>
      </c>
      <c r="O537" s="343"/>
      <c r="P537" s="363">
        <f t="shared" ca="1" si="250"/>
        <v>23</v>
      </c>
      <c r="Q537" s="357">
        <f t="shared" ca="1" si="251"/>
        <v>0</v>
      </c>
      <c r="R537" s="359">
        <f t="shared" ca="1" si="252"/>
        <v>0</v>
      </c>
      <c r="S537" s="360">
        <f t="shared" ca="1" si="253"/>
        <v>9.637999999999975</v>
      </c>
      <c r="T537" s="357">
        <f t="shared" ca="1" si="233"/>
        <v>94.548779999999766</v>
      </c>
      <c r="U537" s="364">
        <f t="shared" ca="1" si="234"/>
        <v>0</v>
      </c>
      <c r="V537" s="359">
        <f t="shared" ca="1" si="235"/>
        <v>1.0503852179531277</v>
      </c>
      <c r="W537" s="357">
        <f t="shared" ca="1" si="236"/>
        <v>81.799868374152481</v>
      </c>
      <c r="X537" s="343"/>
      <c r="Y537" s="367" t="str">
        <f t="shared" ca="1" si="254"/>
        <v/>
      </c>
      <c r="Z537" s="368" t="str">
        <f t="shared" ca="1" si="255"/>
        <v/>
      </c>
      <c r="AA537" s="369" t="str">
        <f t="shared" ca="1" si="256"/>
        <v/>
      </c>
      <c r="AB537" s="344"/>
      <c r="AC537" s="363" t="e">
        <f t="shared" ca="1" si="257"/>
        <v>#N/A</v>
      </c>
      <c r="AD537" s="376" t="e">
        <f t="shared" ca="1" si="258"/>
        <v>#N/A</v>
      </c>
      <c r="AE537" s="377">
        <f t="shared" ca="1" si="237"/>
        <v>1534.815122020972</v>
      </c>
      <c r="AF537" s="344"/>
      <c r="AG537" s="359">
        <f t="shared" ca="1" si="259"/>
        <v>-18.085921189467882</v>
      </c>
      <c r="AH537" s="357">
        <f t="shared" ca="1" si="260"/>
        <v>-8.6691065832423622</v>
      </c>
    </row>
    <row r="538" spans="1:34" x14ac:dyDescent="0.25">
      <c r="A538" s="402">
        <f t="shared" ca="1" si="238"/>
        <v>0.1</v>
      </c>
      <c r="B538" s="357">
        <f t="shared" ca="1" si="239"/>
        <v>8.3999999999999257</v>
      </c>
      <c r="C538" s="342"/>
      <c r="D538" s="359">
        <f t="shared" ca="1" si="240"/>
        <v>-2.3908251487765435</v>
      </c>
      <c r="E538" s="360">
        <f t="shared" ca="1" si="241"/>
        <v>-17.953520886674138</v>
      </c>
      <c r="F538" s="357">
        <f t="shared" ca="1" si="242"/>
        <v>18.112011404597418</v>
      </c>
      <c r="G538" s="359">
        <f t="shared" ca="1" si="243"/>
        <v>52.011883661913849</v>
      </c>
      <c r="H538" s="360">
        <f t="shared" ca="1" si="244"/>
        <v>176.17953437567729</v>
      </c>
      <c r="I538" s="357">
        <f t="shared" ca="1" si="245"/>
        <v>183.69666402765981</v>
      </c>
      <c r="J538" s="359">
        <f t="shared" ca="1" si="246"/>
        <v>387.86467519490714</v>
      </c>
      <c r="K538" s="360">
        <f t="shared" ca="1" si="247"/>
        <v>1552.5228430629732</v>
      </c>
      <c r="L538" s="357">
        <f t="shared" ca="1" si="232"/>
        <v>1600.2394147428029</v>
      </c>
      <c r="M538" s="359">
        <f t="shared" ca="1" si="248"/>
        <v>1.2837297587949954</v>
      </c>
      <c r="N538" s="357">
        <f t="shared" ca="1" si="249"/>
        <v>73.55229721430041</v>
      </c>
      <c r="O538" s="343"/>
      <c r="P538" s="363">
        <f t="shared" ca="1" si="250"/>
        <v>23</v>
      </c>
      <c r="Q538" s="357">
        <f t="shared" ca="1" si="251"/>
        <v>0</v>
      </c>
      <c r="R538" s="359">
        <f t="shared" ca="1" si="252"/>
        <v>0</v>
      </c>
      <c r="S538" s="360">
        <f t="shared" ca="1" si="253"/>
        <v>9.637999999999975</v>
      </c>
      <c r="T538" s="357">
        <f t="shared" ca="1" si="233"/>
        <v>94.548779999999766</v>
      </c>
      <c r="U538" s="364">
        <f t="shared" ca="1" si="234"/>
        <v>0</v>
      </c>
      <c r="V538" s="359">
        <f t="shared" ca="1" si="235"/>
        <v>1.04851574369269</v>
      </c>
      <c r="W538" s="357">
        <f t="shared" ca="1" si="236"/>
        <v>80.086094033289939</v>
      </c>
      <c r="X538" s="343"/>
      <c r="Y538" s="367" t="str">
        <f t="shared" ca="1" si="254"/>
        <v/>
      </c>
      <c r="Z538" s="368" t="str">
        <f t="shared" ca="1" si="255"/>
        <v/>
      </c>
      <c r="AA538" s="369" t="str">
        <f t="shared" ca="1" si="256"/>
        <v/>
      </c>
      <c r="AB538" s="344"/>
      <c r="AC538" s="363" t="e">
        <f t="shared" ca="1" si="257"/>
        <v>#N/A</v>
      </c>
      <c r="AD538" s="376" t="e">
        <f t="shared" ca="1" si="258"/>
        <v>#N/A</v>
      </c>
      <c r="AE538" s="377">
        <f t="shared" ca="1" si="237"/>
        <v>1552.5228430629732</v>
      </c>
      <c r="AF538" s="344"/>
      <c r="AG538" s="359">
        <f t="shared" ca="1" si="259"/>
        <v>-17.899953010783083</v>
      </c>
      <c r="AH538" s="357">
        <f t="shared" ca="1" si="260"/>
        <v>-8.4872243592189971</v>
      </c>
    </row>
    <row r="539" spans="1:34" x14ac:dyDescent="0.25">
      <c r="A539" s="402">
        <f t="shared" ca="1" si="238"/>
        <v>0.1</v>
      </c>
      <c r="B539" s="357">
        <f t="shared" ca="1" si="239"/>
        <v>8.4999999999999254</v>
      </c>
      <c r="C539" s="342"/>
      <c r="D539" s="359">
        <f t="shared" ca="1" si="240"/>
        <v>-2.3527268225201277</v>
      </c>
      <c r="E539" s="360">
        <f t="shared" ca="1" si="241"/>
        <v>-17.779377129255671</v>
      </c>
      <c r="F539" s="357">
        <f t="shared" ca="1" si="242"/>
        <v>17.934368530999503</v>
      </c>
      <c r="G539" s="359">
        <f t="shared" ca="1" si="243"/>
        <v>51.776610979661839</v>
      </c>
      <c r="H539" s="360">
        <f t="shared" ca="1" si="244"/>
        <v>174.40159666275173</v>
      </c>
      <c r="I539" s="357">
        <f t="shared" ca="1" si="245"/>
        <v>181.92507898323521</v>
      </c>
      <c r="J539" s="359">
        <f t="shared" ca="1" si="246"/>
        <v>393.05409992698594</v>
      </c>
      <c r="K539" s="360">
        <f t="shared" ca="1" si="247"/>
        <v>1570.0518996148946</v>
      </c>
      <c r="L539" s="357">
        <f t="shared" ca="1" si="232"/>
        <v>1618.5037821870396</v>
      </c>
      <c r="M539" s="359">
        <f t="shared" ca="1" si="248"/>
        <v>1.2822029736811138</v>
      </c>
      <c r="N539" s="357">
        <f t="shared" ca="1" si="249"/>
        <v>73.464818871051591</v>
      </c>
      <c r="O539" s="343"/>
      <c r="P539" s="363">
        <f t="shared" ca="1" si="250"/>
        <v>23</v>
      </c>
      <c r="Q539" s="357">
        <f t="shared" ca="1" si="251"/>
        <v>0</v>
      </c>
      <c r="R539" s="359">
        <f t="shared" ca="1" si="252"/>
        <v>0</v>
      </c>
      <c r="S539" s="360">
        <f t="shared" ca="1" si="253"/>
        <v>9.637999999999975</v>
      </c>
      <c r="T539" s="357">
        <f t="shared" ca="1" si="233"/>
        <v>94.548779999999766</v>
      </c>
      <c r="U539" s="364">
        <f t="shared" ca="1" si="234"/>
        <v>0</v>
      </c>
      <c r="V539" s="359">
        <f t="shared" ca="1" si="235"/>
        <v>1.0466681549048491</v>
      </c>
      <c r="W539" s="357">
        <f t="shared" ca="1" si="236"/>
        <v>78.410418716364646</v>
      </c>
      <c r="X539" s="343"/>
      <c r="Y539" s="367" t="str">
        <f t="shared" ca="1" si="254"/>
        <v/>
      </c>
      <c r="Z539" s="368" t="str">
        <f t="shared" ca="1" si="255"/>
        <v/>
      </c>
      <c r="AA539" s="369" t="str">
        <f t="shared" ca="1" si="256"/>
        <v/>
      </c>
      <c r="AB539" s="344"/>
      <c r="AC539" s="363" t="e">
        <f t="shared" ca="1" si="257"/>
        <v>#N/A</v>
      </c>
      <c r="AD539" s="376" t="e">
        <f t="shared" ca="1" si="258"/>
        <v>#N/A</v>
      </c>
      <c r="AE539" s="377">
        <f t="shared" ca="1" si="237"/>
        <v>1570.0518996148946</v>
      </c>
      <c r="AF539" s="344"/>
      <c r="AG539" s="359">
        <f t="shared" ca="1" si="259"/>
        <v>-17.717970846835499</v>
      </c>
      <c r="AH539" s="357">
        <f t="shared" ca="1" si="260"/>
        <v>-8.3094100470315571</v>
      </c>
    </row>
    <row r="540" spans="1:34" x14ac:dyDescent="0.25">
      <c r="A540" s="402">
        <f t="shared" ca="1" si="238"/>
        <v>0.1</v>
      </c>
      <c r="B540" s="357">
        <f t="shared" ca="1" si="239"/>
        <v>8.599999999999925</v>
      </c>
      <c r="C540" s="342"/>
      <c r="D540" s="359">
        <f t="shared" ca="1" si="240"/>
        <v>-2.315409971828597</v>
      </c>
      <c r="E540" s="360">
        <f t="shared" ca="1" si="241"/>
        <v>-17.609104429109582</v>
      </c>
      <c r="F540" s="357">
        <f t="shared" ca="1" si="242"/>
        <v>17.760677975036032</v>
      </c>
      <c r="G540" s="359">
        <f t="shared" ca="1" si="243"/>
        <v>51.545069982478978</v>
      </c>
      <c r="H540" s="360">
        <f t="shared" ca="1" si="244"/>
        <v>172.64068621984077</v>
      </c>
      <c r="I540" s="357">
        <f t="shared" ca="1" si="245"/>
        <v>180.17130953055809</v>
      </c>
      <c r="J540" s="359">
        <f t="shared" ca="1" si="246"/>
        <v>398.22018397509299</v>
      </c>
      <c r="K540" s="360">
        <f t="shared" ca="1" si="247"/>
        <v>1587.4040137590243</v>
      </c>
      <c r="L540" s="357">
        <f t="shared" ca="1" si="232"/>
        <v>1636.5912189130852</v>
      </c>
      <c r="M540" s="359">
        <f t="shared" ca="1" si="248"/>
        <v>1.2806533558882105</v>
      </c>
      <c r="N540" s="357">
        <f t="shared" ca="1" si="249"/>
        <v>73.376032311659856</v>
      </c>
      <c r="O540" s="343"/>
      <c r="P540" s="363">
        <f t="shared" ca="1" si="250"/>
        <v>23</v>
      </c>
      <c r="Q540" s="357">
        <f t="shared" ca="1" si="251"/>
        <v>0</v>
      </c>
      <c r="R540" s="359">
        <f t="shared" ca="1" si="252"/>
        <v>0</v>
      </c>
      <c r="S540" s="360">
        <f t="shared" ca="1" si="253"/>
        <v>9.637999999999975</v>
      </c>
      <c r="T540" s="357">
        <f t="shared" ca="1" si="233"/>
        <v>94.548779999999766</v>
      </c>
      <c r="U540" s="364">
        <f t="shared" ca="1" si="234"/>
        <v>0</v>
      </c>
      <c r="V540" s="359">
        <f t="shared" ca="1" si="235"/>
        <v>1.0448421713314482</v>
      </c>
      <c r="W540" s="357">
        <f t="shared" ca="1" si="236"/>
        <v>76.771774879644269</v>
      </c>
      <c r="X540" s="343"/>
      <c r="Y540" s="367" t="str">
        <f t="shared" ca="1" si="254"/>
        <v/>
      </c>
      <c r="Z540" s="368" t="str">
        <f t="shared" ca="1" si="255"/>
        <v/>
      </c>
      <c r="AA540" s="369" t="str">
        <f t="shared" ca="1" si="256"/>
        <v/>
      </c>
      <c r="AB540" s="344"/>
      <c r="AC540" s="363" t="e">
        <f t="shared" ca="1" si="257"/>
        <v>#N/A</v>
      </c>
      <c r="AD540" s="376" t="e">
        <f t="shared" ca="1" si="258"/>
        <v>#N/A</v>
      </c>
      <c r="AE540" s="377">
        <f t="shared" ca="1" si="237"/>
        <v>1587.4040137590243</v>
      </c>
      <c r="AF540" s="344"/>
      <c r="AG540" s="359">
        <f t="shared" ca="1" si="259"/>
        <v>-17.539857766953041</v>
      </c>
      <c r="AH540" s="357">
        <f t="shared" ca="1" si="260"/>
        <v>-8.1355487358751652</v>
      </c>
    </row>
    <row r="541" spans="1:34" x14ac:dyDescent="0.25">
      <c r="A541" s="402">
        <f t="shared" ca="1" si="238"/>
        <v>0.1</v>
      </c>
      <c r="B541" s="357">
        <f t="shared" ca="1" si="239"/>
        <v>8.6999999999999247</v>
      </c>
      <c r="C541" s="342"/>
      <c r="D541" s="359">
        <f t="shared" ca="1" si="240"/>
        <v>-2.2788521931188113</v>
      </c>
      <c r="E541" s="360">
        <f t="shared" ca="1" si="241"/>
        <v>-17.442594282001199</v>
      </c>
      <c r="F541" s="357">
        <f t="shared" ca="1" si="242"/>
        <v>17.590828934549485</v>
      </c>
      <c r="G541" s="359">
        <f t="shared" ca="1" si="243"/>
        <v>51.317184763167099</v>
      </c>
      <c r="H541" s="360">
        <f t="shared" ca="1" si="244"/>
        <v>170.89642679164066</v>
      </c>
      <c r="I541" s="357">
        <f t="shared" ca="1" si="245"/>
        <v>178.43498015290507</v>
      </c>
      <c r="J541" s="359">
        <f t="shared" ca="1" si="246"/>
        <v>403.3632967123753</v>
      </c>
      <c r="K541" s="360">
        <f t="shared" ca="1" si="247"/>
        <v>1604.5808694095983</v>
      </c>
      <c r="L541" s="357">
        <f t="shared" ca="1" si="232"/>
        <v>1654.5034649736876</v>
      </c>
      <c r="M541" s="359">
        <f t="shared" ca="1" si="248"/>
        <v>1.279080493642172</v>
      </c>
      <c r="N541" s="357">
        <f t="shared" ca="1" si="249"/>
        <v>73.285913943206381</v>
      </c>
      <c r="O541" s="343"/>
      <c r="P541" s="363">
        <f t="shared" ca="1" si="250"/>
        <v>23</v>
      </c>
      <c r="Q541" s="357">
        <f t="shared" ca="1" si="251"/>
        <v>0</v>
      </c>
      <c r="R541" s="359">
        <f t="shared" ca="1" si="252"/>
        <v>0</v>
      </c>
      <c r="S541" s="360">
        <f t="shared" ca="1" si="253"/>
        <v>9.637999999999975</v>
      </c>
      <c r="T541" s="357">
        <f t="shared" ca="1" si="233"/>
        <v>94.548779999999766</v>
      </c>
      <c r="U541" s="364">
        <f t="shared" ca="1" si="234"/>
        <v>0</v>
      </c>
      <c r="V541" s="359">
        <f t="shared" ca="1" si="235"/>
        <v>1.0430375192735251</v>
      </c>
      <c r="W541" s="357">
        <f t="shared" ca="1" si="236"/>
        <v>75.169133225924469</v>
      </c>
      <c r="X541" s="343"/>
      <c r="Y541" s="367" t="str">
        <f t="shared" ca="1" si="254"/>
        <v/>
      </c>
      <c r="Z541" s="368" t="str">
        <f t="shared" ca="1" si="255"/>
        <v/>
      </c>
      <c r="AA541" s="369" t="str">
        <f t="shared" ca="1" si="256"/>
        <v/>
      </c>
      <c r="AB541" s="344"/>
      <c r="AC541" s="363" t="e">
        <f t="shared" ca="1" si="257"/>
        <v>#N/A</v>
      </c>
      <c r="AD541" s="376" t="e">
        <f t="shared" ca="1" si="258"/>
        <v>#N/A</v>
      </c>
      <c r="AE541" s="377">
        <f t="shared" ca="1" si="237"/>
        <v>1604.5808694095983</v>
      </c>
      <c r="AF541" s="344"/>
      <c r="AG541" s="359">
        <f t="shared" ca="1" si="259"/>
        <v>-17.365500923676954</v>
      </c>
      <c r="AH541" s="357">
        <f t="shared" ca="1" si="260"/>
        <v>-7.9655296617186622</v>
      </c>
    </row>
    <row r="542" spans="1:34" x14ac:dyDescent="0.25">
      <c r="A542" s="402">
        <f t="shared" ca="1" si="238"/>
        <v>0.1</v>
      </c>
      <c r="B542" s="357">
        <f t="shared" ca="1" si="239"/>
        <v>8.7999999999999243</v>
      </c>
      <c r="C542" s="342"/>
      <c r="D542" s="359">
        <f t="shared" ca="1" si="240"/>
        <v>-2.2430318827184044</v>
      </c>
      <c r="E542" s="360">
        <f t="shared" ca="1" si="241"/>
        <v>-17.279742069939779</v>
      </c>
      <c r="F542" s="357">
        <f t="shared" ca="1" si="242"/>
        <v>17.424714575296147</v>
      </c>
      <c r="G542" s="359">
        <f t="shared" ca="1" si="243"/>
        <v>51.092881574895259</v>
      </c>
      <c r="H542" s="360">
        <f t="shared" ca="1" si="244"/>
        <v>169.16845258464667</v>
      </c>
      <c r="I542" s="357">
        <f t="shared" ca="1" si="245"/>
        <v>176.71572623145377</v>
      </c>
      <c r="J542" s="359">
        <f t="shared" ca="1" si="246"/>
        <v>408.48380002927843</v>
      </c>
      <c r="K542" s="360">
        <f t="shared" ca="1" si="247"/>
        <v>1621.5841133784127</v>
      </c>
      <c r="L542" s="357">
        <f t="shared" ca="1" si="232"/>
        <v>1672.2422227798259</v>
      </c>
      <c r="M542" s="359">
        <f t="shared" ca="1" si="248"/>
        <v>1.2774839646176412</v>
      </c>
      <c r="N542" s="357">
        <f t="shared" ca="1" si="249"/>
        <v>73.194439568230635</v>
      </c>
      <c r="O542" s="343"/>
      <c r="P542" s="363">
        <f t="shared" ca="1" si="250"/>
        <v>23</v>
      </c>
      <c r="Q542" s="357">
        <f t="shared" ca="1" si="251"/>
        <v>0</v>
      </c>
      <c r="R542" s="359">
        <f t="shared" ca="1" si="252"/>
        <v>0</v>
      </c>
      <c r="S542" s="360">
        <f t="shared" ca="1" si="253"/>
        <v>9.637999999999975</v>
      </c>
      <c r="T542" s="357">
        <f t="shared" ca="1" si="233"/>
        <v>94.548779999999766</v>
      </c>
      <c r="U542" s="364">
        <f t="shared" ca="1" si="234"/>
        <v>0</v>
      </c>
      <c r="V542" s="359">
        <f t="shared" ca="1" si="235"/>
        <v>1.0412539313981681</v>
      </c>
      <c r="W542" s="357">
        <f t="shared" ca="1" si="236"/>
        <v>73.60150107079275</v>
      </c>
      <c r="X542" s="343"/>
      <c r="Y542" s="367" t="str">
        <f t="shared" ca="1" si="254"/>
        <v/>
      </c>
      <c r="Z542" s="368" t="str">
        <f t="shared" ca="1" si="255"/>
        <v/>
      </c>
      <c r="AA542" s="369" t="str">
        <f t="shared" ca="1" si="256"/>
        <v/>
      </c>
      <c r="AB542" s="344"/>
      <c r="AC542" s="363" t="e">
        <f t="shared" ca="1" si="257"/>
        <v>#N/A</v>
      </c>
      <c r="AD542" s="376" t="e">
        <f t="shared" ca="1" si="258"/>
        <v>#N/A</v>
      </c>
      <c r="AE542" s="377">
        <f t="shared" ca="1" si="237"/>
        <v>1621.5841133784127</v>
      </c>
      <c r="AF542" s="344"/>
      <c r="AG542" s="359">
        <f t="shared" ca="1" si="259"/>
        <v>-17.194791371960033</v>
      </c>
      <c r="AH542" s="357">
        <f t="shared" ca="1" si="260"/>
        <v>-7.7992460288363423</v>
      </c>
    </row>
    <row r="543" spans="1:34" x14ac:dyDescent="0.25">
      <c r="A543" s="402">
        <f t="shared" ca="1" si="238"/>
        <v>0.1</v>
      </c>
      <c r="B543" s="357">
        <f t="shared" ca="1" si="239"/>
        <v>8.899999999999924</v>
      </c>
      <c r="C543" s="342"/>
      <c r="D543" s="359">
        <f t="shared" ca="1" si="240"/>
        <v>-2.2079282027213178</v>
      </c>
      <c r="E543" s="360">
        <f t="shared" ca="1" si="241"/>
        <v>-17.120446895128584</v>
      </c>
      <c r="F543" s="357">
        <f t="shared" ca="1" si="242"/>
        <v>17.262231861416129</v>
      </c>
      <c r="G543" s="359">
        <f t="shared" ca="1" si="243"/>
        <v>50.872088754623128</v>
      </c>
      <c r="H543" s="360">
        <f t="shared" ca="1" si="244"/>
        <v>167.45640789513382</v>
      </c>
      <c r="I543" s="357">
        <f t="shared" ca="1" si="245"/>
        <v>175.01319367236201</v>
      </c>
      <c r="J543" s="359">
        <f t="shared" ca="1" si="246"/>
        <v>413.58204854575433</v>
      </c>
      <c r="K543" s="360">
        <f t="shared" ca="1" si="247"/>
        <v>1638.4153564024016</v>
      </c>
      <c r="L543" s="357">
        <f t="shared" ca="1" si="232"/>
        <v>1689.8091581520414</v>
      </c>
      <c r="M543" s="359">
        <f t="shared" ca="1" si="248"/>
        <v>1.275863335622456</v>
      </c>
      <c r="N543" s="357">
        <f t="shared" ca="1" si="249"/>
        <v>73.101584366649988</v>
      </c>
      <c r="O543" s="343"/>
      <c r="P543" s="363">
        <f t="shared" ca="1" si="250"/>
        <v>23</v>
      </c>
      <c r="Q543" s="357">
        <f t="shared" ca="1" si="251"/>
        <v>0</v>
      </c>
      <c r="R543" s="359">
        <f t="shared" ca="1" si="252"/>
        <v>0</v>
      </c>
      <c r="S543" s="360">
        <f t="shared" ca="1" si="253"/>
        <v>9.637999999999975</v>
      </c>
      <c r="T543" s="357">
        <f t="shared" ca="1" si="233"/>
        <v>94.548779999999766</v>
      </c>
      <c r="U543" s="364">
        <f t="shared" ca="1" si="234"/>
        <v>0</v>
      </c>
      <c r="V543" s="359">
        <f t="shared" ca="1" si="235"/>
        <v>1.0394911465525509</v>
      </c>
      <c r="W543" s="357">
        <f t="shared" ca="1" si="236"/>
        <v>72.067920790299809</v>
      </c>
      <c r="X543" s="343"/>
      <c r="Y543" s="367" t="str">
        <f t="shared" ca="1" si="254"/>
        <v/>
      </c>
      <c r="Z543" s="368" t="str">
        <f t="shared" ca="1" si="255"/>
        <v/>
      </c>
      <c r="AA543" s="369" t="str">
        <f t="shared" ca="1" si="256"/>
        <v/>
      </c>
      <c r="AB543" s="344"/>
      <c r="AC543" s="363" t="e">
        <f t="shared" ca="1" si="257"/>
        <v>#N/A</v>
      </c>
      <c r="AD543" s="376" t="e">
        <f t="shared" ca="1" si="258"/>
        <v>#N/A</v>
      </c>
      <c r="AE543" s="377">
        <f t="shared" ca="1" si="237"/>
        <v>1638.4153564024016</v>
      </c>
      <c r="AF543" s="344"/>
      <c r="AG543" s="359">
        <f t="shared" ca="1" si="259"/>
        <v>-17.027623897224206</v>
      </c>
      <c r="AH543" s="357">
        <f t="shared" ca="1" si="260"/>
        <v>-7.636594840298085</v>
      </c>
    </row>
    <row r="544" spans="1:34" x14ac:dyDescent="0.25">
      <c r="A544" s="402">
        <f t="shared" ca="1" si="238"/>
        <v>0.1</v>
      </c>
      <c r="B544" s="357">
        <f t="shared" ca="1" si="239"/>
        <v>8.9999999999999236</v>
      </c>
      <c r="C544" s="342"/>
      <c r="D544" s="359">
        <f t="shared" ca="1" si="240"/>
        <v>-2.1735210485481433</v>
      </c>
      <c r="E544" s="360">
        <f t="shared" ca="1" si="241"/>
        <v>-16.964611422186991</v>
      </c>
      <c r="F544" s="357">
        <f t="shared" ca="1" si="242"/>
        <v>17.103281394348837</v>
      </c>
      <c r="G544" s="359">
        <f t="shared" ca="1" si="243"/>
        <v>50.654736649768317</v>
      </c>
      <c r="H544" s="360">
        <f t="shared" ca="1" si="244"/>
        <v>165.75994675291511</v>
      </c>
      <c r="I544" s="357">
        <f t="shared" ca="1" si="245"/>
        <v>173.32703855021188</v>
      </c>
      <c r="J544" s="359">
        <f t="shared" ca="1" si="246"/>
        <v>418.65838981597392</v>
      </c>
      <c r="K544" s="360">
        <f t="shared" ca="1" si="247"/>
        <v>1655.076174134804</v>
      </c>
      <c r="L544" s="357">
        <f t="shared" ca="1" si="232"/>
        <v>1707.2059013346936</v>
      </c>
      <c r="M544" s="359">
        <f t="shared" ca="1" si="248"/>
        <v>1.2742181622708064</v>
      </c>
      <c r="N544" s="357">
        <f t="shared" ca="1" si="249"/>
        <v>73.007322877033076</v>
      </c>
      <c r="O544" s="343"/>
      <c r="P544" s="363">
        <f t="shared" ca="1" si="250"/>
        <v>23</v>
      </c>
      <c r="Q544" s="357">
        <f t="shared" ca="1" si="251"/>
        <v>0</v>
      </c>
      <c r="R544" s="359">
        <f t="shared" ca="1" si="252"/>
        <v>0</v>
      </c>
      <c r="S544" s="360">
        <f t="shared" ca="1" si="253"/>
        <v>9.637999999999975</v>
      </c>
      <c r="T544" s="357">
        <f t="shared" ca="1" si="233"/>
        <v>94.548779999999766</v>
      </c>
      <c r="U544" s="364">
        <f t="shared" ca="1" si="234"/>
        <v>0</v>
      </c>
      <c r="V544" s="359">
        <f t="shared" ca="1" si="235"/>
        <v>1.037748909584832</v>
      </c>
      <c r="W544" s="357">
        <f t="shared" ca="1" si="236"/>
        <v>70.567468345420608</v>
      </c>
      <c r="X544" s="343"/>
      <c r="Y544" s="367" t="str">
        <f t="shared" ca="1" si="254"/>
        <v/>
      </c>
      <c r="Z544" s="368" t="str">
        <f t="shared" ca="1" si="255"/>
        <v/>
      </c>
      <c r="AA544" s="369" t="str">
        <f t="shared" ca="1" si="256"/>
        <v/>
      </c>
      <c r="AB544" s="344"/>
      <c r="AC544" s="363">
        <f t="shared" ca="1" si="257"/>
        <v>8.9999999999999236</v>
      </c>
      <c r="AD544" s="376">
        <f t="shared" ca="1" si="258"/>
        <v>418.65838981597392</v>
      </c>
      <c r="AE544" s="377">
        <f t="shared" ca="1" si="237"/>
        <v>1655.076174134804</v>
      </c>
      <c r="AF544" s="344"/>
      <c r="AG544" s="359">
        <f t="shared" ca="1" si="259"/>
        <v>-16.863896851760941</v>
      </c>
      <c r="AH544" s="357">
        <f t="shared" ca="1" si="260"/>
        <v>-7.4774767369059969</v>
      </c>
    </row>
    <row r="545" spans="1:34" x14ac:dyDescent="0.25">
      <c r="A545" s="402">
        <f t="shared" ca="1" si="238"/>
        <v>0.1</v>
      </c>
      <c r="B545" s="357">
        <f t="shared" ca="1" si="239"/>
        <v>9.0999999999999233</v>
      </c>
      <c r="C545" s="342"/>
      <c r="D545" s="359">
        <f t="shared" ca="1" si="240"/>
        <v>-2.1397910181147632</v>
      </c>
      <c r="E545" s="360">
        <f t="shared" ca="1" si="241"/>
        <v>-16.812141728175217</v>
      </c>
      <c r="F545" s="357">
        <f t="shared" ca="1" si="242"/>
        <v>16.947767259714624</v>
      </c>
      <c r="G545" s="359">
        <f t="shared" ca="1" si="243"/>
        <v>50.440757547956842</v>
      </c>
      <c r="H545" s="360">
        <f t="shared" ca="1" si="244"/>
        <v>164.07873258009758</v>
      </c>
      <c r="I545" s="357">
        <f t="shared" ca="1" si="245"/>
        <v>171.65692676703418</v>
      </c>
      <c r="J545" s="359">
        <f t="shared" ca="1" si="246"/>
        <v>423.71316452586018</v>
      </c>
      <c r="K545" s="360">
        <f t="shared" ca="1" si="247"/>
        <v>1671.5681081014545</v>
      </c>
      <c r="L545" s="357">
        <f t="shared" ca="1" si="232"/>
        <v>1724.4340479746954</v>
      </c>
      <c r="M545" s="359">
        <f t="shared" ca="1" si="248"/>
        <v>1.2725479886446649</v>
      </c>
      <c r="N545" s="357">
        <f t="shared" ca="1" si="249"/>
        <v>72.911628977201104</v>
      </c>
      <c r="O545" s="343"/>
      <c r="P545" s="363">
        <f t="shared" ca="1" si="250"/>
        <v>23</v>
      </c>
      <c r="Q545" s="357">
        <f t="shared" ca="1" si="251"/>
        <v>0</v>
      </c>
      <c r="R545" s="359">
        <f t="shared" ca="1" si="252"/>
        <v>0</v>
      </c>
      <c r="S545" s="360">
        <f t="shared" ca="1" si="253"/>
        <v>9.637999999999975</v>
      </c>
      <c r="T545" s="357">
        <f t="shared" ca="1" si="233"/>
        <v>94.548779999999766</v>
      </c>
      <c r="U545" s="364">
        <f t="shared" ca="1" si="234"/>
        <v>0</v>
      </c>
      <c r="V545" s="359">
        <f t="shared" ca="1" si="235"/>
        <v>1.036026971171615</v>
      </c>
      <c r="W545" s="357">
        <f t="shared" ca="1" si="236"/>
        <v>69.099251878981946</v>
      </c>
      <c r="X545" s="343"/>
      <c r="Y545" s="367" t="str">
        <f t="shared" ca="1" si="254"/>
        <v/>
      </c>
      <c r="Z545" s="368" t="str">
        <f t="shared" ca="1" si="255"/>
        <v/>
      </c>
      <c r="AA545" s="369" t="str">
        <f t="shared" ca="1" si="256"/>
        <v/>
      </c>
      <c r="AB545" s="344"/>
      <c r="AC545" s="363" t="e">
        <f t="shared" ca="1" si="257"/>
        <v>#N/A</v>
      </c>
      <c r="AD545" s="376" t="e">
        <f t="shared" ca="1" si="258"/>
        <v>#N/A</v>
      </c>
      <c r="AE545" s="377">
        <f t="shared" ca="1" si="237"/>
        <v>1671.5681081014545</v>
      </c>
      <c r="AF545" s="344"/>
      <c r="AG545" s="359">
        <f t="shared" ca="1" si="259"/>
        <v>-16.703511998990365</v>
      </c>
      <c r="AH545" s="357">
        <f t="shared" ca="1" si="260"/>
        <v>-7.3217958440984425</v>
      </c>
    </row>
    <row r="546" spans="1:34" x14ac:dyDescent="0.25">
      <c r="A546" s="402">
        <f t="shared" ca="1" si="238"/>
        <v>0.1</v>
      </c>
      <c r="B546" s="357">
        <f t="shared" ca="1" si="239"/>
        <v>9.1999999999999229</v>
      </c>
      <c r="C546" s="342"/>
      <c r="D546" s="359">
        <f t="shared" ca="1" si="240"/>
        <v>-2.1067193825189174</v>
      </c>
      <c r="E546" s="360">
        <f t="shared" ca="1" si="241"/>
        <v>-16.662947159982362</v>
      </c>
      <c r="F546" s="357">
        <f t="shared" ca="1" si="242"/>
        <v>16.795596881714122</v>
      </c>
      <c r="G546" s="359">
        <f t="shared" ca="1" si="243"/>
        <v>50.23008560970495</v>
      </c>
      <c r="H546" s="360">
        <f t="shared" ca="1" si="244"/>
        <v>162.41243786409933</v>
      </c>
      <c r="I546" s="357">
        <f t="shared" ca="1" si="245"/>
        <v>170.00253372617189</v>
      </c>
      <c r="J546" s="359">
        <f t="shared" ca="1" si="246"/>
        <v>428.74670668374324</v>
      </c>
      <c r="K546" s="360">
        <f t="shared" ca="1" si="247"/>
        <v>1687.8926666236644</v>
      </c>
      <c r="L546" s="357">
        <f t="shared" ca="1" si="232"/>
        <v>1741.4951600662289</v>
      </c>
      <c r="M546" s="359">
        <f t="shared" ca="1" si="248"/>
        <v>1.2708523469430244</v>
      </c>
      <c r="N546" s="357">
        <f t="shared" ca="1" si="249"/>
        <v>72.814475864130728</v>
      </c>
      <c r="O546" s="343"/>
      <c r="P546" s="363">
        <f t="shared" ca="1" si="250"/>
        <v>23</v>
      </c>
      <c r="Q546" s="357">
        <f t="shared" ca="1" si="251"/>
        <v>0</v>
      </c>
      <c r="R546" s="359">
        <f t="shared" ca="1" si="252"/>
        <v>0</v>
      </c>
      <c r="S546" s="360">
        <f t="shared" ca="1" si="253"/>
        <v>9.637999999999975</v>
      </c>
      <c r="T546" s="357">
        <f t="shared" ca="1" si="233"/>
        <v>94.548779999999766</v>
      </c>
      <c r="U546" s="364">
        <f t="shared" ca="1" si="234"/>
        <v>0</v>
      </c>
      <c r="V546" s="359">
        <f t="shared" ca="1" si="235"/>
        <v>1.0343250876516918</v>
      </c>
      <c r="W546" s="357">
        <f t="shared" ca="1" si="236"/>
        <v>67.662410381005316</v>
      </c>
      <c r="X546" s="343"/>
      <c r="Y546" s="367" t="str">
        <f t="shared" ca="1" si="254"/>
        <v/>
      </c>
      <c r="Z546" s="368" t="str">
        <f t="shared" ca="1" si="255"/>
        <v/>
      </c>
      <c r="AA546" s="369" t="str">
        <f t="shared" ca="1" si="256"/>
        <v/>
      </c>
      <c r="AB546" s="344"/>
      <c r="AC546" s="363" t="e">
        <f t="shared" ca="1" si="257"/>
        <v>#N/A</v>
      </c>
      <c r="AD546" s="376" t="e">
        <f t="shared" ca="1" si="258"/>
        <v>#N/A</v>
      </c>
      <c r="AE546" s="377">
        <f t="shared" ca="1" si="237"/>
        <v>1687.8926666236644</v>
      </c>
      <c r="AF546" s="344"/>
      <c r="AG546" s="359">
        <f t="shared" ca="1" si="259"/>
        <v>-16.546374365125388</v>
      </c>
      <c r="AH546" s="357">
        <f t="shared" ca="1" si="260"/>
        <v>-7.1694596263729116</v>
      </c>
    </row>
    <row r="547" spans="1:34" x14ac:dyDescent="0.25">
      <c r="A547" s="402">
        <f t="shared" ca="1" si="238"/>
        <v>0.1</v>
      </c>
      <c r="B547" s="357">
        <f t="shared" ca="1" si="239"/>
        <v>9.2999999999999226</v>
      </c>
      <c r="C547" s="342"/>
      <c r="D547" s="359">
        <f t="shared" ca="1" si="240"/>
        <v>-2.07428805816004</v>
      </c>
      <c r="E547" s="360">
        <f t="shared" ca="1" si="241"/>
        <v>-16.516940198665921</v>
      </c>
      <c r="F547" s="357">
        <f t="shared" ca="1" si="242"/>
        <v>16.646680884624768</v>
      </c>
      <c r="G547" s="359">
        <f t="shared" ca="1" si="243"/>
        <v>50.02265680388895</v>
      </c>
      <c r="H547" s="360">
        <f t="shared" ca="1" si="244"/>
        <v>160.76074384423274</v>
      </c>
      <c r="I547" s="357">
        <f t="shared" ca="1" si="245"/>
        <v>168.36354402028567</v>
      </c>
      <c r="J547" s="359">
        <f t="shared" ca="1" si="246"/>
        <v>433.75934380442294</v>
      </c>
      <c r="K547" s="360">
        <f t="shared" ca="1" si="247"/>
        <v>1704.0513257090809</v>
      </c>
      <c r="L547" s="357">
        <f t="shared" ca="1" si="232"/>
        <v>1758.3907668628494</v>
      </c>
      <c r="M547" s="359">
        <f t="shared" ca="1" si="248"/>
        <v>1.2691307571184587</v>
      </c>
      <c r="N547" s="357">
        <f t="shared" ca="1" si="249"/>
        <v>72.715836033130444</v>
      </c>
      <c r="O547" s="343"/>
      <c r="P547" s="363">
        <f t="shared" ca="1" si="250"/>
        <v>23</v>
      </c>
      <c r="Q547" s="357">
        <f t="shared" ca="1" si="251"/>
        <v>0</v>
      </c>
      <c r="R547" s="359">
        <f t="shared" ca="1" si="252"/>
        <v>0</v>
      </c>
      <c r="S547" s="360">
        <f t="shared" ca="1" si="253"/>
        <v>9.637999999999975</v>
      </c>
      <c r="T547" s="357">
        <f t="shared" ca="1" si="233"/>
        <v>94.548779999999766</v>
      </c>
      <c r="U547" s="364">
        <f t="shared" ca="1" si="234"/>
        <v>0</v>
      </c>
      <c r="V547" s="359">
        <f t="shared" ca="1" si="235"/>
        <v>1.0326430208657897</v>
      </c>
      <c r="W547" s="357">
        <f t="shared" ca="1" si="236"/>
        <v>66.256112418667442</v>
      </c>
      <c r="X547" s="343"/>
      <c r="Y547" s="367" t="str">
        <f t="shared" ca="1" si="254"/>
        <v/>
      </c>
      <c r="Z547" s="368" t="str">
        <f t="shared" ca="1" si="255"/>
        <v/>
      </c>
      <c r="AA547" s="369" t="str">
        <f t="shared" ca="1" si="256"/>
        <v/>
      </c>
      <c r="AB547" s="344"/>
      <c r="AC547" s="363" t="e">
        <f t="shared" ca="1" si="257"/>
        <v>#N/A</v>
      </c>
      <c r="AD547" s="376" t="e">
        <f t="shared" ca="1" si="258"/>
        <v>#N/A</v>
      </c>
      <c r="AE547" s="377">
        <f t="shared" ca="1" si="237"/>
        <v>1704.0513257090809</v>
      </c>
      <c r="AF547" s="344"/>
      <c r="AG547" s="359">
        <f t="shared" ca="1" si="259"/>
        <v>-16.392392097815076</v>
      </c>
      <c r="AH547" s="357">
        <f t="shared" ca="1" si="260"/>
        <v>-7.0203787488073761</v>
      </c>
    </row>
    <row r="548" spans="1:34" x14ac:dyDescent="0.25">
      <c r="A548" s="402">
        <f t="shared" ca="1" si="238"/>
        <v>0.1</v>
      </c>
      <c r="B548" s="357">
        <f t="shared" ca="1" si="239"/>
        <v>9.3999999999999222</v>
      </c>
      <c r="C548" s="342"/>
      <c r="D548" s="359">
        <f t="shared" ca="1" si="240"/>
        <v>-2.0424795802130014</v>
      </c>
      <c r="E548" s="360">
        <f t="shared" ca="1" si="241"/>
        <v>-16.37403633035683</v>
      </c>
      <c r="F548" s="357">
        <f t="shared" ca="1" si="242"/>
        <v>16.50093296100049</v>
      </c>
      <c r="G548" s="359">
        <f t="shared" ca="1" si="243"/>
        <v>49.818408845867651</v>
      </c>
      <c r="H548" s="360">
        <f t="shared" ca="1" si="244"/>
        <v>159.12334021119705</v>
      </c>
      <c r="I548" s="357">
        <f t="shared" ca="1" si="245"/>
        <v>166.73965113284356</v>
      </c>
      <c r="J548" s="359">
        <f t="shared" ca="1" si="246"/>
        <v>438.75139708691074</v>
      </c>
      <c r="K548" s="360">
        <f t="shared" ca="1" si="247"/>
        <v>1720.0455299118523</v>
      </c>
      <c r="L548" s="357">
        <f t="shared" ca="1" si="232"/>
        <v>1775.122365758333</v>
      </c>
      <c r="M548" s="359">
        <f t="shared" ca="1" si="248"/>
        <v>1.2673827265004995</v>
      </c>
      <c r="N548" s="357">
        <f t="shared" ca="1" si="249"/>
        <v>72.615681256261738</v>
      </c>
      <c r="O548" s="343"/>
      <c r="P548" s="363">
        <f t="shared" ca="1" si="250"/>
        <v>23</v>
      </c>
      <c r="Q548" s="357">
        <f t="shared" ca="1" si="251"/>
        <v>0</v>
      </c>
      <c r="R548" s="359">
        <f t="shared" ca="1" si="252"/>
        <v>0</v>
      </c>
      <c r="S548" s="360">
        <f t="shared" ca="1" si="253"/>
        <v>9.637999999999975</v>
      </c>
      <c r="T548" s="357">
        <f t="shared" ca="1" si="233"/>
        <v>94.548779999999766</v>
      </c>
      <c r="U548" s="364">
        <f t="shared" ca="1" si="234"/>
        <v>0</v>
      </c>
      <c r="V548" s="359">
        <f t="shared" ca="1" si="235"/>
        <v>1.0309805380020705</v>
      </c>
      <c r="W548" s="357">
        <f t="shared" ca="1" si="236"/>
        <v>64.879554927317955</v>
      </c>
      <c r="X548" s="343"/>
      <c r="Y548" s="367" t="str">
        <f t="shared" ca="1" si="254"/>
        <v/>
      </c>
      <c r="Z548" s="368" t="str">
        <f t="shared" ca="1" si="255"/>
        <v/>
      </c>
      <c r="AA548" s="369" t="str">
        <f t="shared" ca="1" si="256"/>
        <v/>
      </c>
      <c r="AB548" s="344"/>
      <c r="AC548" s="363" t="e">
        <f t="shared" ca="1" si="257"/>
        <v>#N/A</v>
      </c>
      <c r="AD548" s="376" t="e">
        <f t="shared" ca="1" si="258"/>
        <v>#N/A</v>
      </c>
      <c r="AE548" s="377">
        <f t="shared" ca="1" si="237"/>
        <v>1720.0455299118523</v>
      </c>
      <c r="AF548" s="344"/>
      <c r="AG548" s="359">
        <f t="shared" ca="1" si="259"/>
        <v>-16.241476331367391</v>
      </c>
      <c r="AH548" s="357">
        <f t="shared" ca="1" si="260"/>
        <v>-6.8744669452861187</v>
      </c>
    </row>
    <row r="549" spans="1:34" x14ac:dyDescent="0.25">
      <c r="A549" s="402">
        <f t="shared" ca="1" si="238"/>
        <v>0.1</v>
      </c>
      <c r="B549" s="357">
        <f t="shared" ca="1" si="239"/>
        <v>9.4999999999999218</v>
      </c>
      <c r="C549" s="342"/>
      <c r="D549" s="359">
        <f t="shared" ca="1" si="240"/>
        <v>-2.0112770773813708</v>
      </c>
      <c r="E549" s="360">
        <f t="shared" ca="1" si="241"/>
        <v>-16.234153923368122</v>
      </c>
      <c r="F549" s="357">
        <f t="shared" ca="1" si="242"/>
        <v>16.358269746205078</v>
      </c>
      <c r="G549" s="359">
        <f t="shared" ca="1" si="243"/>
        <v>49.617281138129513</v>
      </c>
      <c r="H549" s="360">
        <f t="shared" ca="1" si="244"/>
        <v>157.49992481886022</v>
      </c>
      <c r="I549" s="357">
        <f t="shared" ca="1" si="245"/>
        <v>165.13055715247498</v>
      </c>
      <c r="J549" s="359">
        <f t="shared" ca="1" si="246"/>
        <v>443.72318158611063</v>
      </c>
      <c r="K549" s="360">
        <f t="shared" ca="1" si="247"/>
        <v>1735.8766931633552</v>
      </c>
      <c r="L549" s="357">
        <f t="shared" ca="1" si="232"/>
        <v>1791.6914231375463</v>
      </c>
      <c r="M549" s="359">
        <f t="shared" ca="1" si="248"/>
        <v>1.2656077494053024</v>
      </c>
      <c r="N549" s="357">
        <f t="shared" ca="1" si="249"/>
        <v>72.513982559974551</v>
      </c>
      <c r="O549" s="343"/>
      <c r="P549" s="363">
        <f t="shared" ca="1" si="250"/>
        <v>23</v>
      </c>
      <c r="Q549" s="357">
        <f t="shared" ca="1" si="251"/>
        <v>0</v>
      </c>
      <c r="R549" s="359">
        <f t="shared" ca="1" si="252"/>
        <v>0</v>
      </c>
      <c r="S549" s="360">
        <f t="shared" ca="1" si="253"/>
        <v>9.637999999999975</v>
      </c>
      <c r="T549" s="357">
        <f t="shared" ca="1" si="233"/>
        <v>94.548779999999766</v>
      </c>
      <c r="U549" s="364">
        <f t="shared" ca="1" si="234"/>
        <v>0</v>
      </c>
      <c r="V549" s="359">
        <f t="shared" ca="1" si="235"/>
        <v>1.0293374114471356</v>
      </c>
      <c r="W549" s="357">
        <f t="shared" ca="1" si="236"/>
        <v>63.531962059212887</v>
      </c>
      <c r="X549" s="343"/>
      <c r="Y549" s="367" t="str">
        <f t="shared" ca="1" si="254"/>
        <v/>
      </c>
      <c r="Z549" s="368" t="str">
        <f t="shared" ca="1" si="255"/>
        <v/>
      </c>
      <c r="AA549" s="369" t="str">
        <f t="shared" ca="1" si="256"/>
        <v/>
      </c>
      <c r="AB549" s="344"/>
      <c r="AC549" s="363" t="e">
        <f t="shared" ca="1" si="257"/>
        <v>#N/A</v>
      </c>
      <c r="AD549" s="376" t="e">
        <f t="shared" ca="1" si="258"/>
        <v>#N/A</v>
      </c>
      <c r="AE549" s="377">
        <f t="shared" ca="1" si="237"/>
        <v>1735.8766931633552</v>
      </c>
      <c r="AF549" s="344"/>
      <c r="AG549" s="359">
        <f t="shared" ca="1" si="259"/>
        <v>-16.093541058175951</v>
      </c>
      <c r="AH549" s="357">
        <f t="shared" ca="1" si="260"/>
        <v>-6.7316408930606064</v>
      </c>
    </row>
    <row r="550" spans="1:34" x14ac:dyDescent="0.25">
      <c r="A550" s="402">
        <f t="shared" ca="1" si="238"/>
        <v>0.1</v>
      </c>
      <c r="B550" s="357">
        <f t="shared" ca="1" si="239"/>
        <v>9.5999999999999215</v>
      </c>
      <c r="C550" s="342"/>
      <c r="D550" s="359">
        <f t="shared" ca="1" si="240"/>
        <v>-1.9806642478603877</v>
      </c>
      <c r="E550" s="360">
        <f t="shared" ca="1" si="241"/>
        <v>-16.097214111167553</v>
      </c>
      <c r="F550" s="357">
        <f t="shared" ca="1" si="242"/>
        <v>16.218610698932387</v>
      </c>
      <c r="G550" s="359">
        <f t="shared" ca="1" si="243"/>
        <v>49.419214713343472</v>
      </c>
      <c r="H550" s="360">
        <f t="shared" ca="1" si="244"/>
        <v>155.89020340774346</v>
      </c>
      <c r="I550" s="357">
        <f t="shared" ca="1" si="245"/>
        <v>163.53597249960382</v>
      </c>
      <c r="J550" s="359">
        <f t="shared" ca="1" si="246"/>
        <v>448.67500637868426</v>
      </c>
      <c r="K550" s="360">
        <f t="shared" ca="1" si="247"/>
        <v>1751.5461995746853</v>
      </c>
      <c r="L550" s="357">
        <f t="shared" ca="1" si="232"/>
        <v>1808.0993751985634</v>
      </c>
      <c r="M550" s="359">
        <f t="shared" ca="1" si="248"/>
        <v>1.2638053067310466</v>
      </c>
      <c r="N550" s="357">
        <f t="shared" ca="1" si="249"/>
        <v>72.410710201925426</v>
      </c>
      <c r="O550" s="343"/>
      <c r="P550" s="363">
        <f t="shared" ca="1" si="250"/>
        <v>23</v>
      </c>
      <c r="Q550" s="357">
        <f t="shared" ca="1" si="251"/>
        <v>0</v>
      </c>
      <c r="R550" s="359">
        <f t="shared" ca="1" si="252"/>
        <v>0</v>
      </c>
      <c r="S550" s="360">
        <f t="shared" ca="1" si="253"/>
        <v>9.637999999999975</v>
      </c>
      <c r="T550" s="357">
        <f t="shared" ca="1" si="233"/>
        <v>94.548779999999766</v>
      </c>
      <c r="U550" s="364">
        <f t="shared" ca="1" si="234"/>
        <v>0</v>
      </c>
      <c r="V550" s="359">
        <f t="shared" ca="1" si="235"/>
        <v>1.0277134186423085</v>
      </c>
      <c r="W550" s="357">
        <f t="shared" ca="1" si="236"/>
        <v>62.212584086827917</v>
      </c>
      <c r="X550" s="343"/>
      <c r="Y550" s="367" t="str">
        <f t="shared" ca="1" si="254"/>
        <v/>
      </c>
      <c r="Z550" s="368" t="str">
        <f t="shared" ca="1" si="255"/>
        <v/>
      </c>
      <c r="AA550" s="369" t="str">
        <f t="shared" ca="1" si="256"/>
        <v/>
      </c>
      <c r="AB550" s="344"/>
      <c r="AC550" s="363" t="e">
        <f t="shared" ca="1" si="257"/>
        <v>#N/A</v>
      </c>
      <c r="AD550" s="376" t="e">
        <f t="shared" ca="1" si="258"/>
        <v>#N/A</v>
      </c>
      <c r="AE550" s="377">
        <f t="shared" ca="1" si="237"/>
        <v>1751.5461995746853</v>
      </c>
      <c r="AF550" s="344"/>
      <c r="AG550" s="359">
        <f t="shared" ca="1" si="259"/>
        <v>-15.948503005997662</v>
      </c>
      <c r="AH550" s="357">
        <f t="shared" ca="1" si="260"/>
        <v>-6.5918200932987192</v>
      </c>
    </row>
    <row r="551" spans="1:34" x14ac:dyDescent="0.25">
      <c r="A551" s="402">
        <f t="shared" ca="1" si="238"/>
        <v>0.1</v>
      </c>
      <c r="B551" s="357">
        <f t="shared" ca="1" si="239"/>
        <v>9.6999999999999211</v>
      </c>
      <c r="C551" s="342"/>
      <c r="D551" s="359">
        <f t="shared" ca="1" si="240"/>
        <v>-1.9506253364441704</v>
      </c>
      <c r="E551" s="360">
        <f t="shared" ca="1" si="241"/>
        <v>-15.963140680895432</v>
      </c>
      <c r="F551" s="357">
        <f t="shared" ca="1" si="242"/>
        <v>16.081877987388058</v>
      </c>
      <c r="G551" s="359">
        <f t="shared" ca="1" si="243"/>
        <v>49.224152179699054</v>
      </c>
      <c r="H551" s="360">
        <f t="shared" ca="1" si="244"/>
        <v>154.2938893396539</v>
      </c>
      <c r="I551" s="357">
        <f t="shared" ca="1" si="245"/>
        <v>161.95561566480964</v>
      </c>
      <c r="J551" s="359">
        <f t="shared" ca="1" si="246"/>
        <v>453.60717472333636</v>
      </c>
      <c r="K551" s="360">
        <f t="shared" ca="1" si="247"/>
        <v>1767.0554042120552</v>
      </c>
      <c r="L551" s="357">
        <f t="shared" ca="1" si="232"/>
        <v>1824.347628747196</v>
      </c>
      <c r="M551" s="359">
        <f t="shared" ca="1" si="248"/>
        <v>1.2619748655384999</v>
      </c>
      <c r="N551" s="357">
        <f t="shared" ca="1" si="249"/>
        <v>72.305833646945601</v>
      </c>
      <c r="O551" s="343"/>
      <c r="P551" s="363">
        <f t="shared" ca="1" si="250"/>
        <v>23</v>
      </c>
      <c r="Q551" s="357">
        <f t="shared" ca="1" si="251"/>
        <v>0</v>
      </c>
      <c r="R551" s="359">
        <f t="shared" ca="1" si="252"/>
        <v>0</v>
      </c>
      <c r="S551" s="360">
        <f t="shared" ca="1" si="253"/>
        <v>9.637999999999975</v>
      </c>
      <c r="T551" s="357">
        <f t="shared" ca="1" si="233"/>
        <v>94.548779999999766</v>
      </c>
      <c r="U551" s="364">
        <f t="shared" ca="1" si="234"/>
        <v>0</v>
      </c>
      <c r="V551" s="359">
        <f t="shared" ca="1" si="235"/>
        <v>1.0261083419449653</v>
      </c>
      <c r="W551" s="357">
        <f t="shared" ca="1" si="236"/>
        <v>60.92069635780593</v>
      </c>
      <c r="X551" s="343"/>
      <c r="Y551" s="367" t="str">
        <f t="shared" ca="1" si="254"/>
        <v/>
      </c>
      <c r="Z551" s="368" t="str">
        <f t="shared" ca="1" si="255"/>
        <v/>
      </c>
      <c r="AA551" s="369" t="str">
        <f t="shared" ca="1" si="256"/>
        <v/>
      </c>
      <c r="AB551" s="344"/>
      <c r="AC551" s="363" t="e">
        <f t="shared" ca="1" si="257"/>
        <v>#N/A</v>
      </c>
      <c r="AD551" s="376" t="e">
        <f t="shared" ca="1" si="258"/>
        <v>#N/A</v>
      </c>
      <c r="AE551" s="377">
        <f t="shared" ca="1" si="237"/>
        <v>1767.0554042120552</v>
      </c>
      <c r="AF551" s="344"/>
      <c r="AG551" s="359">
        <f t="shared" ca="1" si="259"/>
        <v>-15.806281520749192</v>
      </c>
      <c r="AH551" s="357">
        <f t="shared" ca="1" si="260"/>
        <v>-6.454926757296958</v>
      </c>
    </row>
    <row r="552" spans="1:34" x14ac:dyDescent="0.25">
      <c r="A552" s="402">
        <f t="shared" ca="1" si="238"/>
        <v>0.1</v>
      </c>
      <c r="B552" s="357">
        <f t="shared" ca="1" si="239"/>
        <v>9.7999999999999208</v>
      </c>
      <c r="C552" s="342"/>
      <c r="D552" s="359">
        <f t="shared" ca="1" si="240"/>
        <v>-1.9211451127156147</v>
      </c>
      <c r="E552" s="360">
        <f t="shared" ca="1" si="241"/>
        <v>-15.831859967128278</v>
      </c>
      <c r="F552" s="357">
        <f t="shared" ca="1" si="242"/>
        <v>15.947996380826968</v>
      </c>
      <c r="G552" s="359">
        <f t="shared" ca="1" si="243"/>
        <v>49.032037668427492</v>
      </c>
      <c r="H552" s="360">
        <f t="shared" ca="1" si="244"/>
        <v>152.71070334294109</v>
      </c>
      <c r="I552" s="357">
        <f t="shared" ca="1" si="245"/>
        <v>160.38921295839646</v>
      </c>
      <c r="J552" s="359">
        <f t="shared" ca="1" si="246"/>
        <v>458.51998421574268</v>
      </c>
      <c r="K552" s="360">
        <f t="shared" ca="1" si="247"/>
        <v>1782.4056338461851</v>
      </c>
      <c r="L552" s="357">
        <f t="shared" ca="1" si="232"/>
        <v>1840.4375619650414</v>
      </c>
      <c r="M552" s="359">
        <f t="shared" ca="1" si="248"/>
        <v>1.2601158786161422</v>
      </c>
      <c r="N552" s="357">
        <f t="shared" ca="1" si="249"/>
        <v>72.199321542124494</v>
      </c>
      <c r="O552" s="343"/>
      <c r="P552" s="363">
        <f t="shared" ca="1" si="250"/>
        <v>23</v>
      </c>
      <c r="Q552" s="357">
        <f t="shared" ca="1" si="251"/>
        <v>0</v>
      </c>
      <c r="R552" s="359">
        <f t="shared" ca="1" si="252"/>
        <v>0</v>
      </c>
      <c r="S552" s="360">
        <f t="shared" ca="1" si="253"/>
        <v>9.637999999999975</v>
      </c>
      <c r="T552" s="357">
        <f t="shared" ca="1" si="233"/>
        <v>94.548779999999766</v>
      </c>
      <c r="U552" s="364">
        <f t="shared" ca="1" si="234"/>
        <v>0</v>
      </c>
      <c r="V552" s="359">
        <f t="shared" ca="1" si="235"/>
        <v>1.0245219684947131</v>
      </c>
      <c r="W552" s="357">
        <f t="shared" ca="1" si="236"/>
        <v>59.655598298772446</v>
      </c>
      <c r="X552" s="343"/>
      <c r="Y552" s="367" t="str">
        <f t="shared" ca="1" si="254"/>
        <v/>
      </c>
      <c r="Z552" s="368" t="str">
        <f t="shared" ca="1" si="255"/>
        <v/>
      </c>
      <c r="AA552" s="369" t="str">
        <f t="shared" ca="1" si="256"/>
        <v/>
      </c>
      <c r="AB552" s="344"/>
      <c r="AC552" s="363" t="e">
        <f t="shared" ca="1" si="257"/>
        <v>#N/A</v>
      </c>
      <c r="AD552" s="376" t="e">
        <f t="shared" ca="1" si="258"/>
        <v>#N/A</v>
      </c>
      <c r="AE552" s="377">
        <f t="shared" ca="1" si="237"/>
        <v>1782.4056338461851</v>
      </c>
      <c r="AF552" s="344"/>
      <c r="AG552" s="359">
        <f t="shared" ca="1" si="259"/>
        <v>-15.666798454509571</v>
      </c>
      <c r="AH552" s="357">
        <f t="shared" ca="1" si="260"/>
        <v>-6.3208856980500192</v>
      </c>
    </row>
    <row r="553" spans="1:34" x14ac:dyDescent="0.25">
      <c r="A553" s="402">
        <f t="shared" ca="1" si="238"/>
        <v>0.1</v>
      </c>
      <c r="B553" s="357">
        <f t="shared" ca="1" si="239"/>
        <v>9.8999999999999204</v>
      </c>
      <c r="C553" s="342"/>
      <c r="D553" s="359">
        <f t="shared" ca="1" si="240"/>
        <v>-1.8922088502612646</v>
      </c>
      <c r="E553" s="360">
        <f t="shared" ca="1" si="241"/>
        <v>-15.703300750607022</v>
      </c>
      <c r="F553" s="357">
        <f t="shared" ca="1" si="242"/>
        <v>15.816893146159334</v>
      </c>
      <c r="G553" s="359">
        <f t="shared" ca="1" si="243"/>
        <v>48.842816783401368</v>
      </c>
      <c r="H553" s="360">
        <f t="shared" ca="1" si="244"/>
        <v>151.14037326788039</v>
      </c>
      <c r="I553" s="357">
        <f t="shared" ca="1" si="245"/>
        <v>158.83649827067811</v>
      </c>
      <c r="J553" s="359">
        <f t="shared" ca="1" si="246"/>
        <v>463.41372693833415</v>
      </c>
      <c r="K553" s="360">
        <f t="shared" ca="1" si="247"/>
        <v>1797.5981876767262</v>
      </c>
      <c r="L553" s="357">
        <f t="shared" ca="1" si="232"/>
        <v>1856.3705251521119</v>
      </c>
      <c r="M553" s="359">
        <f t="shared" ca="1" si="248"/>
        <v>1.2582277840292246</v>
      </c>
      <c r="N553" s="357">
        <f t="shared" ca="1" si="249"/>
        <v>72.09114169097262</v>
      </c>
      <c r="O553" s="343"/>
      <c r="P553" s="363">
        <f t="shared" ca="1" si="250"/>
        <v>23</v>
      </c>
      <c r="Q553" s="357">
        <f t="shared" ca="1" si="251"/>
        <v>0</v>
      </c>
      <c r="R553" s="359">
        <f t="shared" ca="1" si="252"/>
        <v>0</v>
      </c>
      <c r="S553" s="360">
        <f t="shared" ca="1" si="253"/>
        <v>9.637999999999975</v>
      </c>
      <c r="T553" s="357">
        <f t="shared" ca="1" si="233"/>
        <v>94.548779999999766</v>
      </c>
      <c r="U553" s="364">
        <f t="shared" ca="1" si="234"/>
        <v>0</v>
      </c>
      <c r="V553" s="359">
        <f t="shared" ca="1" si="235"/>
        <v>1.0229540900842076</v>
      </c>
      <c r="W553" s="357">
        <f t="shared" ca="1" si="236"/>
        <v>58.416612465417423</v>
      </c>
      <c r="X553" s="343"/>
      <c r="Y553" s="367" t="str">
        <f t="shared" ca="1" si="254"/>
        <v/>
      </c>
      <c r="Z553" s="368" t="str">
        <f t="shared" ca="1" si="255"/>
        <v/>
      </c>
      <c r="AA553" s="369" t="str">
        <f t="shared" ca="1" si="256"/>
        <v/>
      </c>
      <c r="AB553" s="344"/>
      <c r="AC553" s="363" t="e">
        <f t="shared" ca="1" si="257"/>
        <v>#N/A</v>
      </c>
      <c r="AD553" s="376" t="e">
        <f t="shared" ca="1" si="258"/>
        <v>#N/A</v>
      </c>
      <c r="AE553" s="377">
        <f t="shared" ca="1" si="237"/>
        <v>1797.5981876767262</v>
      </c>
      <c r="AF553" s="344"/>
      <c r="AG553" s="359">
        <f t="shared" ca="1" si="259"/>
        <v>-15.5299780584345</v>
      </c>
      <c r="AH553" s="357">
        <f t="shared" ca="1" si="260"/>
        <v>-6.1896242268907038</v>
      </c>
    </row>
    <row r="554" spans="1:34" x14ac:dyDescent="0.25">
      <c r="A554" s="402">
        <f t="shared" ca="1" si="238"/>
        <v>0.1</v>
      </c>
      <c r="B554" s="357">
        <f t="shared" ca="1" si="239"/>
        <v>9.9999999999999201</v>
      </c>
      <c r="C554" s="342"/>
      <c r="D554" s="359">
        <f t="shared" ca="1" si="240"/>
        <v>-1.8638023068568332</v>
      </c>
      <c r="E554" s="360">
        <f t="shared" ca="1" si="241"/>
        <v>-15.577394161665332</v>
      </c>
      <c r="F554" s="357">
        <f t="shared" ca="1" si="242"/>
        <v>15.688497949355446</v>
      </c>
      <c r="G554" s="359">
        <f t="shared" ca="1" si="243"/>
        <v>48.656436552715682</v>
      </c>
      <c r="H554" s="360">
        <f t="shared" ca="1" si="244"/>
        <v>149.58263385171387</v>
      </c>
      <c r="I554" s="357">
        <f t="shared" ca="1" si="245"/>
        <v>157.29721284251778</v>
      </c>
      <c r="J554" s="359">
        <f t="shared" ca="1" si="246"/>
        <v>468.28868960514001</v>
      </c>
      <c r="K554" s="360">
        <f t="shared" ca="1" si="247"/>
        <v>1812.634338032706</v>
      </c>
      <c r="L554" s="357">
        <f t="shared" ca="1" si="232"/>
        <v>1872.1478414450514</v>
      </c>
      <c r="M554" s="359">
        <f t="shared" ca="1" si="248"/>
        <v>1.2563100046521094</v>
      </c>
      <c r="N554" s="357">
        <f t="shared" ca="1" si="249"/>
        <v>71.981261026626683</v>
      </c>
      <c r="O554" s="343"/>
      <c r="P554" s="363">
        <f t="shared" ca="1" si="250"/>
        <v>23</v>
      </c>
      <c r="Q554" s="357">
        <f t="shared" ca="1" si="251"/>
        <v>0</v>
      </c>
      <c r="R554" s="359">
        <f t="shared" ca="1" si="252"/>
        <v>0</v>
      </c>
      <c r="S554" s="360">
        <f t="shared" ca="1" si="253"/>
        <v>9.637999999999975</v>
      </c>
      <c r="T554" s="357">
        <f t="shared" ca="1" si="233"/>
        <v>94.548779999999766</v>
      </c>
      <c r="U554" s="364">
        <f t="shared" ca="1" si="234"/>
        <v>0</v>
      </c>
      <c r="V554" s="359">
        <f t="shared" ca="1" si="235"/>
        <v>1.0214045030344254</v>
      </c>
      <c r="W554" s="357">
        <f t="shared" ca="1" si="236"/>
        <v>57.203083636398617</v>
      </c>
      <c r="X554" s="343"/>
      <c r="Y554" s="367" t="str">
        <f t="shared" ca="1" si="254"/>
        <v/>
      </c>
      <c r="Z554" s="368" t="str">
        <f t="shared" ca="1" si="255"/>
        <v/>
      </c>
      <c r="AA554" s="369" t="str">
        <f t="shared" ca="1" si="256"/>
        <v/>
      </c>
      <c r="AB554" s="344"/>
      <c r="AC554" s="363">
        <f t="shared" ca="1" si="257"/>
        <v>9.9999999999999201</v>
      </c>
      <c r="AD554" s="376">
        <f t="shared" ca="1" si="258"/>
        <v>468.28868960514001</v>
      </c>
      <c r="AE554" s="377">
        <f t="shared" ca="1" si="237"/>
        <v>1812.634338032706</v>
      </c>
      <c r="AF554" s="344"/>
      <c r="AG554" s="359">
        <f t="shared" ca="1" si="259"/>
        <v>-15.395746880304529</v>
      </c>
      <c r="AH554" s="357">
        <f t="shared" ca="1" si="260"/>
        <v>-6.0610720549302322</v>
      </c>
    </row>
    <row r="555" spans="1:34" x14ac:dyDescent="0.25">
      <c r="A555" s="402">
        <f t="shared" ca="1" si="238"/>
        <v>0.1</v>
      </c>
      <c r="B555" s="357">
        <f t="shared" ca="1" si="239"/>
        <v>10.09999999999992</v>
      </c>
      <c r="C555" s="342"/>
      <c r="D555" s="359">
        <f t="shared" ca="1" si="240"/>
        <v>-1.8359117055723797</v>
      </c>
      <c r="E555" s="360">
        <f t="shared" ca="1" si="241"/>
        <v>-15.454073588109511</v>
      </c>
      <c r="F555" s="357">
        <f t="shared" ca="1" si="242"/>
        <v>15.562742761395295</v>
      </c>
      <c r="G555" s="359">
        <f t="shared" ca="1" si="243"/>
        <v>48.472845382158447</v>
      </c>
      <c r="H555" s="360">
        <f t="shared" ca="1" si="244"/>
        <v>148.0372264929029</v>
      </c>
      <c r="I555" s="357">
        <f t="shared" ca="1" si="245"/>
        <v>155.77110504568449</v>
      </c>
      <c r="J555" s="359">
        <f t="shared" ca="1" si="246"/>
        <v>473.14515370188371</v>
      </c>
      <c r="K555" s="360">
        <f t="shared" ca="1" si="247"/>
        <v>1827.5153310499368</v>
      </c>
      <c r="L555" s="357">
        <f t="shared" ca="1" si="232"/>
        <v>1887.7708075119021</v>
      </c>
      <c r="M555" s="359">
        <f t="shared" ca="1" si="248"/>
        <v>1.25436194768321</v>
      </c>
      <c r="N555" s="357">
        <f t="shared" ca="1" si="249"/>
        <v>71.869645584057707</v>
      </c>
      <c r="O555" s="343"/>
      <c r="P555" s="363">
        <f t="shared" ca="1" si="250"/>
        <v>23</v>
      </c>
      <c r="Q555" s="357">
        <f t="shared" ca="1" si="251"/>
        <v>0</v>
      </c>
      <c r="R555" s="359">
        <f t="shared" ca="1" si="252"/>
        <v>0</v>
      </c>
      <c r="S555" s="360">
        <f t="shared" ca="1" si="253"/>
        <v>9.637999999999975</v>
      </c>
      <c r="T555" s="357">
        <f t="shared" ca="1" si="233"/>
        <v>94.548779999999766</v>
      </c>
      <c r="U555" s="364">
        <f t="shared" ca="1" si="234"/>
        <v>0</v>
      </c>
      <c r="V555" s="359">
        <f t="shared" ca="1" si="235"/>
        <v>1.0198730080742098</v>
      </c>
      <c r="W555" s="357">
        <f t="shared" ca="1" si="236"/>
        <v>56.014377948765578</v>
      </c>
      <c r="X555" s="343"/>
      <c r="Y555" s="367" t="str">
        <f t="shared" ca="1" si="254"/>
        <v/>
      </c>
      <c r="Z555" s="368" t="str">
        <f t="shared" ca="1" si="255"/>
        <v/>
      </c>
      <c r="AA555" s="369" t="str">
        <f t="shared" ca="1" si="256"/>
        <v/>
      </c>
      <c r="AB555" s="344"/>
      <c r="AC555" s="363" t="e">
        <f t="shared" ca="1" si="257"/>
        <v>#N/A</v>
      </c>
      <c r="AD555" s="376" t="e">
        <f t="shared" ca="1" si="258"/>
        <v>#N/A</v>
      </c>
      <c r="AE555" s="377">
        <f t="shared" ca="1" si="237"/>
        <v>1827.5153310499368</v>
      </c>
      <c r="AF555" s="344"/>
      <c r="AG555" s="359">
        <f t="shared" ca="1" si="259"/>
        <v>-15.264033666445261</v>
      </c>
      <c r="AH555" s="357">
        <f t="shared" ca="1" si="260"/>
        <v>-5.935161199045317</v>
      </c>
    </row>
    <row r="556" spans="1:34" x14ac:dyDescent="0.25">
      <c r="A556" s="402">
        <f t="shared" ca="1" si="238"/>
        <v>0.1</v>
      </c>
      <c r="B556" s="357">
        <f t="shared" ca="1" si="239"/>
        <v>10.199999999999919</v>
      </c>
      <c r="C556" s="342"/>
      <c r="D556" s="359">
        <f t="shared" ca="1" si="240"/>
        <v>-1.8085237167491188</v>
      </c>
      <c r="E556" s="360">
        <f t="shared" ca="1" si="241"/>
        <v>-15.333274587316049</v>
      </c>
      <c r="F556" s="357">
        <f t="shared" ca="1" si="242"/>
        <v>15.439561768524268</v>
      </c>
      <c r="G556" s="359">
        <f t="shared" ca="1" si="243"/>
        <v>48.291993010483537</v>
      </c>
      <c r="H556" s="360">
        <f t="shared" ca="1" si="244"/>
        <v>146.5038990341713</v>
      </c>
      <c r="I556" s="357">
        <f t="shared" ca="1" si="245"/>
        <v>154.25793017261461</v>
      </c>
      <c r="J556" s="359">
        <f t="shared" ca="1" si="246"/>
        <v>477.9833956215158</v>
      </c>
      <c r="K556" s="360">
        <f t="shared" ca="1" si="247"/>
        <v>1842.2423873262906</v>
      </c>
      <c r="L556" s="357">
        <f t="shared" ca="1" si="232"/>
        <v>1903.2406942243392</v>
      </c>
      <c r="M556" s="359">
        <f t="shared" ca="1" si="248"/>
        <v>1.2523830041418162</v>
      </c>
      <c r="N556" s="357">
        <f t="shared" ca="1" si="249"/>
        <v>71.756260471241163</v>
      </c>
      <c r="O556" s="343"/>
      <c r="P556" s="363">
        <f t="shared" ca="1" si="250"/>
        <v>23</v>
      </c>
      <c r="Q556" s="357">
        <f t="shared" ca="1" si="251"/>
        <v>0</v>
      </c>
      <c r="R556" s="359">
        <f t="shared" ca="1" si="252"/>
        <v>0</v>
      </c>
      <c r="S556" s="360">
        <f t="shared" ca="1" si="253"/>
        <v>9.637999999999975</v>
      </c>
      <c r="T556" s="357">
        <f t="shared" ca="1" si="233"/>
        <v>94.548779999999766</v>
      </c>
      <c r="U556" s="364">
        <f t="shared" ca="1" si="234"/>
        <v>0</v>
      </c>
      <c r="V556" s="359">
        <f t="shared" ca="1" si="235"/>
        <v>1.0183594102239106</v>
      </c>
      <c r="W556" s="357">
        <f t="shared" ca="1" si="236"/>
        <v>54.849882072738751</v>
      </c>
      <c r="X556" s="343"/>
      <c r="Y556" s="367" t="str">
        <f t="shared" ca="1" si="254"/>
        <v/>
      </c>
      <c r="Z556" s="368" t="str">
        <f t="shared" ca="1" si="255"/>
        <v/>
      </c>
      <c r="AA556" s="369" t="str">
        <f t="shared" ca="1" si="256"/>
        <v/>
      </c>
      <c r="AB556" s="344"/>
      <c r="AC556" s="363" t="e">
        <f t="shared" ca="1" si="257"/>
        <v>#N/A</v>
      </c>
      <c r="AD556" s="376" t="e">
        <f t="shared" ca="1" si="258"/>
        <v>#N/A</v>
      </c>
      <c r="AE556" s="377">
        <f t="shared" ca="1" si="237"/>
        <v>1842.2423873262906</v>
      </c>
      <c r="AF556" s="344"/>
      <c r="AG556" s="359">
        <f t="shared" ca="1" si="259"/>
        <v>-15.1347692677721</v>
      </c>
      <c r="AH556" s="357">
        <f t="shared" ca="1" si="260"/>
        <v>-5.8118258921732435</v>
      </c>
    </row>
    <row r="557" spans="1:34" x14ac:dyDescent="0.25">
      <c r="A557" s="402">
        <f t="shared" ca="1" si="238"/>
        <v>0.1</v>
      </c>
      <c r="B557" s="357">
        <f t="shared" ca="1" si="239"/>
        <v>10.299999999999919</v>
      </c>
      <c r="C557" s="342"/>
      <c r="D557" s="359">
        <f t="shared" ca="1" si="240"/>
        <v>-1.781625440802743</v>
      </c>
      <c r="E557" s="360">
        <f t="shared" ca="1" si="241"/>
        <v>-15.214934802326614</v>
      </c>
      <c r="F557" s="357">
        <f t="shared" ca="1" si="242"/>
        <v>15.31889128659007</v>
      </c>
      <c r="G557" s="359">
        <f t="shared" ca="1" si="243"/>
        <v>48.113830466403265</v>
      </c>
      <c r="H557" s="360">
        <f t="shared" ca="1" si="244"/>
        <v>144.98240555393863</v>
      </c>
      <c r="I557" s="357">
        <f t="shared" ca="1" si="245"/>
        <v>152.75745023518994</v>
      </c>
      <c r="J557" s="359">
        <f t="shared" ca="1" si="246"/>
        <v>482.80368679536014</v>
      </c>
      <c r="K557" s="360">
        <f t="shared" ca="1" si="247"/>
        <v>1856.8167025556961</v>
      </c>
      <c r="L557" s="357">
        <f t="shared" ca="1" si="232"/>
        <v>1918.5587473082498</v>
      </c>
      <c r="M557" s="359">
        <f t="shared" ca="1" si="248"/>
        <v>1.2503725483460659</v>
      </c>
      <c r="N557" s="357">
        <f t="shared" ca="1" si="249"/>
        <v>71.641069839247066</v>
      </c>
      <c r="O557" s="343"/>
      <c r="P557" s="363">
        <f t="shared" ca="1" si="250"/>
        <v>23</v>
      </c>
      <c r="Q557" s="357">
        <f t="shared" ca="1" si="251"/>
        <v>0</v>
      </c>
      <c r="R557" s="359">
        <f t="shared" ca="1" si="252"/>
        <v>0</v>
      </c>
      <c r="S557" s="360">
        <f t="shared" ca="1" si="253"/>
        <v>9.637999999999975</v>
      </c>
      <c r="T557" s="357">
        <f t="shared" ca="1" si="233"/>
        <v>94.548779999999766</v>
      </c>
      <c r="U557" s="364">
        <f t="shared" ca="1" si="234"/>
        <v>0</v>
      </c>
      <c r="V557" s="359">
        <f t="shared" ca="1" si="235"/>
        <v>1.0168635186829598</v>
      </c>
      <c r="W557" s="357">
        <f t="shared" ca="1" si="236"/>
        <v>53.709002423805536</v>
      </c>
      <c r="X557" s="343"/>
      <c r="Y557" s="367" t="str">
        <f t="shared" ca="1" si="254"/>
        <v/>
      </c>
      <c r="Z557" s="368" t="str">
        <f t="shared" ca="1" si="255"/>
        <v/>
      </c>
      <c r="AA557" s="369" t="str">
        <f t="shared" ca="1" si="256"/>
        <v/>
      </c>
      <c r="AB557" s="344"/>
      <c r="AC557" s="363" t="e">
        <f t="shared" ca="1" si="257"/>
        <v>#N/A</v>
      </c>
      <c r="AD557" s="376" t="e">
        <f t="shared" ca="1" si="258"/>
        <v>#N/A</v>
      </c>
      <c r="AE557" s="377">
        <f t="shared" ca="1" si="237"/>
        <v>1856.8167025556961</v>
      </c>
      <c r="AF557" s="344"/>
      <c r="AG557" s="359">
        <f t="shared" ca="1" si="259"/>
        <v>-15.00788654972566</v>
      </c>
      <c r="AH557" s="357">
        <f t="shared" ca="1" si="260"/>
        <v>-5.6910024976902776</v>
      </c>
    </row>
    <row r="558" spans="1:34" x14ac:dyDescent="0.25">
      <c r="A558" s="402">
        <f t="shared" ca="1" si="238"/>
        <v>0.1</v>
      </c>
      <c r="B558" s="357">
        <f t="shared" ca="1" si="239"/>
        <v>10.399999999999919</v>
      </c>
      <c r="C558" s="342"/>
      <c r="D558" s="359">
        <f t="shared" ca="1" si="240"/>
        <v>-1.7552043918107401</v>
      </c>
      <c r="E558" s="360">
        <f t="shared" ca="1" si="241"/>
        <v>-15.098993881733275</v>
      </c>
      <c r="F558" s="357">
        <f t="shared" ca="1" si="242"/>
        <v>15.200669679249351</v>
      </c>
      <c r="G558" s="359">
        <f t="shared" ca="1" si="243"/>
        <v>47.938310027222194</v>
      </c>
      <c r="H558" s="360">
        <f t="shared" ca="1" si="244"/>
        <v>143.47250616576531</v>
      </c>
      <c r="I558" s="357">
        <f t="shared" ca="1" si="245"/>
        <v>151.26943377216574</v>
      </c>
      <c r="J558" s="359">
        <f t="shared" ca="1" si="246"/>
        <v>487.6062938200414</v>
      </c>
      <c r="K558" s="360">
        <f t="shared" ca="1" si="247"/>
        <v>1871.2394481416814</v>
      </c>
      <c r="L558" s="357">
        <f t="shared" ca="1" si="232"/>
        <v>1933.726187973494</v>
      </c>
      <c r="M558" s="359">
        <f t="shared" ca="1" si="248"/>
        <v>1.2483299373712846</v>
      </c>
      <c r="N558" s="357">
        <f t="shared" ca="1" si="249"/>
        <v>71.524036851204983</v>
      </c>
      <c r="O558" s="343"/>
      <c r="P558" s="363">
        <f t="shared" ca="1" si="250"/>
        <v>23</v>
      </c>
      <c r="Q558" s="357">
        <f t="shared" ca="1" si="251"/>
        <v>0</v>
      </c>
      <c r="R558" s="359">
        <f t="shared" ca="1" si="252"/>
        <v>0</v>
      </c>
      <c r="S558" s="360">
        <f t="shared" ca="1" si="253"/>
        <v>9.637999999999975</v>
      </c>
      <c r="T558" s="357">
        <f t="shared" ca="1" si="233"/>
        <v>94.548779999999766</v>
      </c>
      <c r="U558" s="364">
        <f t="shared" ca="1" si="234"/>
        <v>0</v>
      </c>
      <c r="V558" s="359">
        <f t="shared" ca="1" si="235"/>
        <v>1.0153851467212276</v>
      </c>
      <c r="W558" s="357">
        <f t="shared" ca="1" si="236"/>
        <v>52.591164410213281</v>
      </c>
      <c r="X558" s="343"/>
      <c r="Y558" s="367" t="str">
        <f t="shared" ca="1" si="254"/>
        <v/>
      </c>
      <c r="Z558" s="368" t="str">
        <f t="shared" ca="1" si="255"/>
        <v/>
      </c>
      <c r="AA558" s="369" t="str">
        <f t="shared" ca="1" si="256"/>
        <v/>
      </c>
      <c r="AB558" s="344"/>
      <c r="AC558" s="363" t="e">
        <f t="shared" ca="1" si="257"/>
        <v>#N/A</v>
      </c>
      <c r="AD558" s="376" t="e">
        <f t="shared" ca="1" si="258"/>
        <v>#N/A</v>
      </c>
      <c r="AE558" s="377">
        <f t="shared" ca="1" si="237"/>
        <v>1871.2394481416814</v>
      </c>
      <c r="AF558" s="344"/>
      <c r="AG558" s="359">
        <f t="shared" ca="1" si="259"/>
        <v>-14.883320305876754</v>
      </c>
      <c r="AH558" s="357">
        <f t="shared" ca="1" si="260"/>
        <v>-5.572629427661929</v>
      </c>
    </row>
    <row r="559" spans="1:34" x14ac:dyDescent="0.25">
      <c r="A559" s="402">
        <f t="shared" ca="1" si="238"/>
        <v>0.1</v>
      </c>
      <c r="B559" s="357">
        <f t="shared" ca="1" si="239"/>
        <v>10.499999999999918</v>
      </c>
      <c r="C559" s="342"/>
      <c r="D559" s="359">
        <f t="shared" ca="1" si="240"/>
        <v>-1.7292484818437288</v>
      </c>
      <c r="E559" s="360">
        <f t="shared" ca="1" si="241"/>
        <v>-14.985393403158749</v>
      </c>
      <c r="F559" s="357">
        <f t="shared" ca="1" si="242"/>
        <v>15.084837279844704</v>
      </c>
      <c r="G559" s="359">
        <f t="shared" ca="1" si="243"/>
        <v>47.765385179037821</v>
      </c>
      <c r="H559" s="360">
        <f t="shared" ca="1" si="244"/>
        <v>141.97396682544942</v>
      </c>
      <c r="I559" s="357">
        <f t="shared" ca="1" si="245"/>
        <v>149.79365566490344</v>
      </c>
      <c r="J559" s="359">
        <f t="shared" ca="1" si="246"/>
        <v>492.39147858035437</v>
      </c>
      <c r="K559" s="360">
        <f t="shared" ca="1" si="247"/>
        <v>1885.5117717912422</v>
      </c>
      <c r="L559" s="357">
        <f t="shared" ca="1" si="232"/>
        <v>1948.7442135236467</v>
      </c>
      <c r="M559" s="359">
        <f t="shared" ca="1" si="248"/>
        <v>1.2462545104878873</v>
      </c>
      <c r="N559" s="357">
        <f t="shared" ca="1" si="249"/>
        <v>71.405123650098332</v>
      </c>
      <c r="O559" s="343"/>
      <c r="P559" s="363">
        <f t="shared" ca="1" si="250"/>
        <v>23</v>
      </c>
      <c r="Q559" s="357">
        <f t="shared" ca="1" si="251"/>
        <v>0</v>
      </c>
      <c r="R559" s="359">
        <f t="shared" ca="1" si="252"/>
        <v>0</v>
      </c>
      <c r="S559" s="360">
        <f t="shared" ca="1" si="253"/>
        <v>9.637999999999975</v>
      </c>
      <c r="T559" s="357">
        <f t="shared" ca="1" si="233"/>
        <v>94.548779999999766</v>
      </c>
      <c r="U559" s="364">
        <f t="shared" ca="1" si="234"/>
        <v>0</v>
      </c>
      <c r="V559" s="359">
        <f t="shared" ca="1" si="235"/>
        <v>1.0139241115739988</v>
      </c>
      <c r="W559" s="357">
        <f t="shared" ca="1" si="236"/>
        <v>51.495811714049061</v>
      </c>
      <c r="X559" s="343"/>
      <c r="Y559" s="367" t="str">
        <f t="shared" ca="1" si="254"/>
        <v/>
      </c>
      <c r="Z559" s="368" t="str">
        <f t="shared" ca="1" si="255"/>
        <v/>
      </c>
      <c r="AA559" s="369" t="str">
        <f t="shared" ca="1" si="256"/>
        <v/>
      </c>
      <c r="AB559" s="344"/>
      <c r="AC559" s="363" t="e">
        <f t="shared" ca="1" si="257"/>
        <v>#N/A</v>
      </c>
      <c r="AD559" s="376" t="e">
        <f t="shared" ca="1" si="258"/>
        <v>#N/A</v>
      </c>
      <c r="AE559" s="377">
        <f t="shared" ca="1" si="237"/>
        <v>1885.5117717912422</v>
      </c>
      <c r="AF559" s="344"/>
      <c r="AG559" s="359">
        <f t="shared" ca="1" si="259"/>
        <v>-14.761007174991503</v>
      </c>
      <c r="AH559" s="357">
        <f t="shared" ca="1" si="260"/>
        <v>-5.4566470647658658</v>
      </c>
    </row>
    <row r="560" spans="1:34" x14ac:dyDescent="0.25">
      <c r="A560" s="402">
        <f t="shared" ca="1" si="238"/>
        <v>0.1</v>
      </c>
      <c r="B560" s="357">
        <f t="shared" ca="1" si="239"/>
        <v>10.599999999999918</v>
      </c>
      <c r="C560" s="342"/>
      <c r="D560" s="359">
        <f t="shared" ca="1" si="240"/>
        <v>-1.7037460060030942</v>
      </c>
      <c r="E560" s="360">
        <f t="shared" ca="1" si="241"/>
        <v>-14.874076800147513</v>
      </c>
      <c r="F560" s="357">
        <f t="shared" ca="1" si="242"/>
        <v>14.971336316764045</v>
      </c>
      <c r="G560" s="359">
        <f t="shared" ca="1" si="243"/>
        <v>47.59501057843751</v>
      </c>
      <c r="H560" s="360">
        <f t="shared" ca="1" si="244"/>
        <v>140.48655914543468</v>
      </c>
      <c r="I560" s="357">
        <f t="shared" ca="1" si="245"/>
        <v>148.32989696108231</v>
      </c>
      <c r="J560" s="359">
        <f t="shared" ca="1" si="246"/>
        <v>497.15949836822813</v>
      </c>
      <c r="K560" s="360">
        <f t="shared" ca="1" si="247"/>
        <v>1899.6347980897863</v>
      </c>
      <c r="L560" s="357">
        <f t="shared" ca="1" si="232"/>
        <v>1963.6139979464833</v>
      </c>
      <c r="M560" s="359">
        <f t="shared" ca="1" si="248"/>
        <v>1.2441455885779966</v>
      </c>
      <c r="N560" s="357">
        <f t="shared" ca="1" si="249"/>
        <v>71.284291325338927</v>
      </c>
      <c r="O560" s="343"/>
      <c r="P560" s="363">
        <f t="shared" ca="1" si="250"/>
        <v>23</v>
      </c>
      <c r="Q560" s="357">
        <f t="shared" ca="1" si="251"/>
        <v>0</v>
      </c>
      <c r="R560" s="359">
        <f t="shared" ca="1" si="252"/>
        <v>0</v>
      </c>
      <c r="S560" s="360">
        <f t="shared" ca="1" si="253"/>
        <v>9.637999999999975</v>
      </c>
      <c r="T560" s="357">
        <f t="shared" ca="1" si="233"/>
        <v>94.548779999999766</v>
      </c>
      <c r="U560" s="364">
        <f t="shared" ca="1" si="234"/>
        <v>0</v>
      </c>
      <c r="V560" s="359">
        <f t="shared" ca="1" si="235"/>
        <v>1.0124802343404407</v>
      </c>
      <c r="W560" s="357">
        <f t="shared" ca="1" si="236"/>
        <v>50.422405604201955</v>
      </c>
      <c r="X560" s="343"/>
      <c r="Y560" s="367" t="str">
        <f t="shared" ca="1" si="254"/>
        <v/>
      </c>
      <c r="Z560" s="368" t="str">
        <f t="shared" ca="1" si="255"/>
        <v/>
      </c>
      <c r="AA560" s="369" t="str">
        <f t="shared" ca="1" si="256"/>
        <v/>
      </c>
      <c r="AB560" s="344"/>
      <c r="AC560" s="363" t="e">
        <f t="shared" ca="1" si="257"/>
        <v>#N/A</v>
      </c>
      <c r="AD560" s="376" t="e">
        <f t="shared" ca="1" si="258"/>
        <v>#N/A</v>
      </c>
      <c r="AE560" s="377">
        <f t="shared" ca="1" si="237"/>
        <v>1899.6347980897863</v>
      </c>
      <c r="AF560" s="344"/>
      <c r="AG560" s="359">
        <f t="shared" ca="1" si="259"/>
        <v>-14.64088556135799</v>
      </c>
      <c r="AH560" s="357">
        <f t="shared" ca="1" si="260"/>
        <v>-5.342997687699647</v>
      </c>
    </row>
    <row r="561" spans="1:34" x14ac:dyDescent="0.25">
      <c r="A561" s="402">
        <f t="shared" ca="1" si="238"/>
        <v>0.1</v>
      </c>
      <c r="B561" s="357">
        <f t="shared" ca="1" si="239"/>
        <v>10.699999999999918</v>
      </c>
      <c r="C561" s="342"/>
      <c r="D561" s="359">
        <f t="shared" ca="1" si="240"/>
        <v>-1.6786856281294726</v>
      </c>
      <c r="E561" s="360">
        <f t="shared" ca="1" si="241"/>
        <v>-14.764989292294521</v>
      </c>
      <c r="F561" s="357">
        <f t="shared" ca="1" si="242"/>
        <v>14.860110842105462</v>
      </c>
      <c r="G561" s="359">
        <f t="shared" ca="1" si="243"/>
        <v>47.427142015624561</v>
      </c>
      <c r="H561" s="360">
        <f t="shared" ca="1" si="244"/>
        <v>139.01006021620523</v>
      </c>
      <c r="I561" s="357">
        <f t="shared" ca="1" si="245"/>
        <v>146.87794470608318</v>
      </c>
      <c r="J561" s="359">
        <f t="shared" ca="1" si="246"/>
        <v>501.91060599793121</v>
      </c>
      <c r="K561" s="360">
        <f t="shared" ca="1" si="247"/>
        <v>1913.6096290578682</v>
      </c>
      <c r="L561" s="357">
        <f t="shared" ca="1" si="232"/>
        <v>1978.3366924859386</v>
      </c>
      <c r="M561" s="359">
        <f t="shared" ca="1" si="248"/>
        <v>1.2420024735299002</v>
      </c>
      <c r="N561" s="357">
        <f t="shared" ca="1" si="249"/>
        <v>71.161499878072021</v>
      </c>
      <c r="O561" s="343"/>
      <c r="P561" s="363">
        <f t="shared" ca="1" si="250"/>
        <v>23</v>
      </c>
      <c r="Q561" s="357">
        <f t="shared" ca="1" si="251"/>
        <v>0</v>
      </c>
      <c r="R561" s="359">
        <f t="shared" ca="1" si="252"/>
        <v>0</v>
      </c>
      <c r="S561" s="360">
        <f t="shared" ca="1" si="253"/>
        <v>9.637999999999975</v>
      </c>
      <c r="T561" s="357">
        <f t="shared" ca="1" si="233"/>
        <v>94.548779999999766</v>
      </c>
      <c r="U561" s="364">
        <f t="shared" ca="1" si="234"/>
        <v>0</v>
      </c>
      <c r="V561" s="359">
        <f t="shared" ca="1" si="235"/>
        <v>1.0110533398854133</v>
      </c>
      <c r="W561" s="357">
        <f t="shared" ca="1" si="236"/>
        <v>49.370424279597792</v>
      </c>
      <c r="X561" s="343"/>
      <c r="Y561" s="367" t="str">
        <f t="shared" ca="1" si="254"/>
        <v/>
      </c>
      <c r="Z561" s="368" t="str">
        <f t="shared" ca="1" si="255"/>
        <v/>
      </c>
      <c r="AA561" s="369" t="str">
        <f t="shared" ca="1" si="256"/>
        <v/>
      </c>
      <c r="AB561" s="344"/>
      <c r="AC561" s="363" t="e">
        <f t="shared" ca="1" si="257"/>
        <v>#N/A</v>
      </c>
      <c r="AD561" s="376" t="e">
        <f t="shared" ca="1" si="258"/>
        <v>#N/A</v>
      </c>
      <c r="AE561" s="377">
        <f t="shared" ca="1" si="237"/>
        <v>1913.6096290578682</v>
      </c>
      <c r="AF561" s="344"/>
      <c r="AG561" s="359">
        <f t="shared" ca="1" si="259"/>
        <v>-14.522895558186322</v>
      </c>
      <c r="AH561" s="357">
        <f t="shared" ca="1" si="260"/>
        <v>-5.2316253998964601</v>
      </c>
    </row>
    <row r="562" spans="1:34" x14ac:dyDescent="0.25">
      <c r="A562" s="402">
        <f t="shared" ca="1" si="238"/>
        <v>0.1</v>
      </c>
      <c r="B562" s="357">
        <f t="shared" ca="1" si="239"/>
        <v>10.799999999999917</v>
      </c>
      <c r="C562" s="342"/>
      <c r="D562" s="359">
        <f t="shared" ca="1" si="240"/>
        <v>-1.6540563671485693</v>
      </c>
      <c r="E562" s="360">
        <f t="shared" ca="1" si="241"/>
        <v>-14.658077818447742</v>
      </c>
      <c r="F562" s="357">
        <f t="shared" ca="1" si="242"/>
        <v>14.751106663480352</v>
      </c>
      <c r="G562" s="359">
        <f t="shared" ca="1" si="243"/>
        <v>47.261736378909703</v>
      </c>
      <c r="H562" s="360">
        <f t="shared" ca="1" si="244"/>
        <v>137.54425243436046</v>
      </c>
      <c r="I562" s="357">
        <f t="shared" ca="1" si="245"/>
        <v>145.43759178175577</v>
      </c>
      <c r="J562" s="359">
        <f t="shared" ca="1" si="246"/>
        <v>506.6450499176579</v>
      </c>
      <c r="K562" s="360">
        <f t="shared" ca="1" si="247"/>
        <v>1927.4373446903965</v>
      </c>
      <c r="L562" s="357">
        <f t="shared" ca="1" si="232"/>
        <v>1992.913426196239</v>
      </c>
      <c r="M562" s="359">
        <f t="shared" ca="1" si="248"/>
        <v>1.2398244476094251</v>
      </c>
      <c r="N562" s="357">
        <f t="shared" ca="1" si="249"/>
        <v>71.036708185158702</v>
      </c>
      <c r="O562" s="343"/>
      <c r="P562" s="363">
        <f t="shared" ca="1" si="250"/>
        <v>23</v>
      </c>
      <c r="Q562" s="357">
        <f t="shared" ca="1" si="251"/>
        <v>0</v>
      </c>
      <c r="R562" s="359">
        <f t="shared" ca="1" si="252"/>
        <v>0</v>
      </c>
      <c r="S562" s="360">
        <f t="shared" ca="1" si="253"/>
        <v>9.637999999999975</v>
      </c>
      <c r="T562" s="357">
        <f t="shared" ca="1" si="233"/>
        <v>94.548779999999766</v>
      </c>
      <c r="U562" s="364">
        <f t="shared" ca="1" si="234"/>
        <v>0</v>
      </c>
      <c r="V562" s="359">
        <f t="shared" ca="1" si="235"/>
        <v>1.0096432567445039</v>
      </c>
      <c r="W562" s="357">
        <f t="shared" ca="1" si="236"/>
        <v>48.339362241190635</v>
      </c>
      <c r="X562" s="343"/>
      <c r="Y562" s="367" t="str">
        <f t="shared" ca="1" si="254"/>
        <v/>
      </c>
      <c r="Z562" s="368" t="str">
        <f t="shared" ca="1" si="255"/>
        <v/>
      </c>
      <c r="AA562" s="369" t="str">
        <f t="shared" ca="1" si="256"/>
        <v/>
      </c>
      <c r="AB562" s="344"/>
      <c r="AC562" s="363" t="e">
        <f t="shared" ca="1" si="257"/>
        <v>#N/A</v>
      </c>
      <c r="AD562" s="376" t="e">
        <f t="shared" ca="1" si="258"/>
        <v>#N/A</v>
      </c>
      <c r="AE562" s="377">
        <f t="shared" ca="1" si="237"/>
        <v>1927.4373446903965</v>
      </c>
      <c r="AF562" s="344"/>
      <c r="AG562" s="359">
        <f t="shared" ca="1" si="259"/>
        <v>-14.406978873903089</v>
      </c>
      <c r="AH562" s="357">
        <f t="shared" ca="1" si="260"/>
        <v>-5.1224760613818132</v>
      </c>
    </row>
    <row r="563" spans="1:34" x14ac:dyDescent="0.25">
      <c r="A563" s="402">
        <f t="shared" ca="1" si="238"/>
        <v>0.1</v>
      </c>
      <c r="B563" s="357">
        <f t="shared" ca="1" si="239"/>
        <v>10.899999999999917</v>
      </c>
      <c r="C563" s="342"/>
      <c r="D563" s="359">
        <f t="shared" ca="1" si="240"/>
        <v>-1.6298475840228321</v>
      </c>
      <c r="E563" s="360">
        <f t="shared" ca="1" si="241"/>
        <v>-14.553290972830327</v>
      </c>
      <c r="F563" s="357">
        <f t="shared" ca="1" si="242"/>
        <v>14.644271278797376</v>
      </c>
      <c r="G563" s="359">
        <f t="shared" ca="1" si="243"/>
        <v>47.098751620507421</v>
      </c>
      <c r="H563" s="360">
        <f t="shared" ca="1" si="244"/>
        <v>136.08892333707743</v>
      </c>
      <c r="I563" s="357">
        <f t="shared" ca="1" si="245"/>
        <v>144.00863675229758</v>
      </c>
      <c r="J563" s="359">
        <f t="shared" ca="1" si="246"/>
        <v>511.36307431762873</v>
      </c>
      <c r="K563" s="360">
        <f t="shared" ca="1" si="247"/>
        <v>1941.1190034789684</v>
      </c>
      <c r="L563" s="357">
        <f t="shared" ca="1" si="232"/>
        <v>2007.3453064788728</v>
      </c>
      <c r="M563" s="359">
        <f t="shared" ca="1" si="248"/>
        <v>1.2376107728072765</v>
      </c>
      <c r="N563" s="357">
        <f t="shared" ca="1" si="249"/>
        <v>70.90987396178113</v>
      </c>
      <c r="O563" s="343"/>
      <c r="P563" s="363">
        <f t="shared" ca="1" si="250"/>
        <v>23</v>
      </c>
      <c r="Q563" s="357">
        <f t="shared" ca="1" si="251"/>
        <v>0</v>
      </c>
      <c r="R563" s="359">
        <f t="shared" ca="1" si="252"/>
        <v>0</v>
      </c>
      <c r="S563" s="360">
        <f t="shared" ca="1" si="253"/>
        <v>9.637999999999975</v>
      </c>
      <c r="T563" s="357">
        <f t="shared" ca="1" si="233"/>
        <v>94.548779999999766</v>
      </c>
      <c r="U563" s="364">
        <f t="shared" ca="1" si="234"/>
        <v>0</v>
      </c>
      <c r="V563" s="359">
        <f t="shared" ca="1" si="235"/>
        <v>1.0082498170321483</v>
      </c>
      <c r="W563" s="357">
        <f t="shared" ca="1" si="236"/>
        <v>47.328729691277331</v>
      </c>
      <c r="X563" s="343"/>
      <c r="Y563" s="367" t="str">
        <f t="shared" ca="1" si="254"/>
        <v/>
      </c>
      <c r="Z563" s="368" t="str">
        <f t="shared" ca="1" si="255"/>
        <v/>
      </c>
      <c r="AA563" s="369" t="str">
        <f t="shared" ca="1" si="256"/>
        <v/>
      </c>
      <c r="AB563" s="344"/>
      <c r="AC563" s="363" t="e">
        <f t="shared" ca="1" si="257"/>
        <v>#N/A</v>
      </c>
      <c r="AD563" s="376" t="e">
        <f t="shared" ca="1" si="258"/>
        <v>#N/A</v>
      </c>
      <c r="AE563" s="377">
        <f t="shared" ca="1" si="237"/>
        <v>1941.1190034789684</v>
      </c>
      <c r="AF563" s="344"/>
      <c r="AG563" s="359">
        <f t="shared" ca="1" si="259"/>
        <v>-14.293078761170262</v>
      </c>
      <c r="AH563" s="357">
        <f t="shared" ca="1" si="260"/>
        <v>-5.0154972236138988</v>
      </c>
    </row>
    <row r="564" spans="1:34" x14ac:dyDescent="0.25">
      <c r="A564" s="402">
        <f t="shared" ca="1" si="238"/>
        <v>0.1</v>
      </c>
      <c r="B564" s="357">
        <f t="shared" ca="1" si="239"/>
        <v>10.999999999999917</v>
      </c>
      <c r="C564" s="342"/>
      <c r="D564" s="359">
        <f t="shared" ca="1" si="240"/>
        <v>-1.6060489692791682</v>
      </c>
      <c r="E564" s="360">
        <f t="shared" ca="1" si="241"/>
        <v>-14.450578943936565</v>
      </c>
      <c r="F564" s="357">
        <f t="shared" ca="1" si="242"/>
        <v>14.539553813878385</v>
      </c>
      <c r="G564" s="359">
        <f t="shared" ca="1" si="243"/>
        <v>46.938146723579507</v>
      </c>
      <c r="H564" s="360">
        <f t="shared" ca="1" si="244"/>
        <v>134.64386544268376</v>
      </c>
      <c r="I564" s="357">
        <f t="shared" ca="1" si="245"/>
        <v>142.59088371698874</v>
      </c>
      <c r="J564" s="359">
        <f t="shared" ca="1" si="246"/>
        <v>516.06491923483304</v>
      </c>
      <c r="K564" s="360">
        <f t="shared" ca="1" si="247"/>
        <v>1954.6556429179564</v>
      </c>
      <c r="L564" s="357">
        <f t="shared" ca="1" si="232"/>
        <v>2021.6334196030357</v>
      </c>
      <c r="M564" s="359">
        <f t="shared" ca="1" si="248"/>
        <v>1.2353606901613403</v>
      </c>
      <c r="N564" s="357">
        <f t="shared" ca="1" si="249"/>
        <v>70.780953722613361</v>
      </c>
      <c r="O564" s="343"/>
      <c r="P564" s="363">
        <f t="shared" ca="1" si="250"/>
        <v>23</v>
      </c>
      <c r="Q564" s="357">
        <f t="shared" ca="1" si="251"/>
        <v>0</v>
      </c>
      <c r="R564" s="359">
        <f t="shared" ca="1" si="252"/>
        <v>0</v>
      </c>
      <c r="S564" s="360">
        <f t="shared" ca="1" si="253"/>
        <v>9.637999999999975</v>
      </c>
      <c r="T564" s="357">
        <f t="shared" ca="1" si="233"/>
        <v>94.548779999999766</v>
      </c>
      <c r="U564" s="364">
        <f t="shared" ca="1" si="234"/>
        <v>0</v>
      </c>
      <c r="V564" s="359">
        <f t="shared" ca="1" si="235"/>
        <v>1.0068728563527356</v>
      </c>
      <c r="W564" s="357">
        <f t="shared" ca="1" si="236"/>
        <v>46.338051958784483</v>
      </c>
      <c r="X564" s="343"/>
      <c r="Y564" s="367" t="str">
        <f t="shared" ca="1" si="254"/>
        <v/>
      </c>
      <c r="Z564" s="368" t="str">
        <f t="shared" ca="1" si="255"/>
        <v/>
      </c>
      <c r="AA564" s="369" t="str">
        <f t="shared" ca="1" si="256"/>
        <v/>
      </c>
      <c r="AB564" s="344"/>
      <c r="AC564" s="363">
        <f t="shared" ca="1" si="257"/>
        <v>10.999999999999917</v>
      </c>
      <c r="AD564" s="376">
        <f t="shared" ca="1" si="258"/>
        <v>516.06491923483304</v>
      </c>
      <c r="AE564" s="377">
        <f t="shared" ca="1" si="237"/>
        <v>1954.6556429179564</v>
      </c>
      <c r="AF564" s="344"/>
      <c r="AG564" s="359">
        <f t="shared" ca="1" si="259"/>
        <v>-14.181139948466583</v>
      </c>
      <c r="AH564" s="357">
        <f t="shared" ca="1" si="260"/>
        <v>-4.9106380671588976</v>
      </c>
    </row>
    <row r="565" spans="1:34" x14ac:dyDescent="0.25">
      <c r="A565" s="402">
        <f t="shared" ca="1" si="238"/>
        <v>0.1</v>
      </c>
      <c r="B565" s="357">
        <f t="shared" ca="1" si="239"/>
        <v>11.099999999999916</v>
      </c>
      <c r="C565" s="342"/>
      <c r="D565" s="359">
        <f t="shared" ca="1" si="240"/>
        <v>-1.5826505310846919</v>
      </c>
      <c r="E565" s="360">
        <f t="shared" ca="1" si="241"/>
        <v>-14.349893456064187</v>
      </c>
      <c r="F565" s="357">
        <f t="shared" ca="1" si="242"/>
        <v>14.436904962765961</v>
      </c>
      <c r="G565" s="359">
        <f t="shared" ca="1" si="243"/>
        <v>46.779881670471035</v>
      </c>
      <c r="H565" s="360">
        <f t="shared" ca="1" si="244"/>
        <v>133.20887609707734</v>
      </c>
      <c r="I565" s="357">
        <f t="shared" ca="1" si="245"/>
        <v>141.18414216954315</v>
      </c>
      <c r="J565" s="359">
        <f t="shared" ca="1" si="246"/>
        <v>520.75082065453557</v>
      </c>
      <c r="K565" s="360">
        <f t="shared" ca="1" si="247"/>
        <v>1968.0482799949443</v>
      </c>
      <c r="L565" s="357">
        <f t="shared" ca="1" si="232"/>
        <v>2035.7788312101663</v>
      </c>
      <c r="M565" s="359">
        <f t="shared" ca="1" si="248"/>
        <v>1.2330734190529069</v>
      </c>
      <c r="N565" s="357">
        <f t="shared" ca="1" si="249"/>
        <v>70.649902741497911</v>
      </c>
      <c r="O565" s="343"/>
      <c r="P565" s="363">
        <f t="shared" ca="1" si="250"/>
        <v>23</v>
      </c>
      <c r="Q565" s="357">
        <f t="shared" ca="1" si="251"/>
        <v>0</v>
      </c>
      <c r="R565" s="359">
        <f t="shared" ca="1" si="252"/>
        <v>0</v>
      </c>
      <c r="S565" s="360">
        <f t="shared" ca="1" si="253"/>
        <v>9.637999999999975</v>
      </c>
      <c r="T565" s="357">
        <f t="shared" ca="1" si="233"/>
        <v>94.548779999999766</v>
      </c>
      <c r="U565" s="364">
        <f t="shared" ca="1" si="234"/>
        <v>0</v>
      </c>
      <c r="V565" s="359">
        <f t="shared" ca="1" si="235"/>
        <v>1.0055122137145664</v>
      </c>
      <c r="W565" s="357">
        <f t="shared" ca="1" si="236"/>
        <v>45.366868949249707</v>
      </c>
      <c r="X565" s="343"/>
      <c r="Y565" s="367" t="str">
        <f t="shared" ca="1" si="254"/>
        <v/>
      </c>
      <c r="Z565" s="368" t="str">
        <f t="shared" ca="1" si="255"/>
        <v/>
      </c>
      <c r="AA565" s="369" t="str">
        <f t="shared" ca="1" si="256"/>
        <v/>
      </c>
      <c r="AB565" s="344"/>
      <c r="AC565" s="363" t="e">
        <f t="shared" ca="1" si="257"/>
        <v>#N/A</v>
      </c>
      <c r="AD565" s="376" t="e">
        <f t="shared" ca="1" si="258"/>
        <v>#N/A</v>
      </c>
      <c r="AE565" s="377">
        <f t="shared" ca="1" si="237"/>
        <v>1968.0482799949443</v>
      </c>
      <c r="AF565" s="344"/>
      <c r="AG565" s="359">
        <f t="shared" ca="1" si="259"/>
        <v>-14.071108574077154</v>
      </c>
      <c r="AH565" s="357">
        <f t="shared" ca="1" si="260"/>
        <v>-4.8078493420610711</v>
      </c>
    </row>
    <row r="566" spans="1:34" x14ac:dyDescent="0.25">
      <c r="A566" s="402">
        <f t="shared" ca="1" si="238"/>
        <v>0.1</v>
      </c>
      <c r="B566" s="357">
        <f t="shared" ca="1" si="239"/>
        <v>11.199999999999916</v>
      </c>
      <c r="C566" s="342"/>
      <c r="D566" s="359">
        <f t="shared" ca="1" si="240"/>
        <v>-1.5596425838440031</v>
      </c>
      <c r="E566" s="360">
        <f t="shared" ca="1" si="241"/>
        <v>-14.251187713352962</v>
      </c>
      <c r="F566" s="357">
        <f t="shared" ca="1" si="242"/>
        <v>14.336276930589825</v>
      </c>
      <c r="G566" s="359">
        <f t="shared" ca="1" si="243"/>
        <v>46.623917412086634</v>
      </c>
      <c r="H566" s="360">
        <f t="shared" ca="1" si="244"/>
        <v>131.78375732574204</v>
      </c>
      <c r="I566" s="357">
        <f t="shared" ca="1" si="245"/>
        <v>139.78822686384981</v>
      </c>
      <c r="J566" s="359">
        <f t="shared" ca="1" si="246"/>
        <v>525.42101060866344</v>
      </c>
      <c r="K566" s="360">
        <f t="shared" ca="1" si="247"/>
        <v>1981.2979116660854</v>
      </c>
      <c r="L566" s="357">
        <f t="shared" ca="1" si="232"/>
        <v>2049.7825868031518</v>
      </c>
      <c r="M566" s="359">
        <f t="shared" ca="1" si="248"/>
        <v>1.2307481564757348</v>
      </c>
      <c r="N566" s="357">
        <f t="shared" ca="1" si="249"/>
        <v>70.516675009566242</v>
      </c>
      <c r="O566" s="343"/>
      <c r="P566" s="363">
        <f t="shared" ca="1" si="250"/>
        <v>23</v>
      </c>
      <c r="Q566" s="357">
        <f t="shared" ca="1" si="251"/>
        <v>0</v>
      </c>
      <c r="R566" s="359">
        <f t="shared" ca="1" si="252"/>
        <v>0</v>
      </c>
      <c r="S566" s="360">
        <f t="shared" ca="1" si="253"/>
        <v>9.637999999999975</v>
      </c>
      <c r="T566" s="357">
        <f t="shared" ca="1" si="233"/>
        <v>94.548779999999766</v>
      </c>
      <c r="U566" s="364">
        <f t="shared" ca="1" si="234"/>
        <v>0</v>
      </c>
      <c r="V566" s="359">
        <f t="shared" ca="1" si="235"/>
        <v>1.004167731446574</v>
      </c>
      <c r="W566" s="357">
        <f t="shared" ca="1" si="236"/>
        <v>44.414734618291455</v>
      </c>
      <c r="X566" s="343"/>
      <c r="Y566" s="367" t="str">
        <f t="shared" ca="1" si="254"/>
        <v/>
      </c>
      <c r="Z566" s="368" t="str">
        <f t="shared" ca="1" si="255"/>
        <v/>
      </c>
      <c r="AA566" s="369" t="str">
        <f t="shared" ca="1" si="256"/>
        <v/>
      </c>
      <c r="AB566" s="344"/>
      <c r="AC566" s="363" t="e">
        <f t="shared" ca="1" si="257"/>
        <v>#N/A</v>
      </c>
      <c r="AD566" s="376" t="e">
        <f t="shared" ca="1" si="258"/>
        <v>#N/A</v>
      </c>
      <c r="AE566" s="377">
        <f t="shared" ca="1" si="237"/>
        <v>1981.2979116660854</v>
      </c>
      <c r="AF566" s="344"/>
      <c r="AG566" s="359">
        <f t="shared" ca="1" si="259"/>
        <v>-13.962932122343855</v>
      </c>
      <c r="AH566" s="357">
        <f t="shared" ca="1" si="260"/>
        <v>-4.7070833107750385</v>
      </c>
    </row>
    <row r="567" spans="1:34" x14ac:dyDescent="0.25">
      <c r="A567" s="402">
        <f t="shared" ca="1" si="238"/>
        <v>0.1</v>
      </c>
      <c r="B567" s="357">
        <f t="shared" ca="1" si="239"/>
        <v>11.299999999999915</v>
      </c>
      <c r="C567" s="342"/>
      <c r="D567" s="359">
        <f t="shared" ca="1" si="240"/>
        <v>-1.5370157372930011</v>
      </c>
      <c r="E567" s="360">
        <f t="shared" ca="1" si="241"/>
        <v>-14.154416346206851</v>
      </c>
      <c r="F567" s="357">
        <f t="shared" ca="1" si="242"/>
        <v>14.237623378866786</v>
      </c>
      <c r="G567" s="359">
        <f t="shared" ca="1" si="243"/>
        <v>46.470215838357333</v>
      </c>
      <c r="H567" s="360">
        <f t="shared" ca="1" si="244"/>
        <v>130.36831569112135</v>
      </c>
      <c r="I567" s="357">
        <f t="shared" ca="1" si="245"/>
        <v>138.40295768589411</v>
      </c>
      <c r="J567" s="359">
        <f t="shared" ca="1" si="246"/>
        <v>530.07571727118568</v>
      </c>
      <c r="K567" s="360">
        <f t="shared" ca="1" si="247"/>
        <v>1994.4055153169286</v>
      </c>
      <c r="L567" s="357">
        <f t="shared" ca="1" si="232"/>
        <v>2063.6457122207644</v>
      </c>
      <c r="M567" s="359">
        <f t="shared" ca="1" si="248"/>
        <v>1.2283840762768194</v>
      </c>
      <c r="N567" s="357">
        <f t="shared" ca="1" si="249"/>
        <v>70.381223191737945</v>
      </c>
      <c r="O567" s="343"/>
      <c r="P567" s="363">
        <f t="shared" ca="1" si="250"/>
        <v>23</v>
      </c>
      <c r="Q567" s="357">
        <f t="shared" ca="1" si="251"/>
        <v>0</v>
      </c>
      <c r="R567" s="359">
        <f t="shared" ca="1" si="252"/>
        <v>0</v>
      </c>
      <c r="S567" s="360">
        <f t="shared" ca="1" si="253"/>
        <v>9.637999999999975</v>
      </c>
      <c r="T567" s="357">
        <f t="shared" ca="1" si="233"/>
        <v>94.548779999999766</v>
      </c>
      <c r="U567" s="364">
        <f t="shared" ca="1" si="234"/>
        <v>0</v>
      </c>
      <c r="V567" s="359">
        <f t="shared" ca="1" si="235"/>
        <v>1.0028392551176866</v>
      </c>
      <c r="W567" s="357">
        <f t="shared" ca="1" si="236"/>
        <v>43.481216467426492</v>
      </c>
      <c r="X567" s="343"/>
      <c r="Y567" s="367" t="str">
        <f t="shared" ca="1" si="254"/>
        <v/>
      </c>
      <c r="Z567" s="368" t="str">
        <f t="shared" ca="1" si="255"/>
        <v/>
      </c>
      <c r="AA567" s="369" t="str">
        <f t="shared" ca="1" si="256"/>
        <v/>
      </c>
      <c r="AB567" s="344"/>
      <c r="AC567" s="363" t="e">
        <f t="shared" ca="1" si="257"/>
        <v>#N/A</v>
      </c>
      <c r="AD567" s="376" t="e">
        <f t="shared" ca="1" si="258"/>
        <v>#N/A</v>
      </c>
      <c r="AE567" s="377">
        <f t="shared" ca="1" si="237"/>
        <v>1994.4055153169286</v>
      </c>
      <c r="AF567" s="344"/>
      <c r="AG567" s="359">
        <f t="shared" ca="1" si="259"/>
        <v>-13.856559362035828</v>
      </c>
      <c r="AH567" s="357">
        <f t="shared" ca="1" si="260"/>
        <v>-4.6082936935351286</v>
      </c>
    </row>
    <row r="568" spans="1:34" x14ac:dyDescent="0.25">
      <c r="A568" s="402">
        <f t="shared" ca="1" si="238"/>
        <v>0.1</v>
      </c>
      <c r="B568" s="357">
        <f t="shared" ca="1" si="239"/>
        <v>11.399999999999915</v>
      </c>
      <c r="C568" s="342"/>
      <c r="D568" s="359">
        <f t="shared" ca="1" si="240"/>
        <v>-1.514760886065645</v>
      </c>
      <c r="E568" s="360">
        <f t="shared" ca="1" si="241"/>
        <v>-14.059535359983585</v>
      </c>
      <c r="F568" s="357">
        <f t="shared" ca="1" si="242"/>
        <v>14.140899373115669</v>
      </c>
      <c r="G568" s="359">
        <f t="shared" ca="1" si="243"/>
        <v>46.318739749750769</v>
      </c>
      <c r="H568" s="360">
        <f t="shared" ca="1" si="244"/>
        <v>128.962362155123</v>
      </c>
      <c r="I568" s="357">
        <f t="shared" ca="1" si="245"/>
        <v>137.02815953166066</v>
      </c>
      <c r="J568" s="359">
        <f t="shared" ca="1" si="246"/>
        <v>534.71516505059105</v>
      </c>
      <c r="K568" s="360">
        <f t="shared" ca="1" si="247"/>
        <v>2007.3720492092409</v>
      </c>
      <c r="L568" s="357">
        <f t="shared" ca="1" si="232"/>
        <v>2077.3692140978665</v>
      </c>
      <c r="M568" s="359">
        <f t="shared" ca="1" si="248"/>
        <v>1.2259803283676929</v>
      </c>
      <c r="N568" s="357">
        <f t="shared" ca="1" si="249"/>
        <v>70.243498581531597</v>
      </c>
      <c r="O568" s="343"/>
      <c r="P568" s="363">
        <f t="shared" ca="1" si="250"/>
        <v>23</v>
      </c>
      <c r="Q568" s="357">
        <f t="shared" ca="1" si="251"/>
        <v>0</v>
      </c>
      <c r="R568" s="359">
        <f t="shared" ca="1" si="252"/>
        <v>0</v>
      </c>
      <c r="S568" s="360">
        <f t="shared" ca="1" si="253"/>
        <v>9.637999999999975</v>
      </c>
      <c r="T568" s="357">
        <f t="shared" ca="1" si="233"/>
        <v>94.548779999999766</v>
      </c>
      <c r="U568" s="364">
        <f t="shared" ca="1" si="234"/>
        <v>0</v>
      </c>
      <c r="V568" s="359">
        <f t="shared" ca="1" si="235"/>
        <v>1.0015266334587483</v>
      </c>
      <c r="W568" s="357">
        <f t="shared" ca="1" si="236"/>
        <v>42.565895061157306</v>
      </c>
      <c r="X568" s="343"/>
      <c r="Y568" s="367" t="str">
        <f t="shared" ca="1" si="254"/>
        <v/>
      </c>
      <c r="Z568" s="368" t="str">
        <f t="shared" ca="1" si="255"/>
        <v/>
      </c>
      <c r="AA568" s="369" t="str">
        <f t="shared" ca="1" si="256"/>
        <v/>
      </c>
      <c r="AB568" s="344"/>
      <c r="AC568" s="363" t="e">
        <f t="shared" ca="1" si="257"/>
        <v>#N/A</v>
      </c>
      <c r="AD568" s="376" t="e">
        <f t="shared" ca="1" si="258"/>
        <v>#N/A</v>
      </c>
      <c r="AE568" s="377">
        <f t="shared" ca="1" si="237"/>
        <v>2007.3720492092409</v>
      </c>
      <c r="AF568" s="344"/>
      <c r="AG568" s="359">
        <f t="shared" ca="1" si="259"/>
        <v>-13.75194028670515</v>
      </c>
      <c r="AH568" s="357">
        <f t="shared" ca="1" si="260"/>
        <v>-4.5114356160434328</v>
      </c>
    </row>
    <row r="569" spans="1:34" x14ac:dyDescent="0.25">
      <c r="A569" s="402">
        <f t="shared" ca="1" si="238"/>
        <v>0.1</v>
      </c>
      <c r="B569" s="357">
        <f t="shared" ca="1" si="239"/>
        <v>11.499999999999915</v>
      </c>
      <c r="C569" s="342"/>
      <c r="D569" s="359">
        <f t="shared" ca="1" si="240"/>
        <v>-1.4928691997113761</v>
      </c>
      <c r="E569" s="360">
        <f t="shared" ca="1" si="241"/>
        <v>-13.966502085841901</v>
      </c>
      <c r="F569" s="357">
        <f t="shared" ca="1" si="242"/>
        <v>14.046061332675189</v>
      </c>
      <c r="G569" s="359">
        <f t="shared" ca="1" si="243"/>
        <v>46.16945282977963</v>
      </c>
      <c r="H569" s="360">
        <f t="shared" ca="1" si="244"/>
        <v>127.56571194653881</v>
      </c>
      <c r="I569" s="357">
        <f t="shared" ca="1" si="245"/>
        <v>135.66366219083341</v>
      </c>
      <c r="J569" s="359">
        <f t="shared" ca="1" si="246"/>
        <v>539.33957467956759</v>
      </c>
      <c r="K569" s="360">
        <f t="shared" ca="1" si="247"/>
        <v>2020.198452914324</v>
      </c>
      <c r="L569" s="357">
        <f t="shared" ca="1" si="232"/>
        <v>2090.9540803118957</v>
      </c>
      <c r="M569" s="359">
        <f t="shared" ca="1" si="248"/>
        <v>1.22353603790502</v>
      </c>
      <c r="N569" s="357">
        <f t="shared" ca="1" si="249"/>
        <v>70.103451054116363</v>
      </c>
      <c r="O569" s="343"/>
      <c r="P569" s="363">
        <f t="shared" ca="1" si="250"/>
        <v>23</v>
      </c>
      <c r="Q569" s="357">
        <f t="shared" ca="1" si="251"/>
        <v>0</v>
      </c>
      <c r="R569" s="359">
        <f t="shared" ca="1" si="252"/>
        <v>0</v>
      </c>
      <c r="S569" s="360">
        <f t="shared" ca="1" si="253"/>
        <v>9.637999999999975</v>
      </c>
      <c r="T569" s="357">
        <f t="shared" ca="1" si="233"/>
        <v>94.548779999999766</v>
      </c>
      <c r="U569" s="364">
        <f t="shared" ca="1" si="234"/>
        <v>0</v>
      </c>
      <c r="V569" s="359">
        <f t="shared" ca="1" si="235"/>
        <v>1.0002297182868922</v>
      </c>
      <c r="W569" s="357">
        <f t="shared" ca="1" si="236"/>
        <v>41.668363564309168</v>
      </c>
      <c r="X569" s="343"/>
      <c r="Y569" s="367" t="str">
        <f t="shared" ca="1" si="254"/>
        <v/>
      </c>
      <c r="Z569" s="368" t="str">
        <f t="shared" ca="1" si="255"/>
        <v/>
      </c>
      <c r="AA569" s="369" t="str">
        <f t="shared" ca="1" si="256"/>
        <v/>
      </c>
      <c r="AB569" s="344"/>
      <c r="AC569" s="363" t="e">
        <f t="shared" ca="1" si="257"/>
        <v>#N/A</v>
      </c>
      <c r="AD569" s="376" t="e">
        <f t="shared" ca="1" si="258"/>
        <v>#N/A</v>
      </c>
      <c r="AE569" s="377">
        <f t="shared" ca="1" si="237"/>
        <v>2020.198452914324</v>
      </c>
      <c r="AF569" s="344"/>
      <c r="AG569" s="359">
        <f t="shared" ca="1" si="259"/>
        <v>-13.649026056898451</v>
      </c>
      <c r="AH569" s="357">
        <f t="shared" ca="1" si="260"/>
        <v>-4.4164655593647453</v>
      </c>
    </row>
    <row r="570" spans="1:34" x14ac:dyDescent="0.25">
      <c r="A570" s="402">
        <f t="shared" ca="1" si="238"/>
        <v>0.1</v>
      </c>
      <c r="B570" s="357">
        <f t="shared" ca="1" si="239"/>
        <v>11.599999999999914</v>
      </c>
      <c r="C570" s="342"/>
      <c r="D570" s="359">
        <f t="shared" ca="1" si="240"/>
        <v>-1.4713321131421708</v>
      </c>
      <c r="E570" s="360">
        <f t="shared" ca="1" si="241"/>
        <v>-13.875275133642564</v>
      </c>
      <c r="F570" s="357">
        <f t="shared" ca="1" si="242"/>
        <v>13.953066982618664</v>
      </c>
      <c r="G570" s="359">
        <f t="shared" ca="1" si="243"/>
        <v>46.02231961846541</v>
      </c>
      <c r="H570" s="360">
        <f t="shared" ca="1" si="244"/>
        <v>126.17818443317455</v>
      </c>
      <c r="I570" s="357">
        <f t="shared" ca="1" si="245"/>
        <v>134.30930023612063</v>
      </c>
      <c r="J570" s="359">
        <f t="shared" ca="1" si="246"/>
        <v>543.94916330197987</v>
      </c>
      <c r="K570" s="360">
        <f t="shared" ca="1" si="247"/>
        <v>2032.8856477333097</v>
      </c>
      <c r="L570" s="357">
        <f t="shared" ca="1" si="232"/>
        <v>2104.4012804161193</v>
      </c>
      <c r="M570" s="359">
        <f t="shared" ca="1" si="248"/>
        <v>1.2210503044392211</v>
      </c>
      <c r="N570" s="357">
        <f t="shared" ca="1" si="249"/>
        <v>69.961029017531658</v>
      </c>
      <c r="O570" s="343"/>
      <c r="P570" s="363">
        <f t="shared" ca="1" si="250"/>
        <v>23</v>
      </c>
      <c r="Q570" s="357">
        <f t="shared" ca="1" si="251"/>
        <v>0</v>
      </c>
      <c r="R570" s="359">
        <f t="shared" ca="1" si="252"/>
        <v>0</v>
      </c>
      <c r="S570" s="360">
        <f t="shared" ca="1" si="253"/>
        <v>9.637999999999975</v>
      </c>
      <c r="T570" s="357">
        <f t="shared" ca="1" si="233"/>
        <v>94.548779999999766</v>
      </c>
      <c r="U570" s="364">
        <f t="shared" ca="1" si="234"/>
        <v>0</v>
      </c>
      <c r="V570" s="359">
        <f t="shared" ca="1" si="235"/>
        <v>0.9989483644322823</v>
      </c>
      <c r="W570" s="357">
        <f t="shared" ca="1" si="236"/>
        <v>40.788227298652146</v>
      </c>
      <c r="X570" s="343"/>
      <c r="Y570" s="367" t="str">
        <f t="shared" ca="1" si="254"/>
        <v/>
      </c>
      <c r="Z570" s="368" t="str">
        <f t="shared" ca="1" si="255"/>
        <v/>
      </c>
      <c r="AA570" s="369" t="str">
        <f t="shared" ca="1" si="256"/>
        <v/>
      </c>
      <c r="AB570" s="344"/>
      <c r="AC570" s="363" t="e">
        <f t="shared" ca="1" si="257"/>
        <v>#N/A</v>
      </c>
      <c r="AD570" s="376" t="e">
        <f t="shared" ca="1" si="258"/>
        <v>#N/A</v>
      </c>
      <c r="AE570" s="377">
        <f t="shared" ca="1" si="237"/>
        <v>2032.8856477333097</v>
      </c>
      <c r="AF570" s="344"/>
      <c r="AG570" s="359">
        <f t="shared" ca="1" si="259"/>
        <v>-13.54776894410023</v>
      </c>
      <c r="AH570" s="357">
        <f t="shared" ca="1" si="260"/>
        <v>-4.3233413119225226</v>
      </c>
    </row>
    <row r="571" spans="1:34" x14ac:dyDescent="0.25">
      <c r="A571" s="402">
        <f t="shared" ca="1" si="238"/>
        <v>0.1</v>
      </c>
      <c r="B571" s="357">
        <f t="shared" ca="1" si="239"/>
        <v>11.699999999999914</v>
      </c>
      <c r="C571" s="342"/>
      <c r="D571" s="359">
        <f t="shared" ca="1" si="240"/>
        <v>-1.450141317489309</v>
      </c>
      <c r="E571" s="360">
        <f t="shared" ca="1" si="241"/>
        <v>-13.785814346804845</v>
      </c>
      <c r="F571" s="357">
        <f t="shared" ca="1" si="242"/>
        <v>13.861875307665262</v>
      </c>
      <c r="G571" s="359">
        <f t="shared" ca="1" si="243"/>
        <v>45.87730548671648</v>
      </c>
      <c r="H571" s="360">
        <f t="shared" ca="1" si="244"/>
        <v>124.79960299849407</v>
      </c>
      <c r="I571" s="357">
        <f t="shared" ca="1" si="245"/>
        <v>132.9649129180448</v>
      </c>
      <c r="J571" s="359">
        <f t="shared" ca="1" si="246"/>
        <v>548.54414455723895</v>
      </c>
      <c r="K571" s="360">
        <f t="shared" ca="1" si="247"/>
        <v>2045.4345371048933</v>
      </c>
      <c r="L571" s="357">
        <f t="shared" ca="1" si="232"/>
        <v>2117.7117660601366</v>
      </c>
      <c r="M571" s="359">
        <f t="shared" ca="1" si="248"/>
        <v>1.2185222010297811</v>
      </c>
      <c r="N571" s="357">
        <f t="shared" ca="1" si="249"/>
        <v>69.81617936199811</v>
      </c>
      <c r="O571" s="343"/>
      <c r="P571" s="363">
        <f t="shared" ca="1" si="250"/>
        <v>23</v>
      </c>
      <c r="Q571" s="357">
        <f t="shared" ca="1" si="251"/>
        <v>0</v>
      </c>
      <c r="R571" s="359">
        <f t="shared" ca="1" si="252"/>
        <v>0</v>
      </c>
      <c r="S571" s="360">
        <f t="shared" ca="1" si="253"/>
        <v>9.637999999999975</v>
      </c>
      <c r="T571" s="357">
        <f t="shared" ca="1" si="233"/>
        <v>94.548779999999766</v>
      </c>
      <c r="U571" s="364">
        <f t="shared" ca="1" si="234"/>
        <v>0</v>
      </c>
      <c r="V571" s="359">
        <f t="shared" ca="1" si="235"/>
        <v>0.9976824296671315</v>
      </c>
      <c r="W571" s="357">
        <f t="shared" ca="1" si="236"/>
        <v>39.925103317894738</v>
      </c>
      <c r="X571" s="343"/>
      <c r="Y571" s="367" t="str">
        <f t="shared" ca="1" si="254"/>
        <v/>
      </c>
      <c r="Z571" s="368" t="str">
        <f t="shared" ca="1" si="255"/>
        <v/>
      </c>
      <c r="AA571" s="369" t="str">
        <f t="shared" ca="1" si="256"/>
        <v/>
      </c>
      <c r="AB571" s="344"/>
      <c r="AC571" s="363" t="e">
        <f t="shared" ca="1" si="257"/>
        <v>#N/A</v>
      </c>
      <c r="AD571" s="376" t="e">
        <f t="shared" ca="1" si="258"/>
        <v>#N/A</v>
      </c>
      <c r="AE571" s="377">
        <f t="shared" ca="1" si="237"/>
        <v>2045.4345371048933</v>
      </c>
      <c r="AF571" s="344"/>
      <c r="AG571" s="359">
        <f t="shared" ca="1" si="259"/>
        <v>-13.4481222762884</v>
      </c>
      <c r="AH571" s="357">
        <f t="shared" ca="1" si="260"/>
        <v>-4.2320219234957719</v>
      </c>
    </row>
    <row r="572" spans="1:34" x14ac:dyDescent="0.25">
      <c r="A572" s="402">
        <f t="shared" ca="1" si="238"/>
        <v>0.1</v>
      </c>
      <c r="B572" s="357">
        <f t="shared" ca="1" si="239"/>
        <v>11.799999999999914</v>
      </c>
      <c r="C572" s="342"/>
      <c r="D572" s="359">
        <f t="shared" ca="1" si="240"/>
        <v>-1.429288751351121</v>
      </c>
      <c r="E572" s="360">
        <f t="shared" ca="1" si="241"/>
        <v>-13.698080759025409</v>
      </c>
      <c r="F572" s="357">
        <f t="shared" ca="1" si="242"/>
        <v>13.772446507992724</v>
      </c>
      <c r="G572" s="359">
        <f t="shared" ca="1" si="243"/>
        <v>45.734376611581368</v>
      </c>
      <c r="H572" s="360">
        <f t="shared" ca="1" si="244"/>
        <v>123.42979492259153</v>
      </c>
      <c r="I572" s="357">
        <f t="shared" ca="1" si="245"/>
        <v>131.63034406504818</v>
      </c>
      <c r="J572" s="359">
        <f t="shared" ca="1" si="246"/>
        <v>553.12472866215387</v>
      </c>
      <c r="K572" s="360">
        <f t="shared" ca="1" si="247"/>
        <v>2057.8460070009473</v>
      </c>
      <c r="L572" s="357">
        <f t="shared" ca="1" si="232"/>
        <v>2130.8864713980715</v>
      </c>
      <c r="M572" s="359">
        <f t="shared" ca="1" si="248"/>
        <v>1.2159507733258674</v>
      </c>
      <c r="N572" s="357">
        <f t="shared" ca="1" si="249"/>
        <v>69.668847407240847</v>
      </c>
      <c r="O572" s="343"/>
      <c r="P572" s="363">
        <f t="shared" ca="1" si="250"/>
        <v>23</v>
      </c>
      <c r="Q572" s="357">
        <f t="shared" ca="1" si="251"/>
        <v>0</v>
      </c>
      <c r="R572" s="359">
        <f t="shared" ca="1" si="252"/>
        <v>0</v>
      </c>
      <c r="S572" s="360">
        <f t="shared" ca="1" si="253"/>
        <v>9.637999999999975</v>
      </c>
      <c r="T572" s="357">
        <f t="shared" ca="1" si="233"/>
        <v>94.548779999999766</v>
      </c>
      <c r="U572" s="364">
        <f t="shared" ca="1" si="234"/>
        <v>0</v>
      </c>
      <c r="V572" s="359">
        <f t="shared" ca="1" si="235"/>
        <v>0.99643177463691968</v>
      </c>
      <c r="W572" s="357">
        <f t="shared" ca="1" si="236"/>
        <v>39.07862000018423</v>
      </c>
      <c r="X572" s="343"/>
      <c r="Y572" s="367" t="str">
        <f t="shared" ca="1" si="254"/>
        <v/>
      </c>
      <c r="Z572" s="368" t="str">
        <f t="shared" ca="1" si="255"/>
        <v/>
      </c>
      <c r="AA572" s="369" t="str">
        <f t="shared" ca="1" si="256"/>
        <v/>
      </c>
      <c r="AB572" s="344"/>
      <c r="AC572" s="363" t="e">
        <f t="shared" ca="1" si="257"/>
        <v>#N/A</v>
      </c>
      <c r="AD572" s="376" t="e">
        <f t="shared" ca="1" si="258"/>
        <v>#N/A</v>
      </c>
      <c r="AE572" s="377">
        <f t="shared" ca="1" si="237"/>
        <v>2057.8460070009473</v>
      </c>
      <c r="AF572" s="344"/>
      <c r="AG572" s="359">
        <f t="shared" ca="1" si="259"/>
        <v>-13.350040384986748</v>
      </c>
      <c r="AH572" s="357">
        <f t="shared" ca="1" si="260"/>
        <v>-4.1424676611221045</v>
      </c>
    </row>
    <row r="573" spans="1:34" x14ac:dyDescent="0.25">
      <c r="A573" s="402">
        <f t="shared" ca="1" si="238"/>
        <v>0.1</v>
      </c>
      <c r="B573" s="357">
        <f t="shared" ca="1" si="239"/>
        <v>11.899999999999913</v>
      </c>
      <c r="C573" s="342"/>
      <c r="D573" s="359">
        <f t="shared" ca="1" si="240"/>
        <v>-1.4087665924139088</v>
      </c>
      <c r="E573" s="360">
        <f t="shared" ca="1" si="241"/>
        <v>-13.612036552771425</v>
      </c>
      <c r="F573" s="357">
        <f t="shared" ca="1" si="242"/>
        <v>13.684741956861549</v>
      </c>
      <c r="G573" s="359">
        <f t="shared" ca="1" si="243"/>
        <v>45.593499952339975</v>
      </c>
      <c r="H573" s="360">
        <f t="shared" ca="1" si="244"/>
        <v>122.06859126731439</v>
      </c>
      <c r="I573" s="357">
        <f t="shared" ca="1" si="245"/>
        <v>130.30544198877763</v>
      </c>
      <c r="J573" s="359">
        <f t="shared" ca="1" si="246"/>
        <v>557.69112249034993</v>
      </c>
      <c r="K573" s="360">
        <f t="shared" ca="1" si="247"/>
        <v>2070.1209263104424</v>
      </c>
      <c r="L573" s="357">
        <f t="shared" ca="1" si="232"/>
        <v>2143.9263134848993</v>
      </c>
      <c r="M573" s="359">
        <f t="shared" ca="1" si="248"/>
        <v>1.2133350386108077</v>
      </c>
      <c r="N573" s="357">
        <f t="shared" ca="1" si="249"/>
        <v>69.518976847742067</v>
      </c>
      <c r="O573" s="343"/>
      <c r="P573" s="363">
        <f t="shared" ca="1" si="250"/>
        <v>23</v>
      </c>
      <c r="Q573" s="357">
        <f t="shared" ca="1" si="251"/>
        <v>0</v>
      </c>
      <c r="R573" s="359">
        <f t="shared" ca="1" si="252"/>
        <v>0</v>
      </c>
      <c r="S573" s="360">
        <f t="shared" ca="1" si="253"/>
        <v>9.637999999999975</v>
      </c>
      <c r="T573" s="357">
        <f t="shared" ca="1" si="233"/>
        <v>94.548779999999766</v>
      </c>
      <c r="U573" s="364">
        <f t="shared" ca="1" si="234"/>
        <v>0</v>
      </c>
      <c r="V573" s="359">
        <f t="shared" ca="1" si="235"/>
        <v>0.99519626279372375</v>
      </c>
      <c r="W573" s="357">
        <f t="shared" ca="1" si="236"/>
        <v>38.24841665729496</v>
      </c>
      <c r="X573" s="343"/>
      <c r="Y573" s="367" t="str">
        <f t="shared" ca="1" si="254"/>
        <v/>
      </c>
      <c r="Z573" s="368" t="str">
        <f t="shared" ca="1" si="255"/>
        <v/>
      </c>
      <c r="AA573" s="369" t="str">
        <f t="shared" ca="1" si="256"/>
        <v/>
      </c>
      <c r="AB573" s="344"/>
      <c r="AC573" s="363" t="e">
        <f t="shared" ca="1" si="257"/>
        <v>#N/A</v>
      </c>
      <c r="AD573" s="376" t="e">
        <f t="shared" ca="1" si="258"/>
        <v>#N/A</v>
      </c>
      <c r="AE573" s="377">
        <f t="shared" ca="1" si="237"/>
        <v>2070.1209263104424</v>
      </c>
      <c r="AF573" s="344"/>
      <c r="AG573" s="359">
        <f t="shared" ca="1" si="259"/>
        <v>-13.253478553703044</v>
      </c>
      <c r="AH573" s="357">
        <f t="shared" ca="1" si="260"/>
        <v>-4.0546399668172164</v>
      </c>
    </row>
    <row r="574" spans="1:34" x14ac:dyDescent="0.25">
      <c r="A574" s="402">
        <f t="shared" ca="1" si="238"/>
        <v>0.1</v>
      </c>
      <c r="B574" s="357">
        <f t="shared" ca="1" si="239"/>
        <v>11.999999999999913</v>
      </c>
      <c r="C574" s="342"/>
      <c r="D574" s="359">
        <f t="shared" ca="1" si="240"/>
        <v>-1.3885672494293202</v>
      </c>
      <c r="E574" s="360">
        <f t="shared" ca="1" si="241"/>
        <v>-13.527645019464392</v>
      </c>
      <c r="F574" s="357">
        <f t="shared" ca="1" si="242"/>
        <v>13.59872415996543</v>
      </c>
      <c r="G574" s="359">
        <f t="shared" ca="1" si="243"/>
        <v>45.454643227397042</v>
      </c>
      <c r="H574" s="360">
        <f t="shared" ca="1" si="244"/>
        <v>120.71582676536795</v>
      </c>
      <c r="I574" s="357">
        <f t="shared" ca="1" si="245"/>
        <v>128.99005939442108</v>
      </c>
      <c r="J574" s="359">
        <f t="shared" ca="1" si="246"/>
        <v>562.24352964933678</v>
      </c>
      <c r="K574" s="360">
        <f t="shared" ca="1" si="247"/>
        <v>2082.2601472120764</v>
      </c>
      <c r="L574" s="357">
        <f t="shared" ca="1" si="232"/>
        <v>2156.8321926613121</v>
      </c>
      <c r="M574" s="359">
        <f t="shared" ca="1" si="248"/>
        <v>1.2106739848089365</v>
      </c>
      <c r="N574" s="357">
        <f t="shared" ca="1" si="249"/>
        <v>69.366509695837607</v>
      </c>
      <c r="O574" s="343"/>
      <c r="P574" s="363">
        <f t="shared" ca="1" si="250"/>
        <v>23</v>
      </c>
      <c r="Q574" s="357">
        <f t="shared" ca="1" si="251"/>
        <v>0</v>
      </c>
      <c r="R574" s="359">
        <f t="shared" ca="1" si="252"/>
        <v>0</v>
      </c>
      <c r="S574" s="360">
        <f t="shared" ca="1" si="253"/>
        <v>9.637999999999975</v>
      </c>
      <c r="T574" s="357">
        <f t="shared" ca="1" si="233"/>
        <v>94.548779999999766</v>
      </c>
      <c r="U574" s="364">
        <f t="shared" ca="1" si="234"/>
        <v>0</v>
      </c>
      <c r="V574" s="359">
        <f t="shared" ca="1" si="235"/>
        <v>0.99397576033159518</v>
      </c>
      <c r="W574" s="357">
        <f t="shared" ca="1" si="236"/>
        <v>37.434143159728393</v>
      </c>
      <c r="X574" s="343"/>
      <c r="Y574" s="367" t="str">
        <f t="shared" ca="1" si="254"/>
        <v/>
      </c>
      <c r="Z574" s="368" t="str">
        <f t="shared" ca="1" si="255"/>
        <v/>
      </c>
      <c r="AA574" s="369" t="str">
        <f t="shared" ca="1" si="256"/>
        <v/>
      </c>
      <c r="AB574" s="344"/>
      <c r="AC574" s="363">
        <f t="shared" ca="1" si="257"/>
        <v>11.999999999999913</v>
      </c>
      <c r="AD574" s="376">
        <f t="shared" ca="1" si="258"/>
        <v>562.24352964933678</v>
      </c>
      <c r="AE574" s="377">
        <f t="shared" ca="1" si="237"/>
        <v>2082.2601472120764</v>
      </c>
      <c r="AF574" s="344"/>
      <c r="AG574" s="359">
        <f t="shared" ca="1" si="259"/>
        <v>-13.158392967644939</v>
      </c>
      <c r="AH574" s="357">
        <f t="shared" ca="1" si="260"/>
        <v>-3.9685014170258412</v>
      </c>
    </row>
    <row r="575" spans="1:34" x14ac:dyDescent="0.25">
      <c r="A575" s="402">
        <f t="shared" ca="1" si="238"/>
        <v>0.1</v>
      </c>
      <c r="B575" s="357">
        <f t="shared" ca="1" si="239"/>
        <v>12.099999999999913</v>
      </c>
      <c r="C575" s="342"/>
      <c r="D575" s="359">
        <f t="shared" ca="1" si="240"/>
        <v>-1.368683354532269</v>
      </c>
      <c r="E575" s="360">
        <f t="shared" ca="1" si="241"/>
        <v>-13.44487052127549</v>
      </c>
      <c r="F575" s="357">
        <f t="shared" ca="1" si="242"/>
        <v>13.514356716427029</v>
      </c>
      <c r="G575" s="359">
        <f t="shared" ca="1" si="243"/>
        <v>45.317774891943813</v>
      </c>
      <c r="H575" s="360">
        <f t="shared" ca="1" si="244"/>
        <v>119.3713397132404</v>
      </c>
      <c r="I575" s="357">
        <f t="shared" ca="1" si="245"/>
        <v>127.68405329598031</v>
      </c>
      <c r="J575" s="359">
        <f t="shared" ca="1" si="246"/>
        <v>566.78215055530382</v>
      </c>
      <c r="K575" s="360">
        <f t="shared" ca="1" si="247"/>
        <v>2094.2645055360067</v>
      </c>
      <c r="L575" s="357">
        <f t="shared" ca="1" si="232"/>
        <v>2169.6049929275305</v>
      </c>
      <c r="M575" s="359">
        <f t="shared" ca="1" si="248"/>
        <v>1.2079665694532455</v>
      </c>
      <c r="N575" s="357">
        <f t="shared" ca="1" si="249"/>
        <v>69.211386222567597</v>
      </c>
      <c r="O575" s="343"/>
      <c r="P575" s="363">
        <f t="shared" ca="1" si="250"/>
        <v>23</v>
      </c>
      <c r="Q575" s="357">
        <f t="shared" ca="1" si="251"/>
        <v>0</v>
      </c>
      <c r="R575" s="359">
        <f t="shared" ca="1" si="252"/>
        <v>0</v>
      </c>
      <c r="S575" s="360">
        <f t="shared" ca="1" si="253"/>
        <v>9.637999999999975</v>
      </c>
      <c r="T575" s="357">
        <f t="shared" ca="1" si="233"/>
        <v>94.548779999999766</v>
      </c>
      <c r="U575" s="364">
        <f t="shared" ca="1" si="234"/>
        <v>0</v>
      </c>
      <c r="V575" s="359">
        <f t="shared" ca="1" si="235"/>
        <v>0.99277013612389797</v>
      </c>
      <c r="W575" s="357">
        <f t="shared" ca="1" si="236"/>
        <v>36.635459576989412</v>
      </c>
      <c r="X575" s="343"/>
      <c r="Y575" s="367" t="str">
        <f t="shared" ca="1" si="254"/>
        <v/>
      </c>
      <c r="Z575" s="368" t="str">
        <f t="shared" ca="1" si="255"/>
        <v/>
      </c>
      <c r="AA575" s="369" t="str">
        <f t="shared" ca="1" si="256"/>
        <v/>
      </c>
      <c r="AB575" s="344"/>
      <c r="AC575" s="363" t="e">
        <f t="shared" ca="1" si="257"/>
        <v>#N/A</v>
      </c>
      <c r="AD575" s="376" t="e">
        <f t="shared" ca="1" si="258"/>
        <v>#N/A</v>
      </c>
      <c r="AE575" s="377">
        <f t="shared" ca="1" si="237"/>
        <v>2094.2645055360067</v>
      </c>
      <c r="AF575" s="344"/>
      <c r="AG575" s="359">
        <f t="shared" ca="1" si="259"/>
        <v>-13.064740664609095</v>
      </c>
      <c r="AH575" s="357">
        <f t="shared" ca="1" si="260"/>
        <v>-3.884015683723645</v>
      </c>
    </row>
    <row r="576" spans="1:34" x14ac:dyDescent="0.25">
      <c r="A576" s="402">
        <f t="shared" ca="1" si="238"/>
        <v>0.1</v>
      </c>
      <c r="B576" s="357">
        <f t="shared" ca="1" si="239"/>
        <v>12.199999999999912</v>
      </c>
      <c r="C576" s="342"/>
      <c r="D576" s="359">
        <f t="shared" ca="1" si="240"/>
        <v>-1.349107755884446</v>
      </c>
      <c r="E576" s="360">
        <f t="shared" ca="1" si="241"/>
        <v>-13.363678454457364</v>
      </c>
      <c r="F576" s="357">
        <f t="shared" ca="1" si="242"/>
        <v>13.431604281362503</v>
      </c>
      <c r="G576" s="359">
        <f t="shared" ca="1" si="243"/>
        <v>45.182864116355368</v>
      </c>
      <c r="H576" s="360">
        <f t="shared" ca="1" si="244"/>
        <v>118.03497186779467</v>
      </c>
      <c r="I576" s="357">
        <f t="shared" ca="1" si="245"/>
        <v>126.38728493637369</v>
      </c>
      <c r="J576" s="359">
        <f t="shared" ca="1" si="246"/>
        <v>571.30718250571874</v>
      </c>
      <c r="K576" s="360">
        <f t="shared" ca="1" si="247"/>
        <v>2106.1348211150585</v>
      </c>
      <c r="L576" s="357">
        <f t="shared" ca="1" si="232"/>
        <v>2182.245582306442</v>
      </c>
      <c r="M576" s="359">
        <f t="shared" ca="1" si="248"/>
        <v>1.2052117186122244</v>
      </c>
      <c r="N576" s="357">
        <f t="shared" ca="1" si="249"/>
        <v>69.053544896189024</v>
      </c>
      <c r="O576" s="343"/>
      <c r="P576" s="363">
        <f t="shared" ca="1" si="250"/>
        <v>23</v>
      </c>
      <c r="Q576" s="357">
        <f t="shared" ca="1" si="251"/>
        <v>0</v>
      </c>
      <c r="R576" s="359">
        <f t="shared" ca="1" si="252"/>
        <v>0</v>
      </c>
      <c r="S576" s="360">
        <f t="shared" ca="1" si="253"/>
        <v>9.637999999999975</v>
      </c>
      <c r="T576" s="357">
        <f t="shared" ca="1" si="233"/>
        <v>94.548779999999766</v>
      </c>
      <c r="U576" s="364">
        <f t="shared" ca="1" si="234"/>
        <v>0</v>
      </c>
      <c r="V576" s="359">
        <f t="shared" ca="1" si="235"/>
        <v>0.99157926166254995</v>
      </c>
      <c r="W576" s="357">
        <f t="shared" ca="1" si="236"/>
        <v>35.852035832341635</v>
      </c>
      <c r="X576" s="343"/>
      <c r="Y576" s="367" t="str">
        <f t="shared" ca="1" si="254"/>
        <v/>
      </c>
      <c r="Z576" s="368" t="str">
        <f t="shared" ca="1" si="255"/>
        <v/>
      </c>
      <c r="AA576" s="369" t="str">
        <f t="shared" ca="1" si="256"/>
        <v/>
      </c>
      <c r="AB576" s="344"/>
      <c r="AC576" s="363" t="e">
        <f t="shared" ca="1" si="257"/>
        <v>#N/A</v>
      </c>
      <c r="AD576" s="376" t="e">
        <f t="shared" ca="1" si="258"/>
        <v>#N/A</v>
      </c>
      <c r="AE576" s="377">
        <f t="shared" ca="1" si="237"/>
        <v>2106.1348211150585</v>
      </c>
      <c r="AF576" s="344"/>
      <c r="AG576" s="359">
        <f t="shared" ca="1" si="259"/>
        <v>-12.972479486941802</v>
      </c>
      <c r="AH576" s="357">
        <f t="shared" ca="1" si="260"/>
        <v>-3.8011474970937442</v>
      </c>
    </row>
    <row r="577" spans="1:34" x14ac:dyDescent="0.25">
      <c r="A577" s="402">
        <f t="shared" ca="1" si="238"/>
        <v>0.1</v>
      </c>
      <c r="B577" s="357">
        <f t="shared" ca="1" si="239"/>
        <v>12.299999999999912</v>
      </c>
      <c r="C577" s="342"/>
      <c r="D577" s="359">
        <f t="shared" ca="1" si="240"/>
        <v>-1.3298335106292349</v>
      </c>
      <c r="E577" s="360">
        <f t="shared" ca="1" si="241"/>
        <v>-13.284035214141134</v>
      </c>
      <c r="F577" s="357">
        <f t="shared" ca="1" si="242"/>
        <v>13.350432529942024</v>
      </c>
      <c r="G577" s="359">
        <f t="shared" ca="1" si="243"/>
        <v>45.049880765292443</v>
      </c>
      <c r="H577" s="360">
        <f t="shared" ca="1" si="244"/>
        <v>116.70656834638055</v>
      </c>
      <c r="I577" s="357">
        <f t="shared" ca="1" si="245"/>
        <v>125.09961971227355</v>
      </c>
      <c r="J577" s="359">
        <f t="shared" ca="1" si="246"/>
        <v>575.81881974980115</v>
      </c>
      <c r="K577" s="360">
        <f t="shared" ca="1" si="247"/>
        <v>2117.8718981257671</v>
      </c>
      <c r="L577" s="357">
        <f t="shared" ca="1" si="232"/>
        <v>2194.7548131964295</v>
      </c>
      <c r="M577" s="359">
        <f t="shared" ca="1" si="248"/>
        <v>1.2024083257742082</v>
      </c>
      <c r="N577" s="357">
        <f t="shared" ca="1" si="249"/>
        <v>68.892922318253497</v>
      </c>
      <c r="O577" s="343"/>
      <c r="P577" s="363">
        <f t="shared" ca="1" si="250"/>
        <v>23</v>
      </c>
      <c r="Q577" s="357">
        <f t="shared" ca="1" si="251"/>
        <v>0</v>
      </c>
      <c r="R577" s="359">
        <f t="shared" ca="1" si="252"/>
        <v>0</v>
      </c>
      <c r="S577" s="360">
        <f t="shared" ca="1" si="253"/>
        <v>9.637999999999975</v>
      </c>
      <c r="T577" s="357">
        <f t="shared" ca="1" si="233"/>
        <v>94.548779999999766</v>
      </c>
      <c r="U577" s="364">
        <f t="shared" ca="1" si="234"/>
        <v>0</v>
      </c>
      <c r="V577" s="359">
        <f t="shared" ca="1" si="235"/>
        <v>0.990403010999091</v>
      </c>
      <c r="W577" s="357">
        <f t="shared" ca="1" si="236"/>
        <v>35.083551371380423</v>
      </c>
      <c r="X577" s="343"/>
      <c r="Y577" s="367" t="str">
        <f t="shared" ca="1" si="254"/>
        <v/>
      </c>
      <c r="Z577" s="368" t="str">
        <f t="shared" ca="1" si="255"/>
        <v/>
      </c>
      <c r="AA577" s="369" t="str">
        <f t="shared" ca="1" si="256"/>
        <v/>
      </c>
      <c r="AB577" s="344"/>
      <c r="AC577" s="363" t="e">
        <f t="shared" ca="1" si="257"/>
        <v>#N/A</v>
      </c>
      <c r="AD577" s="376" t="e">
        <f t="shared" ca="1" si="258"/>
        <v>#N/A</v>
      </c>
      <c r="AE577" s="377">
        <f t="shared" ca="1" si="237"/>
        <v>2117.8718981257671</v>
      </c>
      <c r="AF577" s="344"/>
      <c r="AG577" s="359">
        <f t="shared" ca="1" si="259"/>
        <v>-12.881568034471867</v>
      </c>
      <c r="AH577" s="357">
        <f t="shared" ca="1" si="260"/>
        <v>-3.7198626097055123</v>
      </c>
    </row>
    <row r="578" spans="1:34" x14ac:dyDescent="0.25">
      <c r="A578" s="402">
        <f t="shared" ca="1" si="238"/>
        <v>0.1</v>
      </c>
      <c r="B578" s="357">
        <f t="shared" ca="1" si="239"/>
        <v>12.399999999999912</v>
      </c>
      <c r="C578" s="342"/>
      <c r="D578" s="359">
        <f t="shared" ca="1" si="240"/>
        <v>-1.3108538781446479</v>
      </c>
      <c r="E578" s="360">
        <f t="shared" ca="1" si="241"/>
        <v>-13.205908160531028</v>
      </c>
      <c r="F578" s="357">
        <f t="shared" ca="1" si="242"/>
        <v>13.270808122877327</v>
      </c>
      <c r="G578" s="359">
        <f t="shared" ca="1" si="243"/>
        <v>44.918795377477977</v>
      </c>
      <c r="H578" s="360">
        <f t="shared" ca="1" si="244"/>
        <v>115.38597753032745</v>
      </c>
      <c r="I578" s="357">
        <f t="shared" ca="1" si="245"/>
        <v>123.8209271035917</v>
      </c>
      <c r="J578" s="359">
        <f t="shared" ca="1" si="246"/>
        <v>580.3172535569397</v>
      </c>
      <c r="K578" s="360">
        <f t="shared" ca="1" si="247"/>
        <v>2129.4765254196027</v>
      </c>
      <c r="L578" s="357">
        <f t="shared" ca="1" si="232"/>
        <v>2207.1335227142495</v>
      </c>
      <c r="M578" s="359">
        <f t="shared" ca="1" si="248"/>
        <v>1.1995552506874909</v>
      </c>
      <c r="N578" s="357">
        <f t="shared" ca="1" si="249"/>
        <v>68.729453157150672</v>
      </c>
      <c r="O578" s="343"/>
      <c r="P578" s="363">
        <f t="shared" ca="1" si="250"/>
        <v>23</v>
      </c>
      <c r="Q578" s="357">
        <f t="shared" ca="1" si="251"/>
        <v>0</v>
      </c>
      <c r="R578" s="359">
        <f t="shared" ca="1" si="252"/>
        <v>0</v>
      </c>
      <c r="S578" s="360">
        <f t="shared" ca="1" si="253"/>
        <v>9.637999999999975</v>
      </c>
      <c r="T578" s="357">
        <f t="shared" ca="1" si="233"/>
        <v>94.548779999999766</v>
      </c>
      <c r="U578" s="364">
        <f t="shared" ca="1" si="234"/>
        <v>0</v>
      </c>
      <c r="V578" s="359">
        <f t="shared" ca="1" si="235"/>
        <v>0.98924126068752094</v>
      </c>
      <c r="W578" s="357">
        <f t="shared" ca="1" si="236"/>
        <v>34.329694843796339</v>
      </c>
      <c r="X578" s="343"/>
      <c r="Y578" s="367" t="str">
        <f t="shared" ca="1" si="254"/>
        <v/>
      </c>
      <c r="Z578" s="368" t="str">
        <f t="shared" ca="1" si="255"/>
        <v/>
      </c>
      <c r="AA578" s="369" t="str">
        <f t="shared" ca="1" si="256"/>
        <v/>
      </c>
      <c r="AB578" s="344"/>
      <c r="AC578" s="363" t="e">
        <f t="shared" ca="1" si="257"/>
        <v>#N/A</v>
      </c>
      <c r="AD578" s="376" t="e">
        <f t="shared" ca="1" si="258"/>
        <v>#N/A</v>
      </c>
      <c r="AE578" s="377">
        <f t="shared" ca="1" si="237"/>
        <v>2129.4765254196027</v>
      </c>
      <c r="AF578" s="344"/>
      <c r="AG578" s="359">
        <f t="shared" ca="1" si="259"/>
        <v>-12.791965618318935</v>
      </c>
      <c r="AH578" s="357">
        <f t="shared" ca="1" si="260"/>
        <v>-3.6401277621270505</v>
      </c>
    </row>
    <row r="579" spans="1:34" x14ac:dyDescent="0.25">
      <c r="A579" s="402">
        <f t="shared" ca="1" si="238"/>
        <v>0.1</v>
      </c>
      <c r="B579" s="357">
        <f t="shared" ca="1" si="239"/>
        <v>12.499999999999911</v>
      </c>
      <c r="C579" s="342"/>
      <c r="D579" s="359">
        <f t="shared" ca="1" si="240"/>
        <v>-1.2921623135816223</v>
      </c>
      <c r="E579" s="360">
        <f t="shared" ca="1" si="241"/>
        <v>-13.12926558643248</v>
      </c>
      <c r="F579" s="357">
        <f t="shared" ca="1" si="242"/>
        <v>13.192698673270788</v>
      </c>
      <c r="G579" s="359">
        <f t="shared" ca="1" si="243"/>
        <v>44.789579146119813</v>
      </c>
      <c r="H579" s="360">
        <f t="shared" ca="1" si="244"/>
        <v>114.07305097168421</v>
      </c>
      <c r="I579" s="357">
        <f t="shared" ca="1" si="245"/>
        <v>122.55108060753685</v>
      </c>
      <c r="J579" s="359">
        <f t="shared" ca="1" si="246"/>
        <v>584.80267228311959</v>
      </c>
      <c r="K579" s="360">
        <f t="shared" ca="1" si="247"/>
        <v>2140.9494768447034</v>
      </c>
      <c r="L579" s="357">
        <f t="shared" ca="1" si="232"/>
        <v>2219.3825330282943</v>
      </c>
      <c r="M579" s="359">
        <f t="shared" ca="1" si="248"/>
        <v>1.1966513181543976</v>
      </c>
      <c r="N579" s="357">
        <f t="shared" ca="1" si="249"/>
        <v>68.563070079013698</v>
      </c>
      <c r="O579" s="343"/>
      <c r="P579" s="363">
        <f t="shared" ca="1" si="250"/>
        <v>23</v>
      </c>
      <c r="Q579" s="357">
        <f t="shared" ca="1" si="251"/>
        <v>0</v>
      </c>
      <c r="R579" s="359">
        <f t="shared" ca="1" si="252"/>
        <v>0</v>
      </c>
      <c r="S579" s="360">
        <f t="shared" ca="1" si="253"/>
        <v>9.637999999999975</v>
      </c>
      <c r="T579" s="357">
        <f t="shared" ca="1" si="233"/>
        <v>94.548779999999766</v>
      </c>
      <c r="U579" s="364">
        <f t="shared" ca="1" si="234"/>
        <v>0</v>
      </c>
      <c r="V579" s="359">
        <f t="shared" ca="1" si="235"/>
        <v>0.98809388972884149</v>
      </c>
      <c r="W579" s="357">
        <f t="shared" ca="1" si="236"/>
        <v>33.590163797733453</v>
      </c>
      <c r="X579" s="343"/>
      <c r="Y579" s="367" t="str">
        <f t="shared" ca="1" si="254"/>
        <v/>
      </c>
      <c r="Z579" s="368" t="str">
        <f t="shared" ca="1" si="255"/>
        <v/>
      </c>
      <c r="AA579" s="369" t="str">
        <f t="shared" ca="1" si="256"/>
        <v/>
      </c>
      <c r="AB579" s="344"/>
      <c r="AC579" s="363" t="e">
        <f t="shared" ca="1" si="257"/>
        <v>#N/A</v>
      </c>
      <c r="AD579" s="376" t="e">
        <f t="shared" ca="1" si="258"/>
        <v>#N/A</v>
      </c>
      <c r="AE579" s="377">
        <f t="shared" ca="1" si="237"/>
        <v>2140.9494768447034</v>
      </c>
      <c r="AF579" s="344"/>
      <c r="AG579" s="359">
        <f t="shared" ca="1" si="259"/>
        <v>-12.703632215482203</v>
      </c>
      <c r="AH579" s="357">
        <f t="shared" ca="1" si="260"/>
        <v>-3.5619106499062489</v>
      </c>
    </row>
    <row r="580" spans="1:34" x14ac:dyDescent="0.25">
      <c r="A580" s="402">
        <f t="shared" ca="1" si="238"/>
        <v>0.1</v>
      </c>
      <c r="B580" s="357">
        <f t="shared" ca="1" si="239"/>
        <v>12.599999999999911</v>
      </c>
      <c r="C580" s="342"/>
      <c r="D580" s="359">
        <f t="shared" ca="1" si="240"/>
        <v>-1.2737524616757039</v>
      </c>
      <c r="E580" s="360">
        <f t="shared" ca="1" si="241"/>
        <v>-13.054076686052731</v>
      </c>
      <c r="F580" s="357">
        <f t="shared" ca="1" si="242"/>
        <v>13.116072714763758</v>
      </c>
      <c r="G580" s="359">
        <f t="shared" ca="1" si="243"/>
        <v>44.662203899952246</v>
      </c>
      <c r="H580" s="360">
        <f t="shared" ca="1" si="244"/>
        <v>112.76764330307894</v>
      </c>
      <c r="I580" s="357">
        <f t="shared" ca="1" si="245"/>
        <v>121.28995767717686</v>
      </c>
      <c r="J580" s="359">
        <f t="shared" ca="1" si="246"/>
        <v>589.2752614354232</v>
      </c>
      <c r="K580" s="360">
        <f t="shared" ca="1" si="247"/>
        <v>2152.2915115584415</v>
      </c>
      <c r="L580" s="357">
        <f t="shared" ref="L580:L643" ca="1" si="261">SQRT(pos_x^2+pos_z^2)</f>
        <v>2231.5026516825624</v>
      </c>
      <c r="M580" s="359">
        <f t="shared" ca="1" si="248"/>
        <v>1.1936953167774396</v>
      </c>
      <c r="N580" s="357">
        <f t="shared" ca="1" si="249"/>
        <v>68.393703675879138</v>
      </c>
      <c r="O580" s="343"/>
      <c r="P580" s="363">
        <f t="shared" ca="1" si="250"/>
        <v>23</v>
      </c>
      <c r="Q580" s="357">
        <f t="shared" ca="1" si="251"/>
        <v>0</v>
      </c>
      <c r="R580" s="359">
        <f t="shared" ca="1" si="252"/>
        <v>0</v>
      </c>
      <c r="S580" s="360">
        <f t="shared" ca="1" si="253"/>
        <v>9.637999999999975</v>
      </c>
      <c r="T580" s="357">
        <f t="shared" ref="T580:T643" ca="1" si="262">m*g</f>
        <v>94.548779999999766</v>
      </c>
      <c r="U580" s="364">
        <f t="shared" ref="U580:U643" ca="1" si="263">IF(pos_xz&lt;L_rampe,Poids*COS(Beta),0)</f>
        <v>0</v>
      </c>
      <c r="V580" s="359">
        <f t="shared" ref="V580:V643" ca="1" si="264">Rho_moyen*(20000-Alt_rampe-pos_z)/(20000+Alt_rampe+pos_z)</f>
        <v>0.98696077951724248</v>
      </c>
      <c r="W580" s="357">
        <f t="shared" ref="W580:W643" ca="1" si="265">1/2*Rho*Sref*Cx*vit_xz^2</f>
        <v>32.864664386177431</v>
      </c>
      <c r="X580" s="343"/>
      <c r="Y580" s="367" t="str">
        <f t="shared" ca="1" si="254"/>
        <v/>
      </c>
      <c r="Z580" s="368" t="str">
        <f t="shared" ca="1" si="255"/>
        <v/>
      </c>
      <c r="AA580" s="369" t="str">
        <f t="shared" ca="1" si="256"/>
        <v/>
      </c>
      <c r="AB580" s="344"/>
      <c r="AC580" s="363" t="e">
        <f t="shared" ca="1" si="257"/>
        <v>#N/A</v>
      </c>
      <c r="AD580" s="376" t="e">
        <f t="shared" ca="1" si="258"/>
        <v>#N/A</v>
      </c>
      <c r="AE580" s="377">
        <f t="shared" ref="AE580:AE643" ca="1" si="266">IF(t&lt;T_para, pos_z, NA())</f>
        <v>2152.2915115584415</v>
      </c>
      <c r="AF580" s="344"/>
      <c r="AG580" s="359">
        <f t="shared" ca="1" si="259"/>
        <v>-12.616528424116302</v>
      </c>
      <c r="AH580" s="357">
        <f t="shared" ca="1" si="260"/>
        <v>-3.4851798918586367</v>
      </c>
    </row>
    <row r="581" spans="1:34" x14ac:dyDescent="0.25">
      <c r="A581" s="402">
        <f t="shared" ref="A581:A644" ca="1" si="267">IF(B580+0.01&lt;=T_ini+ROUNDUP(Temps_fin_propu,0), 0.01, IF(K580&gt;0, 0.1, 0.0001))</f>
        <v>0.1</v>
      </c>
      <c r="B581" s="357">
        <f t="shared" ref="B581:B644" ca="1" si="268">B580+pas</f>
        <v>12.69999999999991</v>
      </c>
      <c r="C581" s="342"/>
      <c r="D581" s="359">
        <f t="shared" ref="D581:D644" ca="1" si="269">IF(AND(L580&lt;L_rampe,Poussee&lt;Poids*SIN(M580)),0,(-W580+Poussee)/m*COS(M580)-U580/m*SIN(M580))</f>
        <v>-1.2556181508208286</v>
      </c>
      <c r="E581" s="360">
        <f t="shared" ref="E581:E644" ca="1" si="270">IF(AND(L580&lt;L_rampe,Poussee&lt;Poids*SIN(M580)),0,(-W580+Poussee)/m*SIN(M580)+U580/m*COS(M580)-Poids/m)</f>
        <v>-12.980311525016036</v>
      </c>
      <c r="F581" s="357">
        <f t="shared" ref="F581:F644" ca="1" si="271">SQRT(acc_x^2+acc_z^2)</f>
        <v>13.040899670925118</v>
      </c>
      <c r="G581" s="359">
        <f t="shared" ref="G581:G644" ca="1" si="272">G580+acc_x*pas</f>
        <v>44.536642084870167</v>
      </c>
      <c r="H581" s="360">
        <f t="shared" ref="H581:H644" ca="1" si="273">H580+acc_z*pas</f>
        <v>111.46961215057733</v>
      </c>
      <c r="I581" s="357">
        <f t="shared" ref="I581:I644" ca="1" si="274">SQRT(vit_x^2+vit_z^2)</f>
        <v>120.03743966444789</v>
      </c>
      <c r="J581" s="359">
        <f t="shared" ref="J581:J644" ca="1" si="275">J580+0.5*(vit_x+G580)*pas*(K580&gt;=0)</f>
        <v>593.73520373466431</v>
      </c>
      <c r="K581" s="360">
        <f t="shared" ref="K581:K644" ca="1" si="276">K580+0.5*(vit_z+H580)*pas</f>
        <v>2163.5033743311242</v>
      </c>
      <c r="L581" s="357">
        <f t="shared" ca="1" si="261"/>
        <v>2243.4946719116592</v>
      </c>
      <c r="M581" s="359">
        <f t="shared" ref="M581:M644" ca="1" si="277">IF(AND(L580&gt;L_rampe,G581&gt;0),ATAN2(G581,H581),$M$4)</f>
        <v>1.190685997655621</v>
      </c>
      <c r="N581" s="357">
        <f t="shared" ref="N581:N644" ca="1" si="278">DEGREES(Beta)</f>
        <v>68.221282390990922</v>
      </c>
      <c r="O581" s="343"/>
      <c r="P581" s="363">
        <f t="shared" ref="P581:P644" ca="1" si="279">MATCH(t-pas/2-T_ini,CdP_t)</f>
        <v>23</v>
      </c>
      <c r="Q581" s="357">
        <f t="shared" ref="Q581:Q644" ca="1" si="280">(INDEX(CdP,2,i_P+1)-INDEX(CdP,2,i_P+0))/(INDEX(CdP,1,i_P+1)-INDEX(CdP,1,i_P+0))*(t-pas/2-T_ini-INDEX(CdP,1,i_P+0))+INDEX(CdP,2,i_P+0)</f>
        <v>0</v>
      </c>
      <c r="R581" s="359">
        <f t="shared" ref="R581:R644" ca="1" si="281">Poussee/(g*ISP)</f>
        <v>0</v>
      </c>
      <c r="S581" s="360">
        <f t="shared" ref="S581:S644" ca="1" si="282">S580-Débit*pas</f>
        <v>9.637999999999975</v>
      </c>
      <c r="T581" s="357">
        <f t="shared" ca="1" si="262"/>
        <v>94.548779999999766</v>
      </c>
      <c r="U581" s="364">
        <f t="shared" ca="1" si="263"/>
        <v>0</v>
      </c>
      <c r="V581" s="359">
        <f t="shared" ca="1" si="264"/>
        <v>0.98584181378787905</v>
      </c>
      <c r="W581" s="357">
        <f t="shared" ca="1" si="265"/>
        <v>32.15291108483688</v>
      </c>
      <c r="X581" s="343"/>
      <c r="Y581" s="367" t="str">
        <f t="shared" ref="Y581:Y644" ca="1" si="283">IF(AND(pos_z&lt;=0,K580&gt;0),"Impact balistique","") &amp; IF(AND(H582&lt;0,vit_z&gt;=0),"Apogée","") &amp; IF(AND(Poussee=0,Q580&gt;0),"Fin de propulsion","") &amp; IF(AND(L582&gt;L_rampe,pos_xz&lt;=L_rampe),"Sortie de rampe","")</f>
        <v/>
      </c>
      <c r="Z581" s="368" t="str">
        <f t="shared" ref="Z581:Z644" ca="1" si="284">IF(ABS(t-T_para)&lt;pas/2,"Para","")</f>
        <v/>
      </c>
      <c r="AA581" s="369" t="str">
        <f t="shared" ref="AA581:AA644" ca="1" si="285">IF(ABS(t-T_satellite)&lt;pas/2,"Satellite","")</f>
        <v/>
      </c>
      <c r="AB581" s="344"/>
      <c r="AC581" s="363" t="e">
        <f t="shared" ref="AC581:AC644" ca="1" si="286">IF(ABS(t-ROUND(t,0))&lt;0.001,t,NA())</f>
        <v>#N/A</v>
      </c>
      <c r="AD581" s="376" t="e">
        <f t="shared" ref="AD581:AD644" ca="1" si="287">IF(ABS(t-ROUND(t,0))&lt;0.001,pos_x,NA())</f>
        <v>#N/A</v>
      </c>
      <c r="AE581" s="377">
        <f t="shared" ca="1" si="266"/>
        <v>2163.5033743311242</v>
      </c>
      <c r="AF581" s="344"/>
      <c r="AG581" s="359">
        <f t="shared" ref="AG581:AG644" ca="1" si="288">IF(AND(L580&lt;L_rampe,Poussee&lt;Poids*SIN(M580)),0,(-W580+Poussee)/m-Poids*SIN(M580)/m)</f>
        <v>-12.530615419402377</v>
      </c>
      <c r="AH581" s="357">
        <f t="shared" ref="AH581:AH644" ca="1" si="289">IF(AND(L580&lt;L_rampe,Poussee&lt;Poids*SIN(M580)), g*SIN(M580), (-W580+Poussee)/m)</f>
        <v>-3.4099049996033943</v>
      </c>
    </row>
    <row r="582" spans="1:34" x14ac:dyDescent="0.25">
      <c r="A582" s="402">
        <f t="shared" ca="1" si="267"/>
        <v>0.1</v>
      </c>
      <c r="B582" s="357">
        <f t="shared" ca="1" si="268"/>
        <v>12.79999999999991</v>
      </c>
      <c r="C582" s="342"/>
      <c r="D582" s="359">
        <f t="shared" ca="1" si="269"/>
        <v>-1.2377533873945026</v>
      </c>
      <c r="E582" s="360">
        <f t="shared" ca="1" si="270"/>
        <v>-12.907941011538449</v>
      </c>
      <c r="F582" s="357">
        <f t="shared" ca="1" si="271"/>
        <v>12.967149825823823</v>
      </c>
      <c r="G582" s="359">
        <f t="shared" ca="1" si="272"/>
        <v>44.412866746130717</v>
      </c>
      <c r="H582" s="360">
        <f t="shared" ca="1" si="273"/>
        <v>110.17881804942348</v>
      </c>
      <c r="I582" s="357">
        <f t="shared" ca="1" si="274"/>
        <v>118.79341176756196</v>
      </c>
      <c r="J582" s="359">
        <f t="shared" ca="1" si="275"/>
        <v>598.18267917621438</v>
      </c>
      <c r="K582" s="360">
        <f t="shared" ca="1" si="276"/>
        <v>2174.5857958411243</v>
      </c>
      <c r="L582" s="357">
        <f t="shared" ca="1" si="261"/>
        <v>2255.3593729471163</v>
      </c>
      <c r="M582" s="359">
        <f t="shared" ca="1" si="277"/>
        <v>1.1876220730288884</v>
      </c>
      <c r="N582" s="357">
        <f t="shared" ca="1" si="278"/>
        <v>68.045732441132941</v>
      </c>
      <c r="O582" s="343"/>
      <c r="P582" s="363">
        <f t="shared" ca="1" si="279"/>
        <v>23</v>
      </c>
      <c r="Q582" s="357">
        <f t="shared" ca="1" si="280"/>
        <v>0</v>
      </c>
      <c r="R582" s="359">
        <f t="shared" ca="1" si="281"/>
        <v>0</v>
      </c>
      <c r="S582" s="360">
        <f t="shared" ca="1" si="282"/>
        <v>9.637999999999975</v>
      </c>
      <c r="T582" s="357">
        <f t="shared" ca="1" si="262"/>
        <v>94.548779999999766</v>
      </c>
      <c r="U582" s="364">
        <f t="shared" ca="1" si="263"/>
        <v>0</v>
      </c>
      <c r="V582" s="359">
        <f t="shared" ca="1" si="264"/>
        <v>0.98473687856618364</v>
      </c>
      <c r="W582" s="357">
        <f t="shared" ca="1" si="265"/>
        <v>31.454626421007934</v>
      </c>
      <c r="X582" s="343"/>
      <c r="Y582" s="367" t="str">
        <f t="shared" ca="1" si="283"/>
        <v/>
      </c>
      <c r="Z582" s="368" t="str">
        <f t="shared" ca="1" si="284"/>
        <v/>
      </c>
      <c r="AA582" s="369" t="str">
        <f t="shared" ca="1" si="285"/>
        <v/>
      </c>
      <c r="AB582" s="344"/>
      <c r="AC582" s="363" t="e">
        <f t="shared" ca="1" si="286"/>
        <v>#N/A</v>
      </c>
      <c r="AD582" s="376" t="e">
        <f t="shared" ca="1" si="287"/>
        <v>#N/A</v>
      </c>
      <c r="AE582" s="377">
        <f t="shared" ca="1" si="266"/>
        <v>2174.5857958411243</v>
      </c>
      <c r="AF582" s="344"/>
      <c r="AG582" s="359">
        <f t="shared" ca="1" si="288"/>
        <v>-12.445854909923765</v>
      </c>
      <c r="AH582" s="357">
        <f t="shared" ca="1" si="289"/>
        <v>-3.3360563482918617</v>
      </c>
    </row>
    <row r="583" spans="1:34" x14ac:dyDescent="0.25">
      <c r="A583" s="402">
        <f t="shared" ca="1" si="267"/>
        <v>0.1</v>
      </c>
      <c r="B583" s="357">
        <f t="shared" ca="1" si="268"/>
        <v>12.89999999999991</v>
      </c>
      <c r="C583" s="342"/>
      <c r="D583" s="359">
        <f t="shared" ca="1" si="269"/>
        <v>-1.2201523503243059</v>
      </c>
      <c r="E583" s="360">
        <f t="shared" ca="1" si="270"/>
        <v>-12.836936868709792</v>
      </c>
      <c r="F583" s="357">
        <f t="shared" ca="1" si="271"/>
        <v>12.894794295732007</v>
      </c>
      <c r="G583" s="359">
        <f t="shared" ca="1" si="272"/>
        <v>44.290851511098289</v>
      </c>
      <c r="H583" s="360">
        <f t="shared" ca="1" si="273"/>
        <v>108.89512436255251</v>
      </c>
      <c r="I583" s="357">
        <f t="shared" ca="1" si="274"/>
        <v>117.55776298277343</v>
      </c>
      <c r="J583" s="359">
        <f t="shared" ca="1" si="275"/>
        <v>602.61786508907585</v>
      </c>
      <c r="K583" s="360">
        <f t="shared" ca="1" si="276"/>
        <v>2185.5394929617232</v>
      </c>
      <c r="L583" s="357">
        <f t="shared" ca="1" si="261"/>
        <v>2267.0975203153266</v>
      </c>
      <c r="M583" s="359">
        <f t="shared" ca="1" si="277"/>
        <v>1.1845022148686566</v>
      </c>
      <c r="N583" s="357">
        <f t="shared" ca="1" si="278"/>
        <v>67.866977735872211</v>
      </c>
      <c r="O583" s="343"/>
      <c r="P583" s="363">
        <f t="shared" ca="1" si="279"/>
        <v>23</v>
      </c>
      <c r="Q583" s="357">
        <f t="shared" ca="1" si="280"/>
        <v>0</v>
      </c>
      <c r="R583" s="359">
        <f t="shared" ca="1" si="281"/>
        <v>0</v>
      </c>
      <c r="S583" s="360">
        <f t="shared" ca="1" si="282"/>
        <v>9.637999999999975</v>
      </c>
      <c r="T583" s="357">
        <f t="shared" ca="1" si="262"/>
        <v>94.548779999999766</v>
      </c>
      <c r="U583" s="364">
        <f t="shared" ca="1" si="263"/>
        <v>0</v>
      </c>
      <c r="V583" s="359">
        <f t="shared" ca="1" si="264"/>
        <v>0.98364586211865879</v>
      </c>
      <c r="W583" s="357">
        <f t="shared" ca="1" si="265"/>
        <v>30.769540712937868</v>
      </c>
      <c r="X583" s="343"/>
      <c r="Y583" s="367" t="str">
        <f t="shared" ca="1" si="283"/>
        <v/>
      </c>
      <c r="Z583" s="368" t="str">
        <f t="shared" ca="1" si="284"/>
        <v/>
      </c>
      <c r="AA583" s="369" t="str">
        <f t="shared" ca="1" si="285"/>
        <v/>
      </c>
      <c r="AB583" s="344"/>
      <c r="AC583" s="363" t="e">
        <f t="shared" ca="1" si="286"/>
        <v>#N/A</v>
      </c>
      <c r="AD583" s="376" t="e">
        <f t="shared" ca="1" si="287"/>
        <v>#N/A</v>
      </c>
      <c r="AE583" s="377">
        <f t="shared" ca="1" si="266"/>
        <v>2185.5394929617232</v>
      </c>
      <c r="AF583" s="344"/>
      <c r="AG583" s="359">
        <f t="shared" ca="1" si="288"/>
        <v>-12.362209094456279</v>
      </c>
      <c r="AH583" s="357">
        <f t="shared" ca="1" si="289"/>
        <v>-3.263605148475619</v>
      </c>
    </row>
    <row r="584" spans="1:34" x14ac:dyDescent="0.25">
      <c r="A584" s="402">
        <f t="shared" ca="1" si="267"/>
        <v>0.1</v>
      </c>
      <c r="B584" s="357">
        <f t="shared" ca="1" si="268"/>
        <v>12.999999999999909</v>
      </c>
      <c r="C584" s="342"/>
      <c r="D584" s="359">
        <f t="shared" ca="1" si="269"/>
        <v>-1.2028093858861846</v>
      </c>
      <c r="E584" s="360">
        <f t="shared" ca="1" si="270"/>
        <v>-12.767271607833074</v>
      </c>
      <c r="F584" s="357">
        <f t="shared" ca="1" si="271"/>
        <v>12.823805001907836</v>
      </c>
      <c r="G584" s="359">
        <f t="shared" ca="1" si="272"/>
        <v>44.170570572509668</v>
      </c>
      <c r="H584" s="360">
        <f t="shared" ca="1" si="273"/>
        <v>107.6183972017692</v>
      </c>
      <c r="I584" s="357">
        <f t="shared" ca="1" si="274"/>
        <v>116.33038606047356</v>
      </c>
      <c r="J584" s="359">
        <f t="shared" ca="1" si="275"/>
        <v>607.04093619325624</v>
      </c>
      <c r="K584" s="360">
        <f t="shared" ca="1" si="276"/>
        <v>2196.3651690399392</v>
      </c>
      <c r="L584" s="357">
        <f t="shared" ca="1" si="261"/>
        <v>2278.7098661273722</v>
      </c>
      <c r="M584" s="359">
        <f t="shared" ca="1" si="277"/>
        <v>1.1813250534122761</v>
      </c>
      <c r="N584" s="357">
        <f t="shared" ca="1" si="278"/>
        <v>67.684939793589976</v>
      </c>
      <c r="O584" s="343"/>
      <c r="P584" s="363">
        <f t="shared" ca="1" si="279"/>
        <v>23</v>
      </c>
      <c r="Q584" s="357">
        <f t="shared" ca="1" si="280"/>
        <v>0</v>
      </c>
      <c r="R584" s="359">
        <f t="shared" ca="1" si="281"/>
        <v>0</v>
      </c>
      <c r="S584" s="360">
        <f t="shared" ca="1" si="282"/>
        <v>9.637999999999975</v>
      </c>
      <c r="T584" s="357">
        <f t="shared" ca="1" si="262"/>
        <v>94.548779999999766</v>
      </c>
      <c r="U584" s="364">
        <f t="shared" ca="1" si="263"/>
        <v>0</v>
      </c>
      <c r="V584" s="359">
        <f t="shared" ca="1" si="264"/>
        <v>0.98256865490510414</v>
      </c>
      <c r="W584" s="357">
        <f t="shared" ca="1" si="265"/>
        <v>30.097391819227461</v>
      </c>
      <c r="X584" s="343"/>
      <c r="Y584" s="367" t="str">
        <f t="shared" ca="1" si="283"/>
        <v/>
      </c>
      <c r="Z584" s="368" t="str">
        <f t="shared" ca="1" si="284"/>
        <v/>
      </c>
      <c r="AA584" s="369" t="str">
        <f t="shared" ca="1" si="285"/>
        <v/>
      </c>
      <c r="AB584" s="344"/>
      <c r="AC584" s="363">
        <f t="shared" ca="1" si="286"/>
        <v>12.999999999999909</v>
      </c>
      <c r="AD584" s="376">
        <f t="shared" ca="1" si="287"/>
        <v>607.04093619325624</v>
      </c>
      <c r="AE584" s="377">
        <f t="shared" ca="1" si="266"/>
        <v>2196.3651690399392</v>
      </c>
      <c r="AF584" s="344"/>
      <c r="AG584" s="359">
        <f t="shared" ca="1" si="288"/>
        <v>-12.279640619083954</v>
      </c>
      <c r="AH584" s="357">
        <f t="shared" ca="1" si="289"/>
        <v>-3.1925234190639085</v>
      </c>
    </row>
    <row r="585" spans="1:34" x14ac:dyDescent="0.25">
      <c r="A585" s="402">
        <f t="shared" ca="1" si="267"/>
        <v>0.1</v>
      </c>
      <c r="B585" s="357">
        <f t="shared" ca="1" si="268"/>
        <v>13.099999999999909</v>
      </c>
      <c r="C585" s="342"/>
      <c r="D585" s="359">
        <f t="shared" ca="1" si="269"/>
        <v>-1.185719002725548</v>
      </c>
      <c r="E585" s="360">
        <f t="shared" ca="1" si="270"/>
        <v>-12.698918502773903</v>
      </c>
      <c r="F585" s="357">
        <f t="shared" ca="1" si="271"/>
        <v>12.754154644409713</v>
      </c>
      <c r="G585" s="359">
        <f t="shared" ca="1" si="272"/>
        <v>44.051998672237112</v>
      </c>
      <c r="H585" s="360">
        <f t="shared" ca="1" si="273"/>
        <v>106.34850535149181</v>
      </c>
      <c r="I585" s="357">
        <f t="shared" ca="1" si="274"/>
        <v>115.11117746559221</v>
      </c>
      <c r="J585" s="359">
        <f t="shared" ca="1" si="275"/>
        <v>611.45206465549359</v>
      </c>
      <c r="K585" s="360">
        <f t="shared" ca="1" si="276"/>
        <v>2207.0635141676021</v>
      </c>
      <c r="L585" s="357">
        <f t="shared" ca="1" si="261"/>
        <v>2290.1971493610131</v>
      </c>
      <c r="M585" s="359">
        <f t="shared" ca="1" si="277"/>
        <v>1.1780891756392464</v>
      </c>
      <c r="N585" s="357">
        <f t="shared" ca="1" si="278"/>
        <v>67.499537654175171</v>
      </c>
      <c r="O585" s="343"/>
      <c r="P585" s="363">
        <f t="shared" ca="1" si="279"/>
        <v>23</v>
      </c>
      <c r="Q585" s="357">
        <f t="shared" ca="1" si="280"/>
        <v>0</v>
      </c>
      <c r="R585" s="359">
        <f t="shared" ca="1" si="281"/>
        <v>0</v>
      </c>
      <c r="S585" s="360">
        <f t="shared" ca="1" si="282"/>
        <v>9.637999999999975</v>
      </c>
      <c r="T585" s="357">
        <f t="shared" ca="1" si="262"/>
        <v>94.548779999999766</v>
      </c>
      <c r="U585" s="364">
        <f t="shared" ca="1" si="263"/>
        <v>0</v>
      </c>
      <c r="V585" s="359">
        <f t="shared" ca="1" si="264"/>
        <v>0.9815051495322249</v>
      </c>
      <c r="W585" s="357">
        <f t="shared" ca="1" si="265"/>
        <v>29.437924897834279</v>
      </c>
      <c r="X585" s="343"/>
      <c r="Y585" s="367" t="str">
        <f t="shared" ca="1" si="283"/>
        <v/>
      </c>
      <c r="Z585" s="368" t="str">
        <f t="shared" ca="1" si="284"/>
        <v/>
      </c>
      <c r="AA585" s="369" t="str">
        <f t="shared" ca="1" si="285"/>
        <v/>
      </c>
      <c r="AB585" s="344"/>
      <c r="AC585" s="363" t="e">
        <f t="shared" ca="1" si="286"/>
        <v>#N/A</v>
      </c>
      <c r="AD585" s="376" t="e">
        <f t="shared" ca="1" si="287"/>
        <v>#N/A</v>
      </c>
      <c r="AE585" s="377">
        <f t="shared" ca="1" si="266"/>
        <v>2207.0635141676021</v>
      </c>
      <c r="AF585" s="344"/>
      <c r="AG585" s="359">
        <f t="shared" ca="1" si="288"/>
        <v>-12.198112534551459</v>
      </c>
      <c r="AH585" s="357">
        <f t="shared" ca="1" si="289"/>
        <v>-3.1227839613226331</v>
      </c>
    </row>
    <row r="586" spans="1:34" x14ac:dyDescent="0.25">
      <c r="A586" s="402">
        <f t="shared" ca="1" si="267"/>
        <v>0.1</v>
      </c>
      <c r="B586" s="357">
        <f t="shared" ca="1" si="268"/>
        <v>13.199999999999909</v>
      </c>
      <c r="C586" s="342"/>
      <c r="D586" s="359">
        <f t="shared" ca="1" si="269"/>
        <v>-1.1688758670926802</v>
      </c>
      <c r="E586" s="360">
        <f t="shared" ca="1" si="270"/>
        <v>-12.631851565274795</v>
      </c>
      <c r="F586" s="357">
        <f t="shared" ca="1" si="271"/>
        <v>12.685816676895774</v>
      </c>
      <c r="G586" s="359">
        <f t="shared" ca="1" si="272"/>
        <v>43.935111085527843</v>
      </c>
      <c r="H586" s="360">
        <f t="shared" ca="1" si="273"/>
        <v>105.08532019496432</v>
      </c>
      <c r="I586" s="357">
        <f t="shared" ca="1" si="274"/>
        <v>113.90003734229347</v>
      </c>
      <c r="J586" s="359">
        <f t="shared" ca="1" si="275"/>
        <v>615.8514201433818</v>
      </c>
      <c r="K586" s="360">
        <f t="shared" ca="1" si="276"/>
        <v>2217.6352054449248</v>
      </c>
      <c r="L586" s="357">
        <f t="shared" ca="1" si="261"/>
        <v>2301.560096135092</v>
      </c>
      <c r="M586" s="359">
        <f t="shared" ca="1" si="277"/>
        <v>1.1747931236869087</v>
      </c>
      <c r="N586" s="357">
        <f t="shared" ca="1" si="278"/>
        <v>67.310687788250377</v>
      </c>
      <c r="O586" s="343"/>
      <c r="P586" s="363">
        <f t="shared" ca="1" si="279"/>
        <v>23</v>
      </c>
      <c r="Q586" s="357">
        <f t="shared" ca="1" si="280"/>
        <v>0</v>
      </c>
      <c r="R586" s="359">
        <f t="shared" ca="1" si="281"/>
        <v>0</v>
      </c>
      <c r="S586" s="360">
        <f t="shared" ca="1" si="282"/>
        <v>9.637999999999975</v>
      </c>
      <c r="T586" s="357">
        <f t="shared" ca="1" si="262"/>
        <v>94.548779999999766</v>
      </c>
      <c r="U586" s="364">
        <f t="shared" ca="1" si="263"/>
        <v>0</v>
      </c>
      <c r="V586" s="359">
        <f t="shared" ca="1" si="264"/>
        <v>0.98045524070858203</v>
      </c>
      <c r="W586" s="357">
        <f t="shared" ca="1" si="265"/>
        <v>28.790892174260804</v>
      </c>
      <c r="X586" s="343"/>
      <c r="Y586" s="367" t="str">
        <f t="shared" ca="1" si="283"/>
        <v/>
      </c>
      <c r="Z586" s="368" t="str">
        <f t="shared" ca="1" si="284"/>
        <v/>
      </c>
      <c r="AA586" s="369" t="str">
        <f t="shared" ca="1" si="285"/>
        <v/>
      </c>
      <c r="AB586" s="344"/>
      <c r="AC586" s="363" t="e">
        <f t="shared" ca="1" si="286"/>
        <v>#N/A</v>
      </c>
      <c r="AD586" s="376" t="e">
        <f t="shared" ca="1" si="287"/>
        <v>#N/A</v>
      </c>
      <c r="AE586" s="377">
        <f t="shared" ca="1" si="266"/>
        <v>2217.6352054449248</v>
      </c>
      <c r="AF586" s="344"/>
      <c r="AG586" s="359">
        <f t="shared" ca="1" si="288"/>
        <v>-12.117588253764437</v>
      </c>
      <c r="AH586" s="357">
        <f t="shared" ca="1" si="289"/>
        <v>-3.054360333869512</v>
      </c>
    </row>
    <row r="587" spans="1:34" x14ac:dyDescent="0.25">
      <c r="A587" s="402">
        <f t="shared" ca="1" si="267"/>
        <v>0.1</v>
      </c>
      <c r="B587" s="357">
        <f t="shared" ca="1" si="268"/>
        <v>13.299999999999908</v>
      </c>
      <c r="C587" s="342"/>
      <c r="D587" s="359">
        <f t="shared" ca="1" si="269"/>
        <v>-1.1522747982844797</v>
      </c>
      <c r="E587" s="360">
        <f t="shared" ca="1" si="270"/>
        <v>-12.566045521191329</v>
      </c>
      <c r="F587" s="357">
        <f t="shared" ca="1" si="271"/>
        <v>12.618765282364761</v>
      </c>
      <c r="G587" s="359">
        <f t="shared" ca="1" si="272"/>
        <v>43.819883605699395</v>
      </c>
      <c r="H587" s="360">
        <f t="shared" ca="1" si="273"/>
        <v>103.8287156428452</v>
      </c>
      <c r="I587" s="357">
        <f t="shared" ca="1" si="274"/>
        <v>112.69686948296234</v>
      </c>
      <c r="J587" s="359">
        <f t="shared" ca="1" si="275"/>
        <v>620.23916987794314</v>
      </c>
      <c r="K587" s="360">
        <f t="shared" ca="1" si="276"/>
        <v>2228.0809072368152</v>
      </c>
      <c r="L587" s="357">
        <f t="shared" ca="1" si="261"/>
        <v>2312.7994199766026</v>
      </c>
      <c r="M587" s="359">
        <f t="shared" ca="1" si="277"/>
        <v>1.1714353932033028</v>
      </c>
      <c r="N587" s="357">
        <f t="shared" ca="1" si="278"/>
        <v>67.118304002797331</v>
      </c>
      <c r="O587" s="343"/>
      <c r="P587" s="363">
        <f t="shared" ca="1" si="279"/>
        <v>23</v>
      </c>
      <c r="Q587" s="357">
        <f t="shared" ca="1" si="280"/>
        <v>0</v>
      </c>
      <c r="R587" s="359">
        <f t="shared" ca="1" si="281"/>
        <v>0</v>
      </c>
      <c r="S587" s="360">
        <f t="shared" ca="1" si="282"/>
        <v>9.637999999999975</v>
      </c>
      <c r="T587" s="357">
        <f t="shared" ca="1" si="262"/>
        <v>94.548779999999766</v>
      </c>
      <c r="U587" s="364">
        <f t="shared" ca="1" si="263"/>
        <v>0</v>
      </c>
      <c r="V587" s="359">
        <f t="shared" ca="1" si="264"/>
        <v>0.97941882520083112</v>
      </c>
      <c r="W587" s="357">
        <f t="shared" ca="1" si="265"/>
        <v>28.15605271853153</v>
      </c>
      <c r="X587" s="343"/>
      <c r="Y587" s="367" t="str">
        <f t="shared" ca="1" si="283"/>
        <v/>
      </c>
      <c r="Z587" s="368" t="str">
        <f t="shared" ca="1" si="284"/>
        <v/>
      </c>
      <c r="AA587" s="369" t="str">
        <f t="shared" ca="1" si="285"/>
        <v/>
      </c>
      <c r="AB587" s="344"/>
      <c r="AC587" s="363" t="e">
        <f t="shared" ca="1" si="286"/>
        <v>#N/A</v>
      </c>
      <c r="AD587" s="376" t="e">
        <f t="shared" ca="1" si="287"/>
        <v>#N/A</v>
      </c>
      <c r="AE587" s="377">
        <f t="shared" ca="1" si="266"/>
        <v>2228.0809072368152</v>
      </c>
      <c r="AF587" s="344"/>
      <c r="AG587" s="359">
        <f t="shared" ca="1" si="288"/>
        <v>-12.038031509349127</v>
      </c>
      <c r="AH587" s="357">
        <f t="shared" ca="1" si="289"/>
        <v>-2.9872268286222119</v>
      </c>
    </row>
    <row r="588" spans="1:34" x14ac:dyDescent="0.25">
      <c r="A588" s="402">
        <f t="shared" ca="1" si="267"/>
        <v>0.1</v>
      </c>
      <c r="B588" s="357">
        <f t="shared" ca="1" si="268"/>
        <v>13.399999999999908</v>
      </c>
      <c r="C588" s="342"/>
      <c r="D588" s="359">
        <f t="shared" ca="1" si="269"/>
        <v>-1.1359107642849897</v>
      </c>
      <c r="E588" s="360">
        <f t="shared" ca="1" si="270"/>
        <v>-12.501475787609198</v>
      </c>
      <c r="F588" s="357">
        <f t="shared" ca="1" si="271"/>
        <v>12.55297534979646</v>
      </c>
      <c r="G588" s="359">
        <f t="shared" ca="1" si="272"/>
        <v>43.706292529270897</v>
      </c>
      <c r="H588" s="360">
        <f t="shared" ca="1" si="273"/>
        <v>102.57856806408428</v>
      </c>
      <c r="I588" s="357">
        <f t="shared" ca="1" si="274"/>
        <v>111.50158130148725</v>
      </c>
      <c r="J588" s="359">
        <f t="shared" ca="1" si="275"/>
        <v>624.61547868469165</v>
      </c>
      <c r="K588" s="360">
        <f t="shared" ca="1" si="276"/>
        <v>2238.4012714221617</v>
      </c>
      <c r="L588" s="357">
        <f t="shared" ca="1" si="261"/>
        <v>2323.9158220806657</v>
      </c>
      <c r="M588" s="359">
        <f t="shared" ca="1" si="277"/>
        <v>1.1680144316348067</v>
      </c>
      <c r="N588" s="357">
        <f t="shared" ca="1" si="278"/>
        <v>66.922297343046054</v>
      </c>
      <c r="O588" s="343"/>
      <c r="P588" s="363">
        <f t="shared" ca="1" si="279"/>
        <v>23</v>
      </c>
      <c r="Q588" s="357">
        <f t="shared" ca="1" si="280"/>
        <v>0</v>
      </c>
      <c r="R588" s="359">
        <f t="shared" ca="1" si="281"/>
        <v>0</v>
      </c>
      <c r="S588" s="360">
        <f t="shared" ca="1" si="282"/>
        <v>9.637999999999975</v>
      </c>
      <c r="T588" s="357">
        <f t="shared" ca="1" si="262"/>
        <v>94.548779999999766</v>
      </c>
      <c r="U588" s="364">
        <f t="shared" ca="1" si="263"/>
        <v>0</v>
      </c>
      <c r="V588" s="359">
        <f t="shared" ca="1" si="264"/>
        <v>0.97839580179121477</v>
      </c>
      <c r="W588" s="357">
        <f t="shared" ca="1" si="265"/>
        <v>27.533172230582096</v>
      </c>
      <c r="X588" s="343"/>
      <c r="Y588" s="367" t="str">
        <f t="shared" ca="1" si="283"/>
        <v/>
      </c>
      <c r="Z588" s="368" t="str">
        <f t="shared" ca="1" si="284"/>
        <v/>
      </c>
      <c r="AA588" s="369" t="str">
        <f t="shared" ca="1" si="285"/>
        <v/>
      </c>
      <c r="AB588" s="344"/>
      <c r="AC588" s="363" t="e">
        <f t="shared" ca="1" si="286"/>
        <v>#N/A</v>
      </c>
      <c r="AD588" s="376" t="e">
        <f t="shared" ca="1" si="287"/>
        <v>#N/A</v>
      </c>
      <c r="AE588" s="377">
        <f t="shared" ca="1" si="266"/>
        <v>2238.4012714221617</v>
      </c>
      <c r="AF588" s="344"/>
      <c r="AG588" s="359">
        <f t="shared" ca="1" si="288"/>
        <v>-11.959406311182221</v>
      </c>
      <c r="AH588" s="357">
        <f t="shared" ca="1" si="289"/>
        <v>-2.921358447658394</v>
      </c>
    </row>
    <row r="589" spans="1:34" x14ac:dyDescent="0.25">
      <c r="A589" s="402">
        <f t="shared" ca="1" si="267"/>
        <v>0.1</v>
      </c>
      <c r="B589" s="357">
        <f t="shared" ca="1" si="268"/>
        <v>13.499999999999908</v>
      </c>
      <c r="C589" s="342"/>
      <c r="D589" s="359">
        <f t="shared" ca="1" si="269"/>
        <v>-1.1197788775976205</v>
      </c>
      <c r="E589" s="360">
        <f t="shared" ca="1" si="270"/>
        <v>-12.43811845080303</v>
      </c>
      <c r="F589" s="357">
        <f t="shared" ca="1" si="271"/>
        <v>12.488422451651791</v>
      </c>
      <c r="G589" s="359">
        <f t="shared" ca="1" si="272"/>
        <v>43.594314641511133</v>
      </c>
      <c r="H589" s="360">
        <f t="shared" ca="1" si="273"/>
        <v>101.33475621900398</v>
      </c>
      <c r="I589" s="357">
        <f t="shared" ca="1" si="274"/>
        <v>110.31408381085362</v>
      </c>
      <c r="J589" s="359">
        <f t="shared" ca="1" si="275"/>
        <v>628.98050904323077</v>
      </c>
      <c r="K589" s="360">
        <f t="shared" ca="1" si="276"/>
        <v>2248.5969376363159</v>
      </c>
      <c r="L589" s="357">
        <f t="shared" ca="1" si="261"/>
        <v>2334.9099915636361</v>
      </c>
      <c r="M589" s="359">
        <f t="shared" ca="1" si="277"/>
        <v>1.1645286364461256</v>
      </c>
      <c r="N589" s="357">
        <f t="shared" ca="1" si="278"/>
        <v>66.722575990487613</v>
      </c>
      <c r="O589" s="343"/>
      <c r="P589" s="363">
        <f t="shared" ca="1" si="279"/>
        <v>23</v>
      </c>
      <c r="Q589" s="357">
        <f t="shared" ca="1" si="280"/>
        <v>0</v>
      </c>
      <c r="R589" s="359">
        <f t="shared" ca="1" si="281"/>
        <v>0</v>
      </c>
      <c r="S589" s="360">
        <f t="shared" ca="1" si="282"/>
        <v>9.637999999999975</v>
      </c>
      <c r="T589" s="357">
        <f t="shared" ca="1" si="262"/>
        <v>94.548779999999766</v>
      </c>
      <c r="U589" s="364">
        <f t="shared" ca="1" si="263"/>
        <v>0</v>
      </c>
      <c r="V589" s="359">
        <f t="shared" ca="1" si="264"/>
        <v>0.97738607123626309</v>
      </c>
      <c r="W589" s="357">
        <f t="shared" ca="1" si="265"/>
        <v>26.922022833702108</v>
      </c>
      <c r="X589" s="343"/>
      <c r="Y589" s="367" t="str">
        <f t="shared" ca="1" si="283"/>
        <v/>
      </c>
      <c r="Z589" s="368" t="str">
        <f t="shared" ca="1" si="284"/>
        <v/>
      </c>
      <c r="AA589" s="369" t="str">
        <f t="shared" ca="1" si="285"/>
        <v/>
      </c>
      <c r="AB589" s="344"/>
      <c r="AC589" s="363" t="e">
        <f t="shared" ca="1" si="286"/>
        <v>#N/A</v>
      </c>
      <c r="AD589" s="376" t="e">
        <f t="shared" ca="1" si="287"/>
        <v>#N/A</v>
      </c>
      <c r="AE589" s="377">
        <f t="shared" ca="1" si="266"/>
        <v>2248.5969376363159</v>
      </c>
      <c r="AF589" s="344"/>
      <c r="AG589" s="359">
        <f t="shared" ca="1" si="288"/>
        <v>-11.881676903801456</v>
      </c>
      <c r="AH589" s="357">
        <f t="shared" ca="1" si="289"/>
        <v>-2.8567308809485543</v>
      </c>
    </row>
    <row r="590" spans="1:34" x14ac:dyDescent="0.25">
      <c r="A590" s="402">
        <f t="shared" ca="1" si="267"/>
        <v>0.1</v>
      </c>
      <c r="B590" s="357">
        <f t="shared" ca="1" si="268"/>
        <v>13.599999999999907</v>
      </c>
      <c r="C590" s="342"/>
      <c r="D590" s="359">
        <f t="shared" ca="1" si="269"/>
        <v>-1.1038743912624089</v>
      </c>
      <c r="E590" s="360">
        <f t="shared" ca="1" si="270"/>
        <v>-12.375950244999657</v>
      </c>
      <c r="F590" s="357">
        <f t="shared" ca="1" si="271"/>
        <v>12.425082822194469</v>
      </c>
      <c r="G590" s="359">
        <f t="shared" ca="1" si="272"/>
        <v>43.483927202384891</v>
      </c>
      <c r="H590" s="360">
        <f t="shared" ca="1" si="273"/>
        <v>100.09716119450401</v>
      </c>
      <c r="I590" s="357">
        <f t="shared" ca="1" si="274"/>
        <v>109.13429160507172</v>
      </c>
      <c r="J590" s="359">
        <f t="shared" ca="1" si="275"/>
        <v>633.3344211354256</v>
      </c>
      <c r="K590" s="360">
        <f t="shared" ca="1" si="276"/>
        <v>2258.6685335069915</v>
      </c>
      <c r="L590" s="357">
        <f t="shared" ca="1" si="261"/>
        <v>2345.7826057095676</v>
      </c>
      <c r="M590" s="359">
        <f t="shared" ca="1" si="277"/>
        <v>1.1609763532701527</v>
      </c>
      <c r="N590" s="357">
        <f t="shared" ca="1" si="278"/>
        <v>66.519045156869041</v>
      </c>
      <c r="O590" s="343"/>
      <c r="P590" s="363">
        <f t="shared" ca="1" si="279"/>
        <v>23</v>
      </c>
      <c r="Q590" s="357">
        <f t="shared" ca="1" si="280"/>
        <v>0</v>
      </c>
      <c r="R590" s="359">
        <f t="shared" ca="1" si="281"/>
        <v>0</v>
      </c>
      <c r="S590" s="360">
        <f t="shared" ca="1" si="282"/>
        <v>9.637999999999975</v>
      </c>
      <c r="T590" s="357">
        <f t="shared" ca="1" si="262"/>
        <v>94.548779999999766</v>
      </c>
      <c r="U590" s="364">
        <f t="shared" ca="1" si="263"/>
        <v>0</v>
      </c>
      <c r="V590" s="359">
        <f t="shared" ca="1" si="264"/>
        <v>0.97638953622666413</v>
      </c>
      <c r="W590" s="357">
        <f t="shared" ca="1" si="265"/>
        <v>26.322382875690124</v>
      </c>
      <c r="X590" s="343"/>
      <c r="Y590" s="367" t="str">
        <f t="shared" ca="1" si="283"/>
        <v/>
      </c>
      <c r="Z590" s="368" t="str">
        <f t="shared" ca="1" si="284"/>
        <v/>
      </c>
      <c r="AA590" s="369" t="str">
        <f t="shared" ca="1" si="285"/>
        <v/>
      </c>
      <c r="AB590" s="344"/>
      <c r="AC590" s="363" t="e">
        <f t="shared" ca="1" si="286"/>
        <v>#N/A</v>
      </c>
      <c r="AD590" s="376" t="e">
        <f t="shared" ca="1" si="287"/>
        <v>#N/A</v>
      </c>
      <c r="AE590" s="377">
        <f t="shared" ca="1" si="266"/>
        <v>2258.6685335069915</v>
      </c>
      <c r="AF590" s="344"/>
      <c r="AG590" s="359">
        <f t="shared" ca="1" si="288"/>
        <v>-11.804807723606711</v>
      </c>
      <c r="AH590" s="357">
        <f t="shared" ca="1" si="289"/>
        <v>-2.7933204849244841</v>
      </c>
    </row>
    <row r="591" spans="1:34" x14ac:dyDescent="0.25">
      <c r="A591" s="402">
        <f t="shared" ca="1" si="267"/>
        <v>0.1</v>
      </c>
      <c r="B591" s="357">
        <f t="shared" ca="1" si="268"/>
        <v>13.699999999999907</v>
      </c>
      <c r="C591" s="342"/>
      <c r="D591" s="359">
        <f t="shared" ca="1" si="269"/>
        <v>-1.0881926950520364</v>
      </c>
      <c r="E591" s="360">
        <f t="shared" ca="1" si="270"/>
        <v>-12.314948531910233</v>
      </c>
      <c r="F591" s="357">
        <f t="shared" ca="1" si="271"/>
        <v>12.362933336597855</v>
      </c>
      <c r="G591" s="359">
        <f t="shared" ca="1" si="272"/>
        <v>43.375107932879686</v>
      </c>
      <c r="H591" s="360">
        <f t="shared" ca="1" si="273"/>
        <v>98.865666341312988</v>
      </c>
      <c r="I591" s="357">
        <f t="shared" ca="1" si="274"/>
        <v>107.96212284547201</v>
      </c>
      <c r="J591" s="359">
        <f t="shared" ca="1" si="275"/>
        <v>637.67737289218883</v>
      </c>
      <c r="K591" s="360">
        <f t="shared" ca="1" si="276"/>
        <v>2268.6166748837823</v>
      </c>
      <c r="L591" s="357">
        <f t="shared" ca="1" si="261"/>
        <v>2356.5343302102415</v>
      </c>
      <c r="M591" s="359">
        <f t="shared" ca="1" si="277"/>
        <v>1.1573558739851759</v>
      </c>
      <c r="N591" s="357">
        <f t="shared" ca="1" si="278"/>
        <v>66.311606974025324</v>
      </c>
      <c r="O591" s="343"/>
      <c r="P591" s="363">
        <f t="shared" ca="1" si="279"/>
        <v>23</v>
      </c>
      <c r="Q591" s="357">
        <f t="shared" ca="1" si="280"/>
        <v>0</v>
      </c>
      <c r="R591" s="359">
        <f t="shared" ca="1" si="281"/>
        <v>0</v>
      </c>
      <c r="S591" s="360">
        <f t="shared" ca="1" si="282"/>
        <v>9.637999999999975</v>
      </c>
      <c r="T591" s="357">
        <f t="shared" ca="1" si="262"/>
        <v>94.548779999999766</v>
      </c>
      <c r="U591" s="364">
        <f t="shared" ca="1" si="263"/>
        <v>0</v>
      </c>
      <c r="V591" s="359">
        <f t="shared" ca="1" si="264"/>
        <v>0.97540610134826555</v>
      </c>
      <c r="W591" s="357">
        <f t="shared" ca="1" si="265"/>
        <v>25.734036737395719</v>
      </c>
      <c r="X591" s="343"/>
      <c r="Y591" s="367" t="str">
        <f t="shared" ca="1" si="283"/>
        <v/>
      </c>
      <c r="Z591" s="368" t="str">
        <f t="shared" ca="1" si="284"/>
        <v/>
      </c>
      <c r="AA591" s="369" t="str">
        <f t="shared" ca="1" si="285"/>
        <v/>
      </c>
      <c r="AB591" s="344"/>
      <c r="AC591" s="363" t="e">
        <f t="shared" ca="1" si="286"/>
        <v>#N/A</v>
      </c>
      <c r="AD591" s="376" t="e">
        <f t="shared" ca="1" si="287"/>
        <v>#N/A</v>
      </c>
      <c r="AE591" s="377">
        <f t="shared" ca="1" si="266"/>
        <v>2268.6166748837823</v>
      </c>
      <c r="AF591" s="344"/>
      <c r="AG591" s="359">
        <f t="shared" ca="1" si="288"/>
        <v>-11.728763355760526</v>
      </c>
      <c r="AH591" s="357">
        <f t="shared" ca="1" si="289"/>
        <v>-2.7311042618479138</v>
      </c>
    </row>
    <row r="592" spans="1:34" x14ac:dyDescent="0.25">
      <c r="A592" s="402">
        <f t="shared" ca="1" si="267"/>
        <v>0.1</v>
      </c>
      <c r="B592" s="357">
        <f t="shared" ca="1" si="268"/>
        <v>13.799999999999907</v>
      </c>
      <c r="C592" s="342"/>
      <c r="D592" s="359">
        <f t="shared" ca="1" si="269"/>
        <v>-1.0727293118407368</v>
      </c>
      <c r="E592" s="360">
        <f t="shared" ca="1" si="270"/>
        <v>-12.255091280997107</v>
      </c>
      <c r="F592" s="357">
        <f t="shared" ca="1" si="271"/>
        <v>12.301951490802328</v>
      </c>
      <c r="G592" s="359">
        <f t="shared" ca="1" si="272"/>
        <v>43.267835001695616</v>
      </c>
      <c r="H592" s="360">
        <f t="shared" ca="1" si="273"/>
        <v>97.640157213213271</v>
      </c>
      <c r="I592" s="357">
        <f t="shared" ca="1" si="274"/>
        <v>106.79749925141019</v>
      </c>
      <c r="J592" s="359">
        <f t="shared" ca="1" si="275"/>
        <v>642.00952003891757</v>
      </c>
      <c r="K592" s="360">
        <f t="shared" ca="1" si="276"/>
        <v>2278.4419660615085</v>
      </c>
      <c r="L592" s="357">
        <f t="shared" ca="1" si="261"/>
        <v>2367.1658193989779</v>
      </c>
      <c r="M592" s="359">
        <f t="shared" ca="1" si="277"/>
        <v>1.1536654347168727</v>
      </c>
      <c r="N592" s="357">
        <f t="shared" ca="1" si="278"/>
        <v>66.100160379402212</v>
      </c>
      <c r="O592" s="343"/>
      <c r="P592" s="363">
        <f t="shared" ca="1" si="279"/>
        <v>23</v>
      </c>
      <c r="Q592" s="357">
        <f t="shared" ca="1" si="280"/>
        <v>0</v>
      </c>
      <c r="R592" s="359">
        <f t="shared" ca="1" si="281"/>
        <v>0</v>
      </c>
      <c r="S592" s="360">
        <f t="shared" ca="1" si="282"/>
        <v>9.637999999999975</v>
      </c>
      <c r="T592" s="357">
        <f t="shared" ca="1" si="262"/>
        <v>94.548779999999766</v>
      </c>
      <c r="U592" s="364">
        <f t="shared" ca="1" si="263"/>
        <v>0</v>
      </c>
      <c r="V592" s="359">
        <f t="shared" ca="1" si="264"/>
        <v>0.974435673044171</v>
      </c>
      <c r="W592" s="357">
        <f t="shared" ca="1" si="265"/>
        <v>25.156774648338864</v>
      </c>
      <c r="X592" s="343"/>
      <c r="Y592" s="367" t="str">
        <f t="shared" ca="1" si="283"/>
        <v/>
      </c>
      <c r="Z592" s="368" t="str">
        <f t="shared" ca="1" si="284"/>
        <v/>
      </c>
      <c r="AA592" s="369" t="str">
        <f t="shared" ca="1" si="285"/>
        <v/>
      </c>
      <c r="AB592" s="344"/>
      <c r="AC592" s="363" t="e">
        <f t="shared" ca="1" si="286"/>
        <v>#N/A</v>
      </c>
      <c r="AD592" s="376" t="e">
        <f t="shared" ca="1" si="287"/>
        <v>#N/A</v>
      </c>
      <c r="AE592" s="377">
        <f t="shared" ca="1" si="266"/>
        <v>2278.4419660615085</v>
      </c>
      <c r="AF592" s="344"/>
      <c r="AG592" s="359">
        <f t="shared" ca="1" si="288"/>
        <v>-11.653508490695788</v>
      </c>
      <c r="AH592" s="357">
        <f t="shared" ca="1" si="289"/>
        <v>-2.6700598399456097</v>
      </c>
    </row>
    <row r="593" spans="1:34" x14ac:dyDescent="0.25">
      <c r="A593" s="402">
        <f t="shared" ca="1" si="267"/>
        <v>0.1</v>
      </c>
      <c r="B593" s="357">
        <f t="shared" ca="1" si="268"/>
        <v>13.899999999999906</v>
      </c>
      <c r="C593" s="342"/>
      <c r="D593" s="359">
        <f t="shared" ca="1" si="269"/>
        <v>-1.0574798941405841</v>
      </c>
      <c r="E593" s="360">
        <f t="shared" ca="1" si="270"/>
        <v>-12.196357050442955</v>
      </c>
      <c r="F593" s="357">
        <f t="shared" ca="1" si="271"/>
        <v>12.24211538208986</v>
      </c>
      <c r="G593" s="359">
        <f t="shared" ca="1" si="272"/>
        <v>43.16208701228156</v>
      </c>
      <c r="H593" s="360">
        <f t="shared" ca="1" si="273"/>
        <v>96.420521508168974</v>
      </c>
      <c r="I593" s="357">
        <f t="shared" ca="1" si="274"/>
        <v>105.64034609543383</v>
      </c>
      <c r="J593" s="359">
        <f t="shared" ca="1" si="275"/>
        <v>646.33101613961639</v>
      </c>
      <c r="K593" s="360">
        <f t="shared" ca="1" si="276"/>
        <v>2288.1449999975775</v>
      </c>
      <c r="L593" s="357">
        <f t="shared" ca="1" si="261"/>
        <v>2377.6777164784094</v>
      </c>
      <c r="M593" s="359">
        <f t="shared" ca="1" si="277"/>
        <v>1.1499032137625096</v>
      </c>
      <c r="N593" s="357">
        <f t="shared" ca="1" si="278"/>
        <v>65.884600997121524</v>
      </c>
      <c r="O593" s="343"/>
      <c r="P593" s="363">
        <f t="shared" ca="1" si="279"/>
        <v>23</v>
      </c>
      <c r="Q593" s="357">
        <f t="shared" ca="1" si="280"/>
        <v>0</v>
      </c>
      <c r="R593" s="359">
        <f t="shared" ca="1" si="281"/>
        <v>0</v>
      </c>
      <c r="S593" s="360">
        <f t="shared" ca="1" si="282"/>
        <v>9.637999999999975</v>
      </c>
      <c r="T593" s="357">
        <f t="shared" ca="1" si="262"/>
        <v>94.548779999999766</v>
      </c>
      <c r="U593" s="364">
        <f t="shared" ca="1" si="263"/>
        <v>0</v>
      </c>
      <c r="V593" s="359">
        <f t="shared" ca="1" si="264"/>
        <v>0.97347815957789785</v>
      </c>
      <c r="W593" s="357">
        <f t="shared" ca="1" si="265"/>
        <v>24.590392509111659</v>
      </c>
      <c r="X593" s="343"/>
      <c r="Y593" s="367" t="str">
        <f t="shared" ca="1" si="283"/>
        <v/>
      </c>
      <c r="Z593" s="368" t="str">
        <f t="shared" ca="1" si="284"/>
        <v/>
      </c>
      <c r="AA593" s="369" t="str">
        <f t="shared" ca="1" si="285"/>
        <v/>
      </c>
      <c r="AB593" s="344"/>
      <c r="AC593" s="363" t="e">
        <f t="shared" ca="1" si="286"/>
        <v>#N/A</v>
      </c>
      <c r="AD593" s="376" t="e">
        <f t="shared" ca="1" si="287"/>
        <v>#N/A</v>
      </c>
      <c r="AE593" s="377">
        <f t="shared" ca="1" si="266"/>
        <v>2288.1449999975775</v>
      </c>
      <c r="AF593" s="344"/>
      <c r="AG593" s="359">
        <f t="shared" ca="1" si="288"/>
        <v>-11.579007880137128</v>
      </c>
      <c r="AH593" s="357">
        <f t="shared" ca="1" si="289"/>
        <v>-2.6101654542787851</v>
      </c>
    </row>
    <row r="594" spans="1:34" x14ac:dyDescent="0.25">
      <c r="A594" s="402">
        <f t="shared" ca="1" si="267"/>
        <v>0.1</v>
      </c>
      <c r="B594" s="357">
        <f t="shared" ca="1" si="268"/>
        <v>13.999999999999906</v>
      </c>
      <c r="C594" s="342"/>
      <c r="D594" s="359">
        <f t="shared" ca="1" si="269"/>
        <v>-1.042440220800011</v>
      </c>
      <c r="E594" s="360">
        <f t="shared" ca="1" si="270"/>
        <v>-12.138724968790955</v>
      </c>
      <c r="F594" s="357">
        <f t="shared" ca="1" si="271"/>
        <v>12.183403690344113</v>
      </c>
      <c r="G594" s="359">
        <f t="shared" ca="1" si="272"/>
        <v>43.057842990201557</v>
      </c>
      <c r="H594" s="360">
        <f t="shared" ca="1" si="273"/>
        <v>95.206649011289883</v>
      </c>
      <c r="I594" s="357">
        <f t="shared" ca="1" si="274"/>
        <v>104.490592202972</v>
      </c>
      <c r="J594" s="359">
        <f t="shared" ca="1" si="275"/>
        <v>650.64201263974053</v>
      </c>
      <c r="K594" s="360">
        <f t="shared" ca="1" si="276"/>
        <v>2297.7263585235505</v>
      </c>
      <c r="L594" s="357">
        <f t="shared" ca="1" si="261"/>
        <v>2388.070653742428</v>
      </c>
      <c r="M594" s="359">
        <f t="shared" ca="1" si="277"/>
        <v>1.1460673294347472</v>
      </c>
      <c r="N594" s="357">
        <f t="shared" ca="1" si="278"/>
        <v>65.664821014440363</v>
      </c>
      <c r="O594" s="343"/>
      <c r="P594" s="363">
        <f t="shared" ca="1" si="279"/>
        <v>23</v>
      </c>
      <c r="Q594" s="357">
        <f t="shared" ca="1" si="280"/>
        <v>0</v>
      </c>
      <c r="R594" s="359">
        <f t="shared" ca="1" si="281"/>
        <v>0</v>
      </c>
      <c r="S594" s="360">
        <f t="shared" ca="1" si="282"/>
        <v>9.637999999999975</v>
      </c>
      <c r="T594" s="357">
        <f t="shared" ca="1" si="262"/>
        <v>94.548779999999766</v>
      </c>
      <c r="U594" s="364">
        <f t="shared" ca="1" si="263"/>
        <v>0</v>
      </c>
      <c r="V594" s="359">
        <f t="shared" ca="1" si="264"/>
        <v>0.97253347099755838</v>
      </c>
      <c r="W594" s="357">
        <f t="shared" ca="1" si="265"/>
        <v>24.034691720280883</v>
      </c>
      <c r="X594" s="343"/>
      <c r="Y594" s="367" t="str">
        <f t="shared" ca="1" si="283"/>
        <v/>
      </c>
      <c r="Z594" s="368" t="str">
        <f t="shared" ca="1" si="284"/>
        <v/>
      </c>
      <c r="AA594" s="369" t="str">
        <f t="shared" ca="1" si="285"/>
        <v/>
      </c>
      <c r="AB594" s="344"/>
      <c r="AC594" s="363">
        <f t="shared" ca="1" si="286"/>
        <v>13.999999999999906</v>
      </c>
      <c r="AD594" s="376">
        <f t="shared" ca="1" si="287"/>
        <v>650.64201263974053</v>
      </c>
      <c r="AE594" s="377">
        <f t="shared" ca="1" si="266"/>
        <v>2297.7263585235505</v>
      </c>
      <c r="AF594" s="344"/>
      <c r="AG594" s="359">
        <f t="shared" ca="1" si="288"/>
        <v>-11.505226292541114</v>
      </c>
      <c r="AH594" s="357">
        <f t="shared" ca="1" si="289"/>
        <v>-2.5513999283162194</v>
      </c>
    </row>
    <row r="595" spans="1:34" x14ac:dyDescent="0.25">
      <c r="A595" s="402">
        <f t="shared" ca="1" si="267"/>
        <v>0.1</v>
      </c>
      <c r="B595" s="357">
        <f t="shared" ca="1" si="268"/>
        <v>14.099999999999905</v>
      </c>
      <c r="C595" s="342"/>
      <c r="D595" s="359">
        <f t="shared" ca="1" si="269"/>
        <v>-1.0276061938597518</v>
      </c>
      <c r="E595" s="360">
        <f t="shared" ca="1" si="270"/>
        <v>-12.082174717226236</v>
      </c>
      <c r="F595" s="357">
        <f t="shared" ca="1" si="271"/>
        <v>12.125795659965567</v>
      </c>
      <c r="G595" s="359">
        <f t="shared" ca="1" si="272"/>
        <v>42.955082370815582</v>
      </c>
      <c r="H595" s="360">
        <f t="shared" ca="1" si="273"/>
        <v>93.998431539567264</v>
      </c>
      <c r="I595" s="357">
        <f t="shared" ca="1" si="274"/>
        <v>103.34816995661929</v>
      </c>
      <c r="J595" s="359">
        <f t="shared" ca="1" si="275"/>
        <v>654.94265890779138</v>
      </c>
      <c r="K595" s="360">
        <f t="shared" ca="1" si="276"/>
        <v>2307.1866125510933</v>
      </c>
      <c r="L595" s="357">
        <f t="shared" ca="1" si="261"/>
        <v>2398.3452527924737</v>
      </c>
      <c r="M595" s="359">
        <f t="shared" ca="1" si="277"/>
        <v>1.1421558378224459</v>
      </c>
      <c r="N595" s="357">
        <f t="shared" ca="1" si="278"/>
        <v>65.440709053454668</v>
      </c>
      <c r="O595" s="343"/>
      <c r="P595" s="363">
        <f t="shared" ca="1" si="279"/>
        <v>23</v>
      </c>
      <c r="Q595" s="357">
        <f t="shared" ca="1" si="280"/>
        <v>0</v>
      </c>
      <c r="R595" s="359">
        <f t="shared" ca="1" si="281"/>
        <v>0</v>
      </c>
      <c r="S595" s="360">
        <f t="shared" ca="1" si="282"/>
        <v>9.637999999999975</v>
      </c>
      <c r="T595" s="357">
        <f t="shared" ca="1" si="262"/>
        <v>94.548779999999766</v>
      </c>
      <c r="U595" s="364">
        <f t="shared" ca="1" si="263"/>
        <v>0</v>
      </c>
      <c r="V595" s="359">
        <f t="shared" ca="1" si="264"/>
        <v>0.97160151910103487</v>
      </c>
      <c r="W595" s="357">
        <f t="shared" ca="1" si="265"/>
        <v>23.489479017523429</v>
      </c>
      <c r="X595" s="343"/>
      <c r="Y595" s="367" t="str">
        <f t="shared" ca="1" si="283"/>
        <v/>
      </c>
      <c r="Z595" s="368" t="str">
        <f t="shared" ca="1" si="284"/>
        <v/>
      </c>
      <c r="AA595" s="369" t="str">
        <f t="shared" ca="1" si="285"/>
        <v/>
      </c>
      <c r="AB595" s="344"/>
      <c r="AC595" s="363" t="e">
        <f t="shared" ca="1" si="286"/>
        <v>#N/A</v>
      </c>
      <c r="AD595" s="376" t="e">
        <f t="shared" ca="1" si="287"/>
        <v>#N/A</v>
      </c>
      <c r="AE595" s="377">
        <f t="shared" ca="1" si="266"/>
        <v>2307.1866125510933</v>
      </c>
      <c r="AF595" s="344"/>
      <c r="AG595" s="359">
        <f t="shared" ca="1" si="288"/>
        <v>-11.4321284678587</v>
      </c>
      <c r="AH595" s="357">
        <f t="shared" ca="1" si="289"/>
        <v>-2.4937426561818783</v>
      </c>
    </row>
    <row r="596" spans="1:34" x14ac:dyDescent="0.25">
      <c r="A596" s="402">
        <f t="shared" ca="1" si="267"/>
        <v>0.1</v>
      </c>
      <c r="B596" s="357">
        <f t="shared" ca="1" si="268"/>
        <v>14.199999999999905</v>
      </c>
      <c r="C596" s="342"/>
      <c r="D596" s="359">
        <f t="shared" ca="1" si="269"/>
        <v>-1.0129738355617395</v>
      </c>
      <c r="E596" s="360">
        <f t="shared" ca="1" si="270"/>
        <v>-12.026686512469961</v>
      </c>
      <c r="F596" s="357">
        <f t="shared" ca="1" si="271"/>
        <v>12.06927108241254</v>
      </c>
      <c r="G596" s="359">
        <f t="shared" ca="1" si="272"/>
        <v>42.853784987259409</v>
      </c>
      <c r="H596" s="360">
        <f t="shared" ca="1" si="273"/>
        <v>92.795762888320269</v>
      </c>
      <c r="I596" s="357">
        <f t="shared" ca="1" si="274"/>
        <v>102.21301530509517</v>
      </c>
      <c r="J596" s="359">
        <f t="shared" ca="1" si="275"/>
        <v>659.23310227569516</v>
      </c>
      <c r="K596" s="360">
        <f t="shared" ca="1" si="276"/>
        <v>2316.5263222724875</v>
      </c>
      <c r="L596" s="357">
        <f t="shared" ca="1" si="261"/>
        <v>2408.5021247483537</v>
      </c>
      <c r="M596" s="359">
        <f t="shared" ca="1" si="277"/>
        <v>1.1381667304658858</v>
      </c>
      <c r="N596" s="357">
        <f t="shared" ca="1" si="278"/>
        <v>65.212150037899193</v>
      </c>
      <c r="O596" s="343"/>
      <c r="P596" s="363">
        <f t="shared" ca="1" si="279"/>
        <v>23</v>
      </c>
      <c r="Q596" s="357">
        <f t="shared" ca="1" si="280"/>
        <v>0</v>
      </c>
      <c r="R596" s="359">
        <f t="shared" ca="1" si="281"/>
        <v>0</v>
      </c>
      <c r="S596" s="360">
        <f t="shared" ca="1" si="282"/>
        <v>9.637999999999975</v>
      </c>
      <c r="T596" s="357">
        <f t="shared" ca="1" si="262"/>
        <v>94.548779999999766</v>
      </c>
      <c r="U596" s="364">
        <f t="shared" ca="1" si="263"/>
        <v>0</v>
      </c>
      <c r="V596" s="359">
        <f t="shared" ca="1" si="264"/>
        <v>0.97068221740211869</v>
      </c>
      <c r="W596" s="357">
        <f t="shared" ca="1" si="265"/>
        <v>22.954566312738731</v>
      </c>
      <c r="X596" s="343"/>
      <c r="Y596" s="367" t="str">
        <f t="shared" ca="1" si="283"/>
        <v/>
      </c>
      <c r="Z596" s="368" t="str">
        <f t="shared" ca="1" si="284"/>
        <v/>
      </c>
      <c r="AA596" s="369" t="str">
        <f t="shared" ca="1" si="285"/>
        <v/>
      </c>
      <c r="AB596" s="344"/>
      <c r="AC596" s="363" t="e">
        <f t="shared" ca="1" si="286"/>
        <v>#N/A</v>
      </c>
      <c r="AD596" s="376" t="e">
        <f t="shared" ca="1" si="287"/>
        <v>#N/A</v>
      </c>
      <c r="AE596" s="377">
        <f t="shared" ca="1" si="266"/>
        <v>2316.5263222724875</v>
      </c>
      <c r="AF596" s="344"/>
      <c r="AG596" s="359">
        <f t="shared" ca="1" si="288"/>
        <v>-11.359679071521743</v>
      </c>
      <c r="AH596" s="357">
        <f t="shared" ca="1" si="289"/>
        <v>-2.4371735855492314</v>
      </c>
    </row>
    <row r="597" spans="1:34" x14ac:dyDescent="0.25">
      <c r="A597" s="402">
        <f t="shared" ca="1" si="267"/>
        <v>0.1</v>
      </c>
      <c r="B597" s="357">
        <f t="shared" ca="1" si="268"/>
        <v>14.299999999999905</v>
      </c>
      <c r="C597" s="342"/>
      <c r="D597" s="359">
        <f t="shared" ca="1" si="269"/>
        <v>-0.9985392855067956</v>
      </c>
      <c r="E597" s="360">
        <f t="shared" ca="1" si="270"/>
        <v>-11.972241090258645</v>
      </c>
      <c r="F597" s="357">
        <f t="shared" ca="1" si="271"/>
        <v>12.013810279340104</v>
      </c>
      <c r="G597" s="359">
        <f t="shared" ca="1" si="272"/>
        <v>42.75393105870873</v>
      </c>
      <c r="H597" s="360">
        <f t="shared" ca="1" si="273"/>
        <v>91.598538779294401</v>
      </c>
      <c r="I597" s="357">
        <f t="shared" ca="1" si="274"/>
        <v>101.0850677769705</v>
      </c>
      <c r="J597" s="359">
        <f t="shared" ca="1" si="275"/>
        <v>663.51348807799354</v>
      </c>
      <c r="K597" s="360">
        <f t="shared" ca="1" si="276"/>
        <v>2325.7460373558683</v>
      </c>
      <c r="L597" s="357">
        <f t="shared" ca="1" si="261"/>
        <v>2418.5418704537556</v>
      </c>
      <c r="M597" s="359">
        <f t="shared" ca="1" si="277"/>
        <v>1.1340979319438436</v>
      </c>
      <c r="N597" s="357">
        <f t="shared" ca="1" si="278"/>
        <v>64.979025054897107</v>
      </c>
      <c r="O597" s="343"/>
      <c r="P597" s="363">
        <f t="shared" ca="1" si="279"/>
        <v>23</v>
      </c>
      <c r="Q597" s="357">
        <f t="shared" ca="1" si="280"/>
        <v>0</v>
      </c>
      <c r="R597" s="359">
        <f t="shared" ca="1" si="281"/>
        <v>0</v>
      </c>
      <c r="S597" s="360">
        <f t="shared" ca="1" si="282"/>
        <v>9.637999999999975</v>
      </c>
      <c r="T597" s="357">
        <f t="shared" ca="1" si="262"/>
        <v>94.548779999999766</v>
      </c>
      <c r="U597" s="364">
        <f t="shared" ca="1" si="263"/>
        <v>0</v>
      </c>
      <c r="V597" s="359">
        <f t="shared" ca="1" si="264"/>
        <v>0.96977548109757494</v>
      </c>
      <c r="W597" s="357">
        <f t="shared" ca="1" si="265"/>
        <v>22.429770540894204</v>
      </c>
      <c r="X597" s="343"/>
      <c r="Y597" s="367" t="str">
        <f t="shared" ca="1" si="283"/>
        <v/>
      </c>
      <c r="Z597" s="368" t="str">
        <f t="shared" ca="1" si="284"/>
        <v/>
      </c>
      <c r="AA597" s="369" t="str">
        <f t="shared" ca="1" si="285"/>
        <v/>
      </c>
      <c r="AB597" s="344"/>
      <c r="AC597" s="363" t="e">
        <f t="shared" ca="1" si="286"/>
        <v>#N/A</v>
      </c>
      <c r="AD597" s="376" t="e">
        <f t="shared" ca="1" si="287"/>
        <v>#N/A</v>
      </c>
      <c r="AE597" s="377">
        <f t="shared" ca="1" si="266"/>
        <v>2325.7460373558683</v>
      </c>
      <c r="AF597" s="344"/>
      <c r="AG597" s="359">
        <f t="shared" ca="1" si="288"/>
        <v>-11.287842647553443</v>
      </c>
      <c r="AH597" s="357">
        <f t="shared" ca="1" si="289"/>
        <v>-2.3816732011557158</v>
      </c>
    </row>
    <row r="598" spans="1:34" x14ac:dyDescent="0.25">
      <c r="A598" s="402">
        <f t="shared" ca="1" si="267"/>
        <v>0.1</v>
      </c>
      <c r="B598" s="357">
        <f t="shared" ca="1" si="268"/>
        <v>14.399999999999904</v>
      </c>
      <c r="C598" s="342"/>
      <c r="D598" s="359">
        <f t="shared" ca="1" si="269"/>
        <v>-0.98429879795726405</v>
      </c>
      <c r="E598" s="360">
        <f t="shared" ca="1" si="270"/>
        <v>-11.918819689382367</v>
      </c>
      <c r="F598" s="357">
        <f t="shared" ca="1" si="271"/>
        <v>11.959394086310096</v>
      </c>
      <c r="G598" s="359">
        <f t="shared" ca="1" si="272"/>
        <v>42.655501178913006</v>
      </c>
      <c r="H598" s="360">
        <f t="shared" ca="1" si="273"/>
        <v>90.406656810356168</v>
      </c>
      <c r="I598" s="357">
        <f t="shared" ca="1" si="274"/>
        <v>99.964270499262724</v>
      </c>
      <c r="J598" s="359">
        <f t="shared" ca="1" si="275"/>
        <v>667.78395968987468</v>
      </c>
      <c r="K598" s="360">
        <f t="shared" ca="1" si="276"/>
        <v>2334.8462971353511</v>
      </c>
      <c r="L598" s="357">
        <f t="shared" ca="1" si="261"/>
        <v>2428.4650806766294</v>
      </c>
      <c r="M598" s="359">
        <f t="shared" ca="1" si="277"/>
        <v>1.1299472973700131</v>
      </c>
      <c r="N598" s="357">
        <f t="shared" ca="1" si="278"/>
        <v>64.741211211515534</v>
      </c>
      <c r="O598" s="343"/>
      <c r="P598" s="363">
        <f t="shared" ca="1" si="279"/>
        <v>23</v>
      </c>
      <c r="Q598" s="357">
        <f t="shared" ca="1" si="280"/>
        <v>0</v>
      </c>
      <c r="R598" s="359">
        <f t="shared" ca="1" si="281"/>
        <v>0</v>
      </c>
      <c r="S598" s="360">
        <f t="shared" ca="1" si="282"/>
        <v>9.637999999999975</v>
      </c>
      <c r="T598" s="357">
        <f t="shared" ca="1" si="262"/>
        <v>94.548779999999766</v>
      </c>
      <c r="U598" s="364">
        <f t="shared" ca="1" si="263"/>
        <v>0</v>
      </c>
      <c r="V598" s="359">
        <f t="shared" ca="1" si="264"/>
        <v>0.96888122703511514</v>
      </c>
      <c r="W598" s="357">
        <f t="shared" ca="1" si="265"/>
        <v>21.914913512371083</v>
      </c>
      <c r="X598" s="343"/>
      <c r="Y598" s="367" t="str">
        <f t="shared" ca="1" si="283"/>
        <v/>
      </c>
      <c r="Z598" s="368" t="str">
        <f t="shared" ca="1" si="284"/>
        <v/>
      </c>
      <c r="AA598" s="369" t="str">
        <f t="shared" ca="1" si="285"/>
        <v/>
      </c>
      <c r="AB598" s="344"/>
      <c r="AC598" s="363" t="e">
        <f t="shared" ca="1" si="286"/>
        <v>#N/A</v>
      </c>
      <c r="AD598" s="376" t="e">
        <f t="shared" ca="1" si="287"/>
        <v>#N/A</v>
      </c>
      <c r="AE598" s="377">
        <f t="shared" ca="1" si="266"/>
        <v>2334.8462971353511</v>
      </c>
      <c r="AF598" s="344"/>
      <c r="AG598" s="359">
        <f t="shared" ca="1" si="288"/>
        <v>-11.216583570700791</v>
      </c>
      <c r="AH598" s="357">
        <f t="shared" ca="1" si="289"/>
        <v>-2.3272225089120422</v>
      </c>
    </row>
    <row r="599" spans="1:34" x14ac:dyDescent="0.25">
      <c r="A599" s="402">
        <f t="shared" ca="1" si="267"/>
        <v>0.1</v>
      </c>
      <c r="B599" s="357">
        <f t="shared" ca="1" si="268"/>
        <v>14.499999999999904</v>
      </c>
      <c r="C599" s="342"/>
      <c r="D599" s="359">
        <f t="shared" ca="1" si="269"/>
        <v>-0.97024873928105015</v>
      </c>
      <c r="E599" s="360">
        <f t="shared" ca="1" si="270"/>
        <v>-11.866404036256547</v>
      </c>
      <c r="F599" s="357">
        <f t="shared" ca="1" si="271"/>
        <v>11.90600383704634</v>
      </c>
      <c r="G599" s="359">
        <f t="shared" ca="1" si="272"/>
        <v>42.5584763049849</v>
      </c>
      <c r="H599" s="360">
        <f t="shared" ca="1" si="273"/>
        <v>89.220016406730508</v>
      </c>
      <c r="I599" s="357">
        <f t="shared" ca="1" si="274"/>
        <v>98.850570221011992</v>
      </c>
      <c r="J599" s="359">
        <f t="shared" ca="1" si="275"/>
        <v>672.04465856406955</v>
      </c>
      <c r="K599" s="360">
        <f t="shared" ca="1" si="276"/>
        <v>2343.8276307962055</v>
      </c>
      <c r="L599" s="357">
        <f t="shared" ca="1" si="261"/>
        <v>2438.2723363045916</v>
      </c>
      <c r="M599" s="359">
        <f t="shared" ca="1" si="277"/>
        <v>1.1257126097963444</v>
      </c>
      <c r="N599" s="357">
        <f t="shared" ca="1" si="278"/>
        <v>64.498581485987827</v>
      </c>
      <c r="O599" s="343"/>
      <c r="P599" s="363">
        <f t="shared" ca="1" si="279"/>
        <v>23</v>
      </c>
      <c r="Q599" s="357">
        <f t="shared" ca="1" si="280"/>
        <v>0</v>
      </c>
      <c r="R599" s="359">
        <f t="shared" ca="1" si="281"/>
        <v>0</v>
      </c>
      <c r="S599" s="360">
        <f t="shared" ca="1" si="282"/>
        <v>9.637999999999975</v>
      </c>
      <c r="T599" s="357">
        <f t="shared" ca="1" si="262"/>
        <v>94.548779999999766</v>
      </c>
      <c r="U599" s="364">
        <f t="shared" ca="1" si="263"/>
        <v>0</v>
      </c>
      <c r="V599" s="359">
        <f t="shared" ca="1" si="264"/>
        <v>0.96799937368223987</v>
      </c>
      <c r="W599" s="357">
        <f t="shared" ca="1" si="265"/>
        <v>21.409821770588259</v>
      </c>
      <c r="X599" s="343"/>
      <c r="Y599" s="367" t="str">
        <f t="shared" ca="1" si="283"/>
        <v/>
      </c>
      <c r="Z599" s="368" t="str">
        <f t="shared" ca="1" si="284"/>
        <v/>
      </c>
      <c r="AA599" s="369" t="str">
        <f t="shared" ca="1" si="285"/>
        <v/>
      </c>
      <c r="AB599" s="344"/>
      <c r="AC599" s="363" t="e">
        <f t="shared" ca="1" si="286"/>
        <v>#N/A</v>
      </c>
      <c r="AD599" s="376" t="e">
        <f t="shared" ca="1" si="287"/>
        <v>#N/A</v>
      </c>
      <c r="AE599" s="377">
        <f t="shared" ca="1" si="266"/>
        <v>2343.8276307962055</v>
      </c>
      <c r="AF599" s="344"/>
      <c r="AG599" s="359">
        <f t="shared" ca="1" si="288"/>
        <v>-11.145865997484874</v>
      </c>
      <c r="AH599" s="357">
        <f t="shared" ca="1" si="289"/>
        <v>-2.2738030205821893</v>
      </c>
    </row>
    <row r="600" spans="1:34" x14ac:dyDescent="0.25">
      <c r="A600" s="402">
        <f t="shared" ca="1" si="267"/>
        <v>0.1</v>
      </c>
      <c r="B600" s="357">
        <f t="shared" ca="1" si="268"/>
        <v>14.599999999999904</v>
      </c>
      <c r="C600" s="342"/>
      <c r="D600" s="359">
        <f t="shared" ca="1" si="269"/>
        <v>-0.95638558553379105</v>
      </c>
      <c r="E600" s="360">
        <f t="shared" ca="1" si="270"/>
        <v>-11.814976330002933</v>
      </c>
      <c r="F600" s="357">
        <f t="shared" ca="1" si="271"/>
        <v>11.853621348210275</v>
      </c>
      <c r="G600" s="359">
        <f t="shared" ca="1" si="272"/>
        <v>42.462837746431518</v>
      </c>
      <c r="H600" s="360">
        <f t="shared" ca="1" si="273"/>
        <v>88.038518773730218</v>
      </c>
      <c r="I600" s="357">
        <f t="shared" ca="1" si="274"/>
        <v>97.743917341961577</v>
      </c>
      <c r="J600" s="359">
        <f t="shared" ca="1" si="275"/>
        <v>676.29572426664038</v>
      </c>
      <c r="K600" s="360">
        <f t="shared" ca="1" si="276"/>
        <v>2352.6905575552287</v>
      </c>
      <c r="L600" s="357">
        <f t="shared" ca="1" si="261"/>
        <v>2447.9642085355072</v>
      </c>
      <c r="M600" s="359">
        <f t="shared" ca="1" si="277"/>
        <v>1.1213915775209682</v>
      </c>
      <c r="N600" s="357">
        <f t="shared" ca="1" si="278"/>
        <v>64.251004573468961</v>
      </c>
      <c r="O600" s="343"/>
      <c r="P600" s="363">
        <f t="shared" ca="1" si="279"/>
        <v>23</v>
      </c>
      <c r="Q600" s="357">
        <f t="shared" ca="1" si="280"/>
        <v>0</v>
      </c>
      <c r="R600" s="359">
        <f t="shared" ca="1" si="281"/>
        <v>0</v>
      </c>
      <c r="S600" s="360">
        <f t="shared" ca="1" si="282"/>
        <v>9.637999999999975</v>
      </c>
      <c r="T600" s="357">
        <f t="shared" ca="1" si="262"/>
        <v>94.548779999999766</v>
      </c>
      <c r="U600" s="364">
        <f t="shared" ca="1" si="263"/>
        <v>0</v>
      </c>
      <c r="V600" s="359">
        <f t="shared" ca="1" si="264"/>
        <v>0.96712984109592814</v>
      </c>
      <c r="W600" s="357">
        <f t="shared" ca="1" si="265"/>
        <v>20.91432645469213</v>
      </c>
      <c r="X600" s="343"/>
      <c r="Y600" s="367" t="str">
        <f t="shared" ca="1" si="283"/>
        <v/>
      </c>
      <c r="Z600" s="368" t="str">
        <f t="shared" ca="1" si="284"/>
        <v/>
      </c>
      <c r="AA600" s="369" t="str">
        <f t="shared" ca="1" si="285"/>
        <v/>
      </c>
      <c r="AB600" s="344"/>
      <c r="AC600" s="363" t="e">
        <f t="shared" ca="1" si="286"/>
        <v>#N/A</v>
      </c>
      <c r="AD600" s="376" t="e">
        <f t="shared" ca="1" si="287"/>
        <v>#N/A</v>
      </c>
      <c r="AE600" s="377">
        <f t="shared" ca="1" si="266"/>
        <v>2352.6905575552287</v>
      </c>
      <c r="AF600" s="344"/>
      <c r="AG600" s="359">
        <f t="shared" ca="1" si="288"/>
        <v>-11.075653816063083</v>
      </c>
      <c r="AH600" s="357">
        <f t="shared" ca="1" si="289"/>
        <v>-2.221396739011031</v>
      </c>
    </row>
    <row r="601" spans="1:34" x14ac:dyDescent="0.25">
      <c r="A601" s="402">
        <f t="shared" ca="1" si="267"/>
        <v>0.1</v>
      </c>
      <c r="B601" s="357">
        <f t="shared" ca="1" si="268"/>
        <v>14.699999999999903</v>
      </c>
      <c r="C601" s="342"/>
      <c r="D601" s="359">
        <f t="shared" ca="1" si="269"/>
        <v>-0.94270592017618215</v>
      </c>
      <c r="E601" s="360">
        <f t="shared" ca="1" si="270"/>
        <v>-11.764519228016317</v>
      </c>
      <c r="F601" s="357">
        <f t="shared" ca="1" si="271"/>
        <v>11.802228904673084</v>
      </c>
      <c r="G601" s="359">
        <f t="shared" ca="1" si="272"/>
        <v>42.368567154413903</v>
      </c>
      <c r="H601" s="360">
        <f t="shared" ca="1" si="273"/>
        <v>86.862066850928585</v>
      </c>
      <c r="I601" s="357">
        <f t="shared" ca="1" si="274"/>
        <v>96.644265946476452</v>
      </c>
      <c r="J601" s="359">
        <f t="shared" ca="1" si="275"/>
        <v>680.5372945116826</v>
      </c>
      <c r="K601" s="360">
        <f t="shared" ca="1" si="276"/>
        <v>2361.4355868364614</v>
      </c>
      <c r="L601" s="357">
        <f t="shared" ca="1" si="261"/>
        <v>2457.5412590634046</v>
      </c>
      <c r="M601" s="359">
        <f t="shared" ca="1" si="277"/>
        <v>1.1169818312985162</v>
      </c>
      <c r="N601" s="357">
        <f t="shared" ca="1" si="278"/>
        <v>63.998344726198702</v>
      </c>
      <c r="O601" s="343"/>
      <c r="P601" s="363">
        <f t="shared" ca="1" si="279"/>
        <v>23</v>
      </c>
      <c r="Q601" s="357">
        <f t="shared" ca="1" si="280"/>
        <v>0</v>
      </c>
      <c r="R601" s="359">
        <f t="shared" ca="1" si="281"/>
        <v>0</v>
      </c>
      <c r="S601" s="360">
        <f t="shared" ca="1" si="282"/>
        <v>9.637999999999975</v>
      </c>
      <c r="T601" s="357">
        <f t="shared" ca="1" si="262"/>
        <v>94.548779999999766</v>
      </c>
      <c r="U601" s="364">
        <f t="shared" ca="1" si="263"/>
        <v>0</v>
      </c>
      <c r="V601" s="359">
        <f t="shared" ca="1" si="264"/>
        <v>0.96627255089315023</v>
      </c>
      <c r="W601" s="357">
        <f t="shared" ca="1" si="265"/>
        <v>20.428263167109975</v>
      </c>
      <c r="X601" s="343"/>
      <c r="Y601" s="367" t="str">
        <f t="shared" ca="1" si="283"/>
        <v/>
      </c>
      <c r="Z601" s="368" t="str">
        <f t="shared" ca="1" si="284"/>
        <v/>
      </c>
      <c r="AA601" s="369" t="str">
        <f t="shared" ca="1" si="285"/>
        <v/>
      </c>
      <c r="AB601" s="344"/>
      <c r="AC601" s="363" t="e">
        <f t="shared" ca="1" si="286"/>
        <v>#N/A</v>
      </c>
      <c r="AD601" s="376" t="e">
        <f t="shared" ca="1" si="287"/>
        <v>#N/A</v>
      </c>
      <c r="AE601" s="377">
        <f t="shared" ca="1" si="266"/>
        <v>2361.4355868364614</v>
      </c>
      <c r="AF601" s="344"/>
      <c r="AG601" s="359">
        <f t="shared" ca="1" si="288"/>
        <v>-11.005910594795049</v>
      </c>
      <c r="AH601" s="357">
        <f t="shared" ca="1" si="289"/>
        <v>-2.1699861438775869</v>
      </c>
    </row>
    <row r="602" spans="1:34" x14ac:dyDescent="0.25">
      <c r="A602" s="402">
        <f t="shared" ca="1" si="267"/>
        <v>0.1</v>
      </c>
      <c r="B602" s="357">
        <f t="shared" ca="1" si="268"/>
        <v>14.799999999999903</v>
      </c>
      <c r="C602" s="342"/>
      <c r="D602" s="359">
        <f t="shared" ca="1" si="269"/>
        <v>-0.92920643192375574</v>
      </c>
      <c r="E602" s="360">
        <f t="shared" ca="1" si="270"/>
        <v>-11.715015831994346</v>
      </c>
      <c r="F602" s="357">
        <f t="shared" ca="1" si="271"/>
        <v>11.751809245261203</v>
      </c>
      <c r="G602" s="359">
        <f t="shared" ca="1" si="272"/>
        <v>42.275646511221524</v>
      </c>
      <c r="H602" s="360">
        <f t="shared" ca="1" si="273"/>
        <v>85.690565267729156</v>
      </c>
      <c r="I602" s="357">
        <f t="shared" ca="1" si="274"/>
        <v>95.551573842845244</v>
      </c>
      <c r="J602" s="359">
        <f t="shared" ca="1" si="275"/>
        <v>684.76950519496438</v>
      </c>
      <c r="K602" s="360">
        <f t="shared" ca="1" si="276"/>
        <v>2370.0632184423944</v>
      </c>
      <c r="L602" s="357">
        <f t="shared" ca="1" si="261"/>
        <v>2467.0040402598606</v>
      </c>
      <c r="M602" s="359">
        <f t="shared" ca="1" si="277"/>
        <v>1.112480921450816</v>
      </c>
      <c r="N602" s="357">
        <f t="shared" ca="1" si="278"/>
        <v>63.740461587956609</v>
      </c>
      <c r="O602" s="343"/>
      <c r="P602" s="363">
        <f t="shared" ca="1" si="279"/>
        <v>23</v>
      </c>
      <c r="Q602" s="357">
        <f t="shared" ca="1" si="280"/>
        <v>0</v>
      </c>
      <c r="R602" s="359">
        <f t="shared" ca="1" si="281"/>
        <v>0</v>
      </c>
      <c r="S602" s="360">
        <f t="shared" ca="1" si="282"/>
        <v>9.637999999999975</v>
      </c>
      <c r="T602" s="357">
        <f t="shared" ca="1" si="262"/>
        <v>94.548779999999766</v>
      </c>
      <c r="U602" s="364">
        <f t="shared" ca="1" si="263"/>
        <v>0</v>
      </c>
      <c r="V602" s="359">
        <f t="shared" ca="1" si="264"/>
        <v>0.96542742622216959</v>
      </c>
      <c r="W602" s="357">
        <f t="shared" ca="1" si="265"/>
        <v>19.951471845773092</v>
      </c>
      <c r="X602" s="343"/>
      <c r="Y602" s="367" t="str">
        <f t="shared" ca="1" si="283"/>
        <v/>
      </c>
      <c r="Z602" s="368" t="str">
        <f t="shared" ca="1" si="284"/>
        <v/>
      </c>
      <c r="AA602" s="369" t="str">
        <f t="shared" ca="1" si="285"/>
        <v/>
      </c>
      <c r="AB602" s="344"/>
      <c r="AC602" s="363" t="e">
        <f t="shared" ca="1" si="286"/>
        <v>#N/A</v>
      </c>
      <c r="AD602" s="376" t="e">
        <f t="shared" ca="1" si="287"/>
        <v>#N/A</v>
      </c>
      <c r="AE602" s="377">
        <f t="shared" ca="1" si="266"/>
        <v>2370.0632184423944</v>
      </c>
      <c r="AF602" s="344"/>
      <c r="AG602" s="359">
        <f t="shared" ca="1" si="288"/>
        <v>-10.936599529402192</v>
      </c>
      <c r="AH602" s="357">
        <f t="shared" ca="1" si="289"/>
        <v>-2.1195541779528977</v>
      </c>
    </row>
    <row r="603" spans="1:34" x14ac:dyDescent="0.25">
      <c r="A603" s="402">
        <f t="shared" ca="1" si="267"/>
        <v>0.1</v>
      </c>
      <c r="B603" s="357">
        <f t="shared" ca="1" si="268"/>
        <v>14.899999999999903</v>
      </c>
      <c r="C603" s="342"/>
      <c r="D603" s="359">
        <f t="shared" ca="1" si="269"/>
        <v>-0.91588391272665026</v>
      </c>
      <c r="E603" s="360">
        <f t="shared" ca="1" si="270"/>
        <v>-11.666449674408504</v>
      </c>
      <c r="F603" s="357">
        <f t="shared" ca="1" si="271"/>
        <v>11.702345548952902</v>
      </c>
      <c r="G603" s="359">
        <f t="shared" ca="1" si="272"/>
        <v>42.184058119948858</v>
      </c>
      <c r="H603" s="360">
        <f t="shared" ca="1" si="273"/>
        <v>84.52392030028831</v>
      </c>
      <c r="I603" s="357">
        <f t="shared" ca="1" si="274"/>
        <v>94.465802608122232</v>
      </c>
      <c r="J603" s="359">
        <f t="shared" ca="1" si="275"/>
        <v>688.99249042652286</v>
      </c>
      <c r="K603" s="360">
        <f t="shared" ca="1" si="276"/>
        <v>2378.5739427207955</v>
      </c>
      <c r="L603" s="357">
        <f t="shared" ca="1" si="261"/>
        <v>2476.3530953510026</v>
      </c>
      <c r="M603" s="359">
        <f t="shared" ca="1" si="277"/>
        <v>1.1078863148761566</v>
      </c>
      <c r="N603" s="357">
        <f t="shared" ca="1" si="278"/>
        <v>63.477210022705563</v>
      </c>
      <c r="O603" s="343"/>
      <c r="P603" s="363">
        <f t="shared" ca="1" si="279"/>
        <v>23</v>
      </c>
      <c r="Q603" s="357">
        <f t="shared" ca="1" si="280"/>
        <v>0</v>
      </c>
      <c r="R603" s="359">
        <f t="shared" ca="1" si="281"/>
        <v>0</v>
      </c>
      <c r="S603" s="360">
        <f t="shared" ca="1" si="282"/>
        <v>9.637999999999975</v>
      </c>
      <c r="T603" s="357">
        <f t="shared" ca="1" si="262"/>
        <v>94.548779999999766</v>
      </c>
      <c r="U603" s="364">
        <f t="shared" ca="1" si="263"/>
        <v>0</v>
      </c>
      <c r="V603" s="359">
        <f t="shared" ca="1" si="264"/>
        <v>0.96459439173462203</v>
      </c>
      <c r="W603" s="357">
        <f t="shared" ca="1" si="265"/>
        <v>19.483796640825233</v>
      </c>
      <c r="X603" s="343"/>
      <c r="Y603" s="367" t="str">
        <f t="shared" ca="1" si="283"/>
        <v/>
      </c>
      <c r="Z603" s="368" t="str">
        <f t="shared" ca="1" si="284"/>
        <v/>
      </c>
      <c r="AA603" s="369" t="str">
        <f t="shared" ca="1" si="285"/>
        <v/>
      </c>
      <c r="AB603" s="344"/>
      <c r="AC603" s="363" t="e">
        <f t="shared" ca="1" si="286"/>
        <v>#N/A</v>
      </c>
      <c r="AD603" s="376" t="e">
        <f t="shared" ca="1" si="287"/>
        <v>#N/A</v>
      </c>
      <c r="AE603" s="377">
        <f t="shared" ca="1" si="266"/>
        <v>2378.5739427207955</v>
      </c>
      <c r="AF603" s="344"/>
      <c r="AG603" s="359">
        <f t="shared" ca="1" si="288"/>
        <v>-10.867683388608899</v>
      </c>
      <c r="AH603" s="357">
        <f t="shared" ca="1" si="289"/>
        <v>-2.0700842338424095</v>
      </c>
    </row>
    <row r="604" spans="1:34" x14ac:dyDescent="0.25">
      <c r="A604" s="402">
        <f t="shared" ca="1" si="267"/>
        <v>0.1</v>
      </c>
      <c r="B604" s="357">
        <f t="shared" ca="1" si="268"/>
        <v>14.999999999999902</v>
      </c>
      <c r="C604" s="342"/>
      <c r="D604" s="359">
        <f t="shared" ca="1" si="269"/>
        <v>-0.9027352558772056</v>
      </c>
      <c r="E604" s="360">
        <f t="shared" ca="1" si="270"/>
        <v>-11.618804705395135</v>
      </c>
      <c r="F604" s="357">
        <f t="shared" ca="1" si="271"/>
        <v>11.653821421504443</v>
      </c>
      <c r="G604" s="359">
        <f t="shared" ca="1" si="272"/>
        <v>42.093784594361139</v>
      </c>
      <c r="H604" s="360">
        <f t="shared" ca="1" si="273"/>
        <v>83.362039829748795</v>
      </c>
      <c r="I604" s="357">
        <f t="shared" ca="1" si="274"/>
        <v>93.386917638677318</v>
      </c>
      <c r="J604" s="359">
        <f t="shared" ca="1" si="275"/>
        <v>693.20638256223833</v>
      </c>
      <c r="K604" s="360">
        <f t="shared" ca="1" si="276"/>
        <v>2386.9682407272971</v>
      </c>
      <c r="L604" s="357">
        <f t="shared" ca="1" si="261"/>
        <v>2485.588958590256</v>
      </c>
      <c r="M604" s="359">
        <f t="shared" ca="1" si="277"/>
        <v>1.1031953919555897</v>
      </c>
      <c r="N604" s="357">
        <f t="shared" ca="1" si="278"/>
        <v>63.208439937335896</v>
      </c>
      <c r="O604" s="343"/>
      <c r="P604" s="363">
        <f t="shared" ca="1" si="279"/>
        <v>23</v>
      </c>
      <c r="Q604" s="357">
        <f t="shared" ca="1" si="280"/>
        <v>0</v>
      </c>
      <c r="R604" s="359">
        <f t="shared" ca="1" si="281"/>
        <v>0</v>
      </c>
      <c r="S604" s="360">
        <f t="shared" ca="1" si="282"/>
        <v>9.637999999999975</v>
      </c>
      <c r="T604" s="357">
        <f t="shared" ca="1" si="262"/>
        <v>94.548779999999766</v>
      </c>
      <c r="U604" s="364">
        <f t="shared" ca="1" si="263"/>
        <v>0</v>
      </c>
      <c r="V604" s="359">
        <f t="shared" ca="1" si="264"/>
        <v>0.96377337355833559</v>
      </c>
      <c r="W604" s="357">
        <f t="shared" ca="1" si="265"/>
        <v>19.025085795639232</v>
      </c>
      <c r="X604" s="343"/>
      <c r="Y604" s="367" t="str">
        <f t="shared" ca="1" si="283"/>
        <v/>
      </c>
      <c r="Z604" s="368" t="str">
        <f t="shared" ca="1" si="284"/>
        <v/>
      </c>
      <c r="AA604" s="369" t="str">
        <f t="shared" ca="1" si="285"/>
        <v/>
      </c>
      <c r="AB604" s="344"/>
      <c r="AC604" s="363">
        <f t="shared" ca="1" si="286"/>
        <v>14.999999999999902</v>
      </c>
      <c r="AD604" s="376">
        <f t="shared" ca="1" si="287"/>
        <v>693.20638256223833</v>
      </c>
      <c r="AE604" s="377">
        <f t="shared" ca="1" si="266"/>
        <v>2386.9682407272971</v>
      </c>
      <c r="AF604" s="344"/>
      <c r="AG604" s="359">
        <f t="shared" ca="1" si="288"/>
        <v>-10.799124458151494</v>
      </c>
      <c r="AH604" s="357">
        <f t="shared" ca="1" si="289"/>
        <v>-2.0215601411937416</v>
      </c>
    </row>
    <row r="605" spans="1:34" x14ac:dyDescent="0.25">
      <c r="A605" s="402">
        <f t="shared" ca="1" si="267"/>
        <v>0.1</v>
      </c>
      <c r="B605" s="357">
        <f t="shared" ca="1" si="268"/>
        <v>15.099999999999902</v>
      </c>
      <c r="C605" s="342"/>
      <c r="D605" s="359">
        <f t="shared" ca="1" si="269"/>
        <v>-0.88975745424341934</v>
      </c>
      <c r="E605" s="360">
        <f t="shared" ca="1" si="270"/>
        <v>-11.572065280045926</v>
      </c>
      <c r="F605" s="357">
        <f t="shared" ca="1" si="271"/>
        <v>11.606220882484795</v>
      </c>
      <c r="G605" s="359">
        <f t="shared" ca="1" si="272"/>
        <v>42.004808848936797</v>
      </c>
      <c r="H605" s="360">
        <f t="shared" ca="1" si="273"/>
        <v>82.204833301744202</v>
      </c>
      <c r="I605" s="357">
        <f t="shared" ca="1" si="274"/>
        <v>92.314888206633668</v>
      </c>
      <c r="J605" s="359">
        <f t="shared" ca="1" si="275"/>
        <v>697.41131223440323</v>
      </c>
      <c r="K605" s="360">
        <f t="shared" ca="1" si="276"/>
        <v>2395.2465843838718</v>
      </c>
      <c r="L605" s="357">
        <f t="shared" ca="1" si="261"/>
        <v>2494.7121554269775</v>
      </c>
      <c r="M605" s="359">
        <f t="shared" ca="1" si="277"/>
        <v>1.0984054433550452</v>
      </c>
      <c r="N605" s="357">
        <f t="shared" ca="1" si="278"/>
        <v>62.933996098440105</v>
      </c>
      <c r="O605" s="343"/>
      <c r="P605" s="363">
        <f t="shared" ca="1" si="279"/>
        <v>23</v>
      </c>
      <c r="Q605" s="357">
        <f t="shared" ca="1" si="280"/>
        <v>0</v>
      </c>
      <c r="R605" s="359">
        <f t="shared" ca="1" si="281"/>
        <v>0</v>
      </c>
      <c r="S605" s="360">
        <f t="shared" ca="1" si="282"/>
        <v>9.637999999999975</v>
      </c>
      <c r="T605" s="357">
        <f t="shared" ca="1" si="262"/>
        <v>94.548779999999766</v>
      </c>
      <c r="U605" s="364">
        <f t="shared" ca="1" si="263"/>
        <v>0</v>
      </c>
      <c r="V605" s="359">
        <f t="shared" ca="1" si="264"/>
        <v>0.9629642992708789</v>
      </c>
      <c r="W605" s="357">
        <f t="shared" ca="1" si="265"/>
        <v>18.575191531973196</v>
      </c>
      <c r="X605" s="343"/>
      <c r="Y605" s="367" t="str">
        <f t="shared" ca="1" si="283"/>
        <v/>
      </c>
      <c r="Z605" s="368" t="str">
        <f t="shared" ca="1" si="284"/>
        <v/>
      </c>
      <c r="AA605" s="369" t="str">
        <f t="shared" ca="1" si="285"/>
        <v/>
      </c>
      <c r="AB605" s="344"/>
      <c r="AC605" s="363" t="e">
        <f t="shared" ca="1" si="286"/>
        <v>#N/A</v>
      </c>
      <c r="AD605" s="376" t="e">
        <f t="shared" ca="1" si="287"/>
        <v>#N/A</v>
      </c>
      <c r="AE605" s="377">
        <f t="shared" ca="1" si="266"/>
        <v>2395.2465843838718</v>
      </c>
      <c r="AF605" s="344"/>
      <c r="AG605" s="359">
        <f t="shared" ca="1" si="288"/>
        <v>-10.730884483039727</v>
      </c>
      <c r="AH605" s="357">
        <f t="shared" ca="1" si="289"/>
        <v>-1.9739661543514506</v>
      </c>
    </row>
    <row r="606" spans="1:34" x14ac:dyDescent="0.25">
      <c r="A606" s="402">
        <f t="shared" ca="1" si="267"/>
        <v>0.1</v>
      </c>
      <c r="B606" s="357">
        <f t="shared" ca="1" si="268"/>
        <v>15.199999999999902</v>
      </c>
      <c r="C606" s="342"/>
      <c r="D606" s="359">
        <f t="shared" ca="1" si="269"/>
        <v>-0.87694759862658489</v>
      </c>
      <c r="E606" s="360">
        <f t="shared" ca="1" si="270"/>
        <v>-11.526216146077951</v>
      </c>
      <c r="F606" s="357">
        <f t="shared" ca="1" si="271"/>
        <v>11.559528352698695</v>
      </c>
      <c r="G606" s="359">
        <f t="shared" ca="1" si="272"/>
        <v>41.91711408907414</v>
      </c>
      <c r="H606" s="360">
        <f t="shared" ca="1" si="273"/>
        <v>81.052211687136406</v>
      </c>
      <c r="I606" s="357">
        <f t="shared" ca="1" si="274"/>
        <v>91.24968752238459</v>
      </c>
      <c r="J606" s="359">
        <f t="shared" ca="1" si="275"/>
        <v>701.6074083813038</v>
      </c>
      <c r="K606" s="360">
        <f t="shared" ca="1" si="276"/>
        <v>2403.4094366333156</v>
      </c>
      <c r="L606" s="357">
        <f t="shared" ca="1" si="261"/>
        <v>2503.7232026710944</v>
      </c>
      <c r="M606" s="359">
        <f t="shared" ca="1" si="277"/>
        <v>1.0935136667224328</v>
      </c>
      <c r="N606" s="357">
        <f t="shared" ca="1" si="278"/>
        <v>62.653717943070696</v>
      </c>
      <c r="O606" s="343"/>
      <c r="P606" s="363">
        <f t="shared" ca="1" si="279"/>
        <v>23</v>
      </c>
      <c r="Q606" s="357">
        <f t="shared" ca="1" si="280"/>
        <v>0</v>
      </c>
      <c r="R606" s="359">
        <f t="shared" ca="1" si="281"/>
        <v>0</v>
      </c>
      <c r="S606" s="360">
        <f t="shared" ca="1" si="282"/>
        <v>9.637999999999975</v>
      </c>
      <c r="T606" s="357">
        <f t="shared" ca="1" si="262"/>
        <v>94.548779999999766</v>
      </c>
      <c r="U606" s="364">
        <f t="shared" ca="1" si="263"/>
        <v>0</v>
      </c>
      <c r="V606" s="359">
        <f t="shared" ca="1" si="264"/>
        <v>0.96216709787380927</v>
      </c>
      <c r="W606" s="357">
        <f t="shared" ca="1" si="265"/>
        <v>18.133969939104599</v>
      </c>
      <c r="X606" s="343"/>
      <c r="Y606" s="367" t="str">
        <f t="shared" ca="1" si="283"/>
        <v/>
      </c>
      <c r="Z606" s="368" t="str">
        <f t="shared" ca="1" si="284"/>
        <v/>
      </c>
      <c r="AA606" s="369" t="str">
        <f t="shared" ca="1" si="285"/>
        <v/>
      </c>
      <c r="AB606" s="344"/>
      <c r="AC606" s="363" t="e">
        <f t="shared" ca="1" si="286"/>
        <v>#N/A</v>
      </c>
      <c r="AD606" s="376" t="e">
        <f t="shared" ca="1" si="287"/>
        <v>#N/A</v>
      </c>
      <c r="AE606" s="377">
        <f t="shared" ca="1" si="266"/>
        <v>2403.4094366333156</v>
      </c>
      <c r="AF606" s="344"/>
      <c r="AG606" s="359">
        <f t="shared" ca="1" si="288"/>
        <v>-10.662924607954192</v>
      </c>
      <c r="AH606" s="357">
        <f t="shared" ca="1" si="289"/>
        <v>-1.9272869404412996</v>
      </c>
    </row>
    <row r="607" spans="1:34" x14ac:dyDescent="0.25">
      <c r="A607" s="402">
        <f t="shared" ca="1" si="267"/>
        <v>0.1</v>
      </c>
      <c r="B607" s="357">
        <f t="shared" ca="1" si="268"/>
        <v>15.299999999999901</v>
      </c>
      <c r="C607" s="342"/>
      <c r="D607" s="359">
        <f t="shared" ca="1" si="269"/>
        <v>-0.86430287624164504</v>
      </c>
      <c r="E607" s="360">
        <f t="shared" ca="1" si="270"/>
        <v>-11.48124243186385</v>
      </c>
      <c r="F607" s="357">
        <f t="shared" ca="1" si="271"/>
        <v>11.513728641978258</v>
      </c>
      <c r="G607" s="359">
        <f t="shared" ca="1" si="272"/>
        <v>41.830683801449972</v>
      </c>
      <c r="H607" s="360">
        <f t="shared" ca="1" si="273"/>
        <v>79.904087443950019</v>
      </c>
      <c r="I607" s="357">
        <f t="shared" ca="1" si="274"/>
        <v>90.191292803392614</v>
      </c>
      <c r="J607" s="359">
        <f t="shared" ca="1" si="275"/>
        <v>705.79479827582998</v>
      </c>
      <c r="K607" s="360">
        <f t="shared" ca="1" si="276"/>
        <v>2411.4572515898699</v>
      </c>
      <c r="L607" s="357">
        <f t="shared" ca="1" si="261"/>
        <v>2512.6226086538722</v>
      </c>
      <c r="M607" s="359">
        <f t="shared" ca="1" si="277"/>
        <v>1.0885171632793544</v>
      </c>
      <c r="N607" s="357">
        <f t="shared" ca="1" si="278"/>
        <v>62.367439383459718</v>
      </c>
      <c r="O607" s="343"/>
      <c r="P607" s="363">
        <f t="shared" ca="1" si="279"/>
        <v>23</v>
      </c>
      <c r="Q607" s="357">
        <f t="shared" ca="1" si="280"/>
        <v>0</v>
      </c>
      <c r="R607" s="359">
        <f t="shared" ca="1" si="281"/>
        <v>0</v>
      </c>
      <c r="S607" s="360">
        <f t="shared" ca="1" si="282"/>
        <v>9.637999999999975</v>
      </c>
      <c r="T607" s="357">
        <f t="shared" ca="1" si="262"/>
        <v>94.548779999999766</v>
      </c>
      <c r="U607" s="364">
        <f t="shared" ca="1" si="263"/>
        <v>0</v>
      </c>
      <c r="V607" s="359">
        <f t="shared" ca="1" si="264"/>
        <v>0.96138169976760179</v>
      </c>
      <c r="W607" s="357">
        <f t="shared" ca="1" si="265"/>
        <v>17.701280866787695</v>
      </c>
      <c r="X607" s="343"/>
      <c r="Y607" s="367" t="str">
        <f t="shared" ca="1" si="283"/>
        <v/>
      </c>
      <c r="Z607" s="368" t="str">
        <f t="shared" ca="1" si="284"/>
        <v/>
      </c>
      <c r="AA607" s="369" t="str">
        <f t="shared" ca="1" si="285"/>
        <v/>
      </c>
      <c r="AB607" s="344"/>
      <c r="AC607" s="363" t="e">
        <f t="shared" ca="1" si="286"/>
        <v>#N/A</v>
      </c>
      <c r="AD607" s="376" t="e">
        <f t="shared" ca="1" si="287"/>
        <v>#N/A</v>
      </c>
      <c r="AE607" s="377">
        <f t="shared" ca="1" si="266"/>
        <v>2411.4572515898699</v>
      </c>
      <c r="AF607" s="344"/>
      <c r="AG607" s="359">
        <f t="shared" ca="1" si="288"/>
        <v>-10.59520531566235</v>
      </c>
      <c r="AH607" s="357">
        <f t="shared" ca="1" si="289"/>
        <v>-1.8815075678672595</v>
      </c>
    </row>
    <row r="608" spans="1:34" x14ac:dyDescent="0.25">
      <c r="A608" s="402">
        <f t="shared" ca="1" si="267"/>
        <v>0.1</v>
      </c>
      <c r="B608" s="357">
        <f t="shared" ca="1" si="268"/>
        <v>15.399999999999901</v>
      </c>
      <c r="C608" s="342"/>
      <c r="D608" s="359">
        <f t="shared" ca="1" si="269"/>
        <v>-0.85182056931902406</v>
      </c>
      <c r="E608" s="360">
        <f t="shared" ca="1" si="270"/>
        <v>-11.437129634803227</v>
      </c>
      <c r="F608" s="357">
        <f t="shared" ca="1" si="271"/>
        <v>11.468806937323917</v>
      </c>
      <c r="G608" s="359">
        <f t="shared" ca="1" si="272"/>
        <v>41.745501744518066</v>
      </c>
      <c r="H608" s="360">
        <f t="shared" ca="1" si="273"/>
        <v>78.760374480469693</v>
      </c>
      <c r="I608" s="357">
        <f t="shared" ca="1" si="274"/>
        <v>89.139685349486086</v>
      </c>
      <c r="J608" s="359">
        <f t="shared" ca="1" si="275"/>
        <v>709.97360755312843</v>
      </c>
      <c r="K608" s="360">
        <f t="shared" ca="1" si="276"/>
        <v>2419.3904746860908</v>
      </c>
      <c r="L608" s="357">
        <f t="shared" ca="1" si="261"/>
        <v>2521.4108733849371</v>
      </c>
      <c r="M608" s="359">
        <f t="shared" ca="1" si="277"/>
        <v>1.083412934307596</v>
      </c>
      <c r="N608" s="357">
        <f t="shared" ca="1" si="278"/>
        <v>62.074988605709564</v>
      </c>
      <c r="O608" s="343"/>
      <c r="P608" s="363">
        <f t="shared" ca="1" si="279"/>
        <v>23</v>
      </c>
      <c r="Q608" s="357">
        <f t="shared" ca="1" si="280"/>
        <v>0</v>
      </c>
      <c r="R608" s="359">
        <f t="shared" ca="1" si="281"/>
        <v>0</v>
      </c>
      <c r="S608" s="360">
        <f t="shared" ca="1" si="282"/>
        <v>9.637999999999975</v>
      </c>
      <c r="T608" s="357">
        <f t="shared" ca="1" si="262"/>
        <v>94.548779999999766</v>
      </c>
      <c r="U608" s="364">
        <f t="shared" ca="1" si="263"/>
        <v>0</v>
      </c>
      <c r="V608" s="359">
        <f t="shared" ca="1" si="264"/>
        <v>0.96060803672723782</v>
      </c>
      <c r="W608" s="357">
        <f t="shared" ca="1" si="265"/>
        <v>17.276987821886532</v>
      </c>
      <c r="X608" s="343"/>
      <c r="Y608" s="367" t="str">
        <f t="shared" ca="1" si="283"/>
        <v/>
      </c>
      <c r="Z608" s="368" t="str">
        <f t="shared" ca="1" si="284"/>
        <v/>
      </c>
      <c r="AA608" s="369" t="str">
        <f t="shared" ca="1" si="285"/>
        <v/>
      </c>
      <c r="AB608" s="344"/>
      <c r="AC608" s="363" t="e">
        <f t="shared" ca="1" si="286"/>
        <v>#N/A</v>
      </c>
      <c r="AD608" s="376" t="e">
        <f t="shared" ca="1" si="287"/>
        <v>#N/A</v>
      </c>
      <c r="AE608" s="377">
        <f t="shared" ca="1" si="266"/>
        <v>2419.3904746860908</v>
      </c>
      <c r="AF608" s="344"/>
      <c r="AG608" s="359">
        <f t="shared" ca="1" si="288"/>
        <v>-10.527686363335377</v>
      </c>
      <c r="AH608" s="357">
        <f t="shared" ca="1" si="289"/>
        <v>-1.8366134952052025</v>
      </c>
    </row>
    <row r="609" spans="1:34" x14ac:dyDescent="0.25">
      <c r="A609" s="402">
        <f t="shared" ca="1" si="267"/>
        <v>0.1</v>
      </c>
      <c r="B609" s="357">
        <f t="shared" ca="1" si="268"/>
        <v>15.499999999999901</v>
      </c>
      <c r="C609" s="342"/>
      <c r="D609" s="359">
        <f t="shared" ca="1" si="269"/>
        <v>-0.83949805382693921</v>
      </c>
      <c r="E609" s="360">
        <f t="shared" ca="1" si="270"/>
        <v>-11.393863610016806</v>
      </c>
      <c r="F609" s="357">
        <f t="shared" ca="1" si="271"/>
        <v>11.424748791375871</v>
      </c>
      <c r="G609" s="359">
        <f t="shared" ca="1" si="272"/>
        <v>41.661551939135371</v>
      </c>
      <c r="H609" s="360">
        <f t="shared" ca="1" si="273"/>
        <v>77.620988119468009</v>
      </c>
      <c r="I609" s="357">
        <f t="shared" ca="1" si="274"/>
        <v>88.094850624879697</v>
      </c>
      <c r="J609" s="359">
        <f t="shared" ca="1" si="275"/>
        <v>714.14396023731115</v>
      </c>
      <c r="K609" s="360">
        <f t="shared" ca="1" si="276"/>
        <v>2427.2095428160878</v>
      </c>
      <c r="L609" s="357">
        <f t="shared" ca="1" si="261"/>
        <v>2530.0884887056645</v>
      </c>
      <c r="M609" s="359">
        <f t="shared" ca="1" si="277"/>
        <v>1.0781978775312027</v>
      </c>
      <c r="N609" s="357">
        <f t="shared" ca="1" si="278"/>
        <v>61.776187862501125</v>
      </c>
      <c r="O609" s="343"/>
      <c r="P609" s="363">
        <f t="shared" ca="1" si="279"/>
        <v>23</v>
      </c>
      <c r="Q609" s="357">
        <f t="shared" ca="1" si="280"/>
        <v>0</v>
      </c>
      <c r="R609" s="359">
        <f t="shared" ca="1" si="281"/>
        <v>0</v>
      </c>
      <c r="S609" s="360">
        <f t="shared" ca="1" si="282"/>
        <v>9.637999999999975</v>
      </c>
      <c r="T609" s="357">
        <f t="shared" ca="1" si="262"/>
        <v>94.548779999999766</v>
      </c>
      <c r="U609" s="364">
        <f t="shared" ca="1" si="263"/>
        <v>0</v>
      </c>
      <c r="V609" s="359">
        <f t="shared" ca="1" si="264"/>
        <v>0.95984604187843547</v>
      </c>
      <c r="W609" s="357">
        <f t="shared" ca="1" si="265"/>
        <v>16.860957868541906</v>
      </c>
      <c r="X609" s="343"/>
      <c r="Y609" s="367" t="str">
        <f t="shared" ca="1" si="283"/>
        <v/>
      </c>
      <c r="Z609" s="368" t="str">
        <f t="shared" ca="1" si="284"/>
        <v/>
      </c>
      <c r="AA609" s="369" t="str">
        <f t="shared" ca="1" si="285"/>
        <v/>
      </c>
      <c r="AB609" s="344"/>
      <c r="AC609" s="363" t="e">
        <f t="shared" ca="1" si="286"/>
        <v>#N/A</v>
      </c>
      <c r="AD609" s="376" t="e">
        <f t="shared" ca="1" si="287"/>
        <v>#N/A</v>
      </c>
      <c r="AE609" s="377">
        <f t="shared" ca="1" si="266"/>
        <v>2427.2095428160878</v>
      </c>
      <c r="AF609" s="344"/>
      <c r="AG609" s="359">
        <f t="shared" ca="1" si="288"/>
        <v>-10.460326716648522</v>
      </c>
      <c r="AH609" s="357">
        <f t="shared" ca="1" si="289"/>
        <v>-1.7925905604779599</v>
      </c>
    </row>
    <row r="610" spans="1:34" x14ac:dyDescent="0.25">
      <c r="A610" s="402">
        <f t="shared" ca="1" si="267"/>
        <v>0.1</v>
      </c>
      <c r="B610" s="357">
        <f t="shared" ca="1" si="268"/>
        <v>15.5999999999999</v>
      </c>
      <c r="C610" s="342"/>
      <c r="D610" s="359">
        <f t="shared" ca="1" si="269"/>
        <v>-0.82733279831338757</v>
      </c>
      <c r="E610" s="360">
        <f t="shared" ca="1" si="270"/>
        <v>-11.351430559345181</v>
      </c>
      <c r="F610" s="357">
        <f t="shared" ca="1" si="271"/>
        <v>11.381540111197635</v>
      </c>
      <c r="G610" s="359">
        <f t="shared" ca="1" si="272"/>
        <v>41.578818659304034</v>
      </c>
      <c r="H610" s="360">
        <f t="shared" ca="1" si="273"/>
        <v>76.485845063533489</v>
      </c>
      <c r="I610" s="357">
        <f t="shared" ca="1" si="274"/>
        <v>87.05677834715766</v>
      </c>
      <c r="J610" s="359">
        <f t="shared" ca="1" si="275"/>
        <v>718.30597876723311</v>
      </c>
      <c r="K610" s="360">
        <f t="shared" ca="1" si="276"/>
        <v>2434.9148844752381</v>
      </c>
      <c r="L610" s="357">
        <f t="shared" ca="1" si="261"/>
        <v>2538.6559384390425</v>
      </c>
      <c r="M610" s="359">
        <f t="shared" ca="1" si="277"/>
        <v>1.0728687833956836</v>
      </c>
      <c r="N610" s="357">
        <f t="shared" ca="1" si="278"/>
        <v>61.470853259907962</v>
      </c>
      <c r="O610" s="343"/>
      <c r="P610" s="363">
        <f t="shared" ca="1" si="279"/>
        <v>23</v>
      </c>
      <c r="Q610" s="357">
        <f t="shared" ca="1" si="280"/>
        <v>0</v>
      </c>
      <c r="R610" s="359">
        <f t="shared" ca="1" si="281"/>
        <v>0</v>
      </c>
      <c r="S610" s="360">
        <f t="shared" ca="1" si="282"/>
        <v>9.637999999999975</v>
      </c>
      <c r="T610" s="357">
        <f t="shared" ca="1" si="262"/>
        <v>94.548779999999766</v>
      </c>
      <c r="U610" s="364">
        <f t="shared" ca="1" si="263"/>
        <v>0</v>
      </c>
      <c r="V610" s="359">
        <f t="shared" ca="1" si="264"/>
        <v>0.95909564967449767</v>
      </c>
      <c r="W610" s="357">
        <f t="shared" ca="1" si="265"/>
        <v>16.453061531736857</v>
      </c>
      <c r="X610" s="343"/>
      <c r="Y610" s="367" t="str">
        <f t="shared" ca="1" si="283"/>
        <v/>
      </c>
      <c r="Z610" s="368" t="str">
        <f t="shared" ca="1" si="284"/>
        <v/>
      </c>
      <c r="AA610" s="369" t="str">
        <f t="shared" ca="1" si="285"/>
        <v/>
      </c>
      <c r="AB610" s="344"/>
      <c r="AC610" s="363" t="e">
        <f t="shared" ca="1" si="286"/>
        <v>#N/A</v>
      </c>
      <c r="AD610" s="376" t="e">
        <f t="shared" ca="1" si="287"/>
        <v>#N/A</v>
      </c>
      <c r="AE610" s="377">
        <f t="shared" ca="1" si="266"/>
        <v>2434.9148844752381</v>
      </c>
      <c r="AF610" s="344"/>
      <c r="AG610" s="359">
        <f t="shared" ca="1" si="288"/>
        <v>-10.393084481548627</v>
      </c>
      <c r="AH610" s="357">
        <f t="shared" ca="1" si="289"/>
        <v>-1.7494249707970482</v>
      </c>
    </row>
    <row r="611" spans="1:34" x14ac:dyDescent="0.25">
      <c r="A611" s="402">
        <f t="shared" ca="1" si="267"/>
        <v>0.1</v>
      </c>
      <c r="B611" s="357">
        <f t="shared" ca="1" si="268"/>
        <v>15.6999999999999</v>
      </c>
      <c r="C611" s="342"/>
      <c r="D611" s="359">
        <f t="shared" ca="1" si="269"/>
        <v>-0.81532236286722848</v>
      </c>
      <c r="E611" s="360">
        <f t="shared" ca="1" si="270"/>
        <v>-11.309817020634437</v>
      </c>
      <c r="F611" s="357">
        <f t="shared" ca="1" si="271"/>
        <v>11.339167147353628</v>
      </c>
      <c r="G611" s="359">
        <f t="shared" ca="1" si="272"/>
        <v>41.497286423017307</v>
      </c>
      <c r="H611" s="360">
        <f t="shared" ca="1" si="273"/>
        <v>75.354863361470052</v>
      </c>
      <c r="I611" s="357">
        <f t="shared" ca="1" si="274"/>
        <v>86.02546258346861</v>
      </c>
      <c r="J611" s="359">
        <f t="shared" ca="1" si="275"/>
        <v>722.45978402134915</v>
      </c>
      <c r="K611" s="360">
        <f t="shared" ca="1" si="276"/>
        <v>2442.5069198964884</v>
      </c>
      <c r="L611" s="357">
        <f t="shared" ca="1" si="261"/>
        <v>2547.1136985361304</v>
      </c>
      <c r="M611" s="359">
        <f t="shared" ca="1" si="277"/>
        <v>1.0674223312467539</v>
      </c>
      <c r="N611" s="357">
        <f t="shared" ca="1" si="278"/>
        <v>61.158794538454337</v>
      </c>
      <c r="O611" s="343"/>
      <c r="P611" s="363">
        <f t="shared" ca="1" si="279"/>
        <v>23</v>
      </c>
      <c r="Q611" s="357">
        <f t="shared" ca="1" si="280"/>
        <v>0</v>
      </c>
      <c r="R611" s="359">
        <f t="shared" ca="1" si="281"/>
        <v>0</v>
      </c>
      <c r="S611" s="360">
        <f t="shared" ca="1" si="282"/>
        <v>9.637999999999975</v>
      </c>
      <c r="T611" s="357">
        <f t="shared" ca="1" si="262"/>
        <v>94.548779999999766</v>
      </c>
      <c r="U611" s="364">
        <f t="shared" ca="1" si="263"/>
        <v>0</v>
      </c>
      <c r="V611" s="359">
        <f t="shared" ca="1" si="264"/>
        <v>0.95835679587376521</v>
      </c>
      <c r="W611" s="357">
        <f t="shared" ca="1" si="265"/>
        <v>16.053172704130787</v>
      </c>
      <c r="X611" s="343"/>
      <c r="Y611" s="367" t="str">
        <f t="shared" ca="1" si="283"/>
        <v/>
      </c>
      <c r="Z611" s="368" t="str">
        <f t="shared" ca="1" si="284"/>
        <v/>
      </c>
      <c r="AA611" s="369" t="str">
        <f t="shared" ca="1" si="285"/>
        <v/>
      </c>
      <c r="AB611" s="344"/>
      <c r="AC611" s="363" t="e">
        <f t="shared" ca="1" si="286"/>
        <v>#N/A</v>
      </c>
      <c r="AD611" s="376" t="e">
        <f t="shared" ca="1" si="287"/>
        <v>#N/A</v>
      </c>
      <c r="AE611" s="377">
        <f t="shared" ca="1" si="266"/>
        <v>2442.5069198964884</v>
      </c>
      <c r="AF611" s="344"/>
      <c r="AG611" s="359">
        <f t="shared" ca="1" si="288"/>
        <v>-10.325916833574636</v>
      </c>
      <c r="AH611" s="357">
        <f t="shared" ca="1" si="289"/>
        <v>-1.707103292357014</v>
      </c>
    </row>
    <row r="612" spans="1:34" x14ac:dyDescent="0.25">
      <c r="A612" s="402">
        <f t="shared" ca="1" si="267"/>
        <v>0.1</v>
      </c>
      <c r="B612" s="357">
        <f t="shared" ca="1" si="268"/>
        <v>15.799999999999899</v>
      </c>
      <c r="C612" s="342"/>
      <c r="D612" s="359">
        <f t="shared" ca="1" si="269"/>
        <v>-0.80346439819797144</v>
      </c>
      <c r="E612" s="360">
        <f t="shared" ca="1" si="270"/>
        <v>-11.269009857291088</v>
      </c>
      <c r="F612" s="357">
        <f t="shared" ca="1" si="271"/>
        <v>11.297616483262978</v>
      </c>
      <c r="G612" s="359">
        <f t="shared" ca="1" si="272"/>
        <v>41.416939983197508</v>
      </c>
      <c r="H612" s="360">
        <f t="shared" ca="1" si="273"/>
        <v>74.227962375740944</v>
      </c>
      <c r="I612" s="357">
        <f t="shared" ca="1" si="274"/>
        <v>85.000901854193273</v>
      </c>
      <c r="J612" s="359">
        <f t="shared" ca="1" si="275"/>
        <v>726.60549534165989</v>
      </c>
      <c r="K612" s="360">
        <f t="shared" ca="1" si="276"/>
        <v>2449.9860611833487</v>
      </c>
      <c r="L612" s="357">
        <f t="shared" ca="1" si="261"/>
        <v>2555.4622372192075</v>
      </c>
      <c r="M612" s="359">
        <f t="shared" ca="1" si="277"/>
        <v>1.0618550854120226</v>
      </c>
      <c r="N612" s="357">
        <f t="shared" ca="1" si="278"/>
        <v>60.839814848612441</v>
      </c>
      <c r="O612" s="343"/>
      <c r="P612" s="363">
        <f t="shared" ca="1" si="279"/>
        <v>23</v>
      </c>
      <c r="Q612" s="357">
        <f t="shared" ca="1" si="280"/>
        <v>0</v>
      </c>
      <c r="R612" s="359">
        <f t="shared" ca="1" si="281"/>
        <v>0</v>
      </c>
      <c r="S612" s="360">
        <f t="shared" ca="1" si="282"/>
        <v>9.637999999999975</v>
      </c>
      <c r="T612" s="357">
        <f t="shared" ca="1" si="262"/>
        <v>94.548779999999766</v>
      </c>
      <c r="U612" s="364">
        <f t="shared" ca="1" si="263"/>
        <v>0</v>
      </c>
      <c r="V612" s="359">
        <f t="shared" ca="1" si="264"/>
        <v>0.95762941751765107</v>
      </c>
      <c r="W612" s="357">
        <f t="shared" ca="1" si="265"/>
        <v>15.661168556037998</v>
      </c>
      <c r="X612" s="343"/>
      <c r="Y612" s="367" t="str">
        <f t="shared" ca="1" si="283"/>
        <v/>
      </c>
      <c r="Z612" s="368" t="str">
        <f t="shared" ca="1" si="284"/>
        <v/>
      </c>
      <c r="AA612" s="369" t="str">
        <f t="shared" ca="1" si="285"/>
        <v/>
      </c>
      <c r="AB612" s="344"/>
      <c r="AC612" s="363" t="e">
        <f t="shared" ca="1" si="286"/>
        <v>#N/A</v>
      </c>
      <c r="AD612" s="376" t="e">
        <f t="shared" ca="1" si="287"/>
        <v>#N/A</v>
      </c>
      <c r="AE612" s="377">
        <f t="shared" ca="1" si="266"/>
        <v>2449.9860611833487</v>
      </c>
      <c r="AF612" s="344"/>
      <c r="AG612" s="359">
        <f t="shared" ca="1" si="288"/>
        <v>-10.258779944620018</v>
      </c>
      <c r="AH612" s="357">
        <f t="shared" ca="1" si="289"/>
        <v>-1.6656124407689177</v>
      </c>
    </row>
    <row r="613" spans="1:34" x14ac:dyDescent="0.25">
      <c r="A613" s="402">
        <f t="shared" ca="1" si="267"/>
        <v>0.1</v>
      </c>
      <c r="B613" s="357">
        <f t="shared" ca="1" si="268"/>
        <v>15.899999999999899</v>
      </c>
      <c r="C613" s="342"/>
      <c r="D613" s="359">
        <f t="shared" ca="1" si="269"/>
        <v>-0.79175664483407793</v>
      </c>
      <c r="E613" s="360">
        <f t="shared" ca="1" si="270"/>
        <v>-11.228996248089055</v>
      </c>
      <c r="F613" s="357">
        <f t="shared" ca="1" si="271"/>
        <v>11.256875024812038</v>
      </c>
      <c r="G613" s="359">
        <f t="shared" ca="1" si="272"/>
        <v>41.3377643187141</v>
      </c>
      <c r="H613" s="360">
        <f t="shared" ca="1" si="273"/>
        <v>73.105062750932035</v>
      </c>
      <c r="I613" s="357">
        <f t="shared" ca="1" si="274"/>
        <v>83.983099244355486</v>
      </c>
      <c r="J613" s="359">
        <f t="shared" ca="1" si="275"/>
        <v>730.74323055675552</v>
      </c>
      <c r="K613" s="360">
        <f t="shared" ca="1" si="276"/>
        <v>2457.3527124396824</v>
      </c>
      <c r="L613" s="357">
        <f t="shared" ca="1" si="261"/>
        <v>2563.7020151217239</v>
      </c>
      <c r="M613" s="359">
        <f t="shared" ca="1" si="277"/>
        <v>1.0561634911901892</v>
      </c>
      <c r="N613" s="357">
        <f t="shared" ca="1" si="278"/>
        <v>60.513710521000341</v>
      </c>
      <c r="O613" s="343"/>
      <c r="P613" s="363">
        <f t="shared" ca="1" si="279"/>
        <v>23</v>
      </c>
      <c r="Q613" s="357">
        <f t="shared" ca="1" si="280"/>
        <v>0</v>
      </c>
      <c r="R613" s="359">
        <f t="shared" ca="1" si="281"/>
        <v>0</v>
      </c>
      <c r="S613" s="360">
        <f t="shared" ca="1" si="282"/>
        <v>9.637999999999975</v>
      </c>
      <c r="T613" s="357">
        <f t="shared" ca="1" si="262"/>
        <v>94.548779999999766</v>
      </c>
      <c r="U613" s="364">
        <f t="shared" ca="1" si="263"/>
        <v>0</v>
      </c>
      <c r="V613" s="359">
        <f t="shared" ca="1" si="264"/>
        <v>0.95691345290924212</v>
      </c>
      <c r="W613" s="357">
        <f t="shared" ca="1" si="265"/>
        <v>15.276929448431382</v>
      </c>
      <c r="X613" s="343"/>
      <c r="Y613" s="367" t="str">
        <f t="shared" ca="1" si="283"/>
        <v/>
      </c>
      <c r="Z613" s="368" t="str">
        <f t="shared" ca="1" si="284"/>
        <v/>
      </c>
      <c r="AA613" s="369" t="str">
        <f t="shared" ca="1" si="285"/>
        <v/>
      </c>
      <c r="AB613" s="344"/>
      <c r="AC613" s="363" t="e">
        <f t="shared" ca="1" si="286"/>
        <v>#N/A</v>
      </c>
      <c r="AD613" s="376" t="e">
        <f t="shared" ca="1" si="287"/>
        <v>#N/A</v>
      </c>
      <c r="AE613" s="377">
        <f t="shared" ca="1" si="266"/>
        <v>2457.3527124396824</v>
      </c>
      <c r="AF613" s="344"/>
      <c r="AG613" s="359">
        <f t="shared" ca="1" si="288"/>
        <v>-10.19162890703077</v>
      </c>
      <c r="AH613" s="357">
        <f t="shared" ca="1" si="289"/>
        <v>-1.6249396717200704</v>
      </c>
    </row>
    <row r="614" spans="1:34" x14ac:dyDescent="0.25">
      <c r="A614" s="402">
        <f t="shared" ca="1" si="267"/>
        <v>0.1</v>
      </c>
      <c r="B614" s="357">
        <f t="shared" ca="1" si="268"/>
        <v>15.999999999999899</v>
      </c>
      <c r="C614" s="342"/>
      <c r="D614" s="359">
        <f t="shared" ca="1" si="269"/>
        <v>-0.78019693243975718</v>
      </c>
      <c r="E614" s="360">
        <f t="shared" ca="1" si="270"/>
        <v>-11.189763677211545</v>
      </c>
      <c r="F614" s="357">
        <f t="shared" ca="1" si="271"/>
        <v>11.216929990208159</v>
      </c>
      <c r="G614" s="359">
        <f t="shared" ca="1" si="272"/>
        <v>41.259744625470127</v>
      </c>
      <c r="H614" s="360">
        <f t="shared" ca="1" si="273"/>
        <v>71.986086383210875</v>
      </c>
      <c r="I614" s="357">
        <f t="shared" ca="1" si="274"/>
        <v>82.972062523057176</v>
      </c>
      <c r="J614" s="359">
        <f t="shared" ca="1" si="275"/>
        <v>734.87310600396472</v>
      </c>
      <c r="K614" s="360">
        <f t="shared" ca="1" si="276"/>
        <v>2464.6072698963894</v>
      </c>
      <c r="L614" s="357">
        <f t="shared" ca="1" si="261"/>
        <v>2571.8334854251448</v>
      </c>
      <c r="M614" s="359">
        <f t="shared" ca="1" si="277"/>
        <v>1.0503438707536321</v>
      </c>
      <c r="N614" s="357">
        <f t="shared" ca="1" si="278"/>
        <v>60.180270831617541</v>
      </c>
      <c r="O614" s="343"/>
      <c r="P614" s="363">
        <f t="shared" ca="1" si="279"/>
        <v>23</v>
      </c>
      <c r="Q614" s="357">
        <f t="shared" ca="1" si="280"/>
        <v>0</v>
      </c>
      <c r="R614" s="359">
        <f t="shared" ca="1" si="281"/>
        <v>0</v>
      </c>
      <c r="S614" s="360">
        <f t="shared" ca="1" si="282"/>
        <v>9.637999999999975</v>
      </c>
      <c r="T614" s="357">
        <f t="shared" ca="1" si="262"/>
        <v>94.548779999999766</v>
      </c>
      <c r="U614" s="364">
        <f t="shared" ca="1" si="263"/>
        <v>0</v>
      </c>
      <c r="V614" s="359">
        <f t="shared" ca="1" si="264"/>
        <v>0.95620884159244834</v>
      </c>
      <c r="W614" s="357">
        <f t="shared" ca="1" si="265"/>
        <v>14.900338848857002</v>
      </c>
      <c r="X614" s="343"/>
      <c r="Y614" s="367" t="str">
        <f t="shared" ca="1" si="283"/>
        <v/>
      </c>
      <c r="Z614" s="368" t="str">
        <f t="shared" ca="1" si="284"/>
        <v/>
      </c>
      <c r="AA614" s="369" t="str">
        <f t="shared" ca="1" si="285"/>
        <v/>
      </c>
      <c r="AB614" s="344"/>
      <c r="AC614" s="363">
        <f t="shared" ca="1" si="286"/>
        <v>15.999999999999899</v>
      </c>
      <c r="AD614" s="376">
        <f t="shared" ca="1" si="287"/>
        <v>734.87310600396472</v>
      </c>
      <c r="AE614" s="377">
        <f t="shared" ca="1" si="266"/>
        <v>2464.6072698963894</v>
      </c>
      <c r="AF614" s="344"/>
      <c r="AG614" s="359">
        <f t="shared" ca="1" si="288"/>
        <v>-10.124417654938778</v>
      </c>
      <c r="AH614" s="357">
        <f t="shared" ca="1" si="289"/>
        <v>-1.5850725719476471</v>
      </c>
    </row>
    <row r="615" spans="1:34" x14ac:dyDescent="0.25">
      <c r="A615" s="402">
        <f t="shared" ca="1" si="267"/>
        <v>0.1</v>
      </c>
      <c r="B615" s="357">
        <f t="shared" ca="1" si="268"/>
        <v>16.099999999999898</v>
      </c>
      <c r="C615" s="342"/>
      <c r="D615" s="359">
        <f t="shared" ca="1" si="269"/>
        <v>-0.76878317925041662</v>
      </c>
      <c r="E615" s="360">
        <f t="shared" ca="1" si="270"/>
        <v>-11.15129992451085</v>
      </c>
      <c r="F615" s="357">
        <f t="shared" ca="1" si="271"/>
        <v>11.177768900057563</v>
      </c>
      <c r="G615" s="359">
        <f t="shared" ca="1" si="272"/>
        <v>41.182866307545083</v>
      </c>
      <c r="H615" s="360">
        <f t="shared" ca="1" si="273"/>
        <v>70.870956390759787</v>
      </c>
      <c r="I615" s="357">
        <f t="shared" ca="1" si="274"/>
        <v>81.967804271226555</v>
      </c>
      <c r="J615" s="359">
        <f t="shared" ca="1" si="275"/>
        <v>738.99523655061546</v>
      </c>
      <c r="K615" s="360">
        <f t="shared" ca="1" si="276"/>
        <v>2471.7501220350878</v>
      </c>
      <c r="L615" s="357">
        <f t="shared" ca="1" si="261"/>
        <v>2579.8570939927995</v>
      </c>
      <c r="M615" s="359">
        <f t="shared" ca="1" si="277"/>
        <v>1.0443924189717988</v>
      </c>
      <c r="N615" s="357">
        <f t="shared" ca="1" si="278"/>
        <v>59.839277762542878</v>
      </c>
      <c r="O615" s="343"/>
      <c r="P615" s="363">
        <f t="shared" ca="1" si="279"/>
        <v>23</v>
      </c>
      <c r="Q615" s="357">
        <f t="shared" ca="1" si="280"/>
        <v>0</v>
      </c>
      <c r="R615" s="359">
        <f t="shared" ca="1" si="281"/>
        <v>0</v>
      </c>
      <c r="S615" s="360">
        <f t="shared" ca="1" si="282"/>
        <v>9.637999999999975</v>
      </c>
      <c r="T615" s="357">
        <f t="shared" ca="1" si="262"/>
        <v>94.548779999999766</v>
      </c>
      <c r="U615" s="364">
        <f t="shared" ca="1" si="263"/>
        <v>0</v>
      </c>
      <c r="V615" s="359">
        <f t="shared" ca="1" si="264"/>
        <v>0.95551552433168718</v>
      </c>
      <c r="W615" s="357">
        <f t="shared" ca="1" si="265"/>
        <v>14.531283250150034</v>
      </c>
      <c r="X615" s="343"/>
      <c r="Y615" s="367" t="str">
        <f t="shared" ca="1" si="283"/>
        <v/>
      </c>
      <c r="Z615" s="368" t="str">
        <f t="shared" ca="1" si="284"/>
        <v/>
      </c>
      <c r="AA615" s="369" t="str">
        <f t="shared" ca="1" si="285"/>
        <v/>
      </c>
      <c r="AB615" s="344"/>
      <c r="AC615" s="363" t="e">
        <f t="shared" ca="1" si="286"/>
        <v>#N/A</v>
      </c>
      <c r="AD615" s="376" t="e">
        <f t="shared" ca="1" si="287"/>
        <v>#N/A</v>
      </c>
      <c r="AE615" s="377">
        <f t="shared" ca="1" si="266"/>
        <v>2471.7501220350878</v>
      </c>
      <c r="AF615" s="344"/>
      <c r="AG615" s="359">
        <f t="shared" ca="1" si="288"/>
        <v>-10.057098882738657</v>
      </c>
      <c r="AH615" s="357">
        <f t="shared" ca="1" si="289"/>
        <v>-1.5459990505143226</v>
      </c>
    </row>
    <row r="616" spans="1:34" x14ac:dyDescent="0.25">
      <c r="A616" s="402">
        <f t="shared" ca="1" si="267"/>
        <v>0.1</v>
      </c>
      <c r="B616" s="357">
        <f t="shared" ca="1" si="268"/>
        <v>16.1999999999999</v>
      </c>
      <c r="C616" s="342"/>
      <c r="D616" s="359">
        <f t="shared" ca="1" si="269"/>
        <v>-0.75751339162708009</v>
      </c>
      <c r="E616" s="360">
        <f t="shared" ca="1" si="270"/>
        <v>-11.113593055969094</v>
      </c>
      <c r="F616" s="357">
        <f t="shared" ca="1" si="271"/>
        <v>11.139379567650023</v>
      </c>
      <c r="G616" s="359">
        <f t="shared" ca="1" si="272"/>
        <v>41.107114968382376</v>
      </c>
      <c r="H616" s="360">
        <f t="shared" ca="1" si="273"/>
        <v>69.759597085162881</v>
      </c>
      <c r="I616" s="357">
        <f t="shared" ca="1" si="274"/>
        <v>80.970342017976378</v>
      </c>
      <c r="J616" s="359">
        <f t="shared" ca="1" si="275"/>
        <v>743.10973561441187</v>
      </c>
      <c r="K616" s="360">
        <f t="shared" ca="1" si="276"/>
        <v>2478.7816497088838</v>
      </c>
      <c r="L616" s="357">
        <f t="shared" ca="1" si="261"/>
        <v>2587.7732795008178</v>
      </c>
      <c r="M616" s="359">
        <f t="shared" ca="1" si="277"/>
        <v>1.0383051991645407</v>
      </c>
      <c r="N616" s="357">
        <f t="shared" ca="1" si="278"/>
        <v>59.490505758618554</v>
      </c>
      <c r="O616" s="343"/>
      <c r="P616" s="363">
        <f t="shared" ca="1" si="279"/>
        <v>23</v>
      </c>
      <c r="Q616" s="357">
        <f t="shared" ca="1" si="280"/>
        <v>0</v>
      </c>
      <c r="R616" s="359">
        <f t="shared" ca="1" si="281"/>
        <v>0</v>
      </c>
      <c r="S616" s="360">
        <f t="shared" ca="1" si="282"/>
        <v>9.637999999999975</v>
      </c>
      <c r="T616" s="357">
        <f t="shared" ca="1" si="262"/>
        <v>94.548779999999766</v>
      </c>
      <c r="U616" s="364">
        <f t="shared" ca="1" si="263"/>
        <v>0</v>
      </c>
      <c r="V616" s="359">
        <f t="shared" ca="1" si="264"/>
        <v>0.95483344309208107</v>
      </c>
      <c r="W616" s="357">
        <f t="shared" ca="1" si="265"/>
        <v>14.169652091846828</v>
      </c>
      <c r="X616" s="343"/>
      <c r="Y616" s="367" t="str">
        <f t="shared" ca="1" si="283"/>
        <v/>
      </c>
      <c r="Z616" s="368" t="str">
        <f t="shared" ca="1" si="284"/>
        <v/>
      </c>
      <c r="AA616" s="369" t="str">
        <f t="shared" ca="1" si="285"/>
        <v/>
      </c>
      <c r="AB616" s="344"/>
      <c r="AC616" s="363" t="e">
        <f t="shared" ca="1" si="286"/>
        <v>#N/A</v>
      </c>
      <c r="AD616" s="376" t="e">
        <f t="shared" ca="1" si="287"/>
        <v>#N/A</v>
      </c>
      <c r="AE616" s="377">
        <f t="shared" ca="1" si="266"/>
        <v>2478.7816497088838</v>
      </c>
      <c r="AF616" s="344"/>
      <c r="AG616" s="359">
        <f t="shared" ca="1" si="288"/>
        <v>-9.9896239606265187</v>
      </c>
      <c r="AH616" s="357">
        <f t="shared" ca="1" si="289"/>
        <v>-1.5077073303745665</v>
      </c>
    </row>
    <row r="617" spans="1:34" x14ac:dyDescent="0.25">
      <c r="A617" s="402">
        <f t="shared" ca="1" si="267"/>
        <v>0.1</v>
      </c>
      <c r="B617" s="357">
        <f t="shared" ca="1" si="268"/>
        <v>16.299999999999901</v>
      </c>
      <c r="C617" s="342"/>
      <c r="D617" s="359">
        <f t="shared" ca="1" si="269"/>
        <v>-0.74638566373022497</v>
      </c>
      <c r="E617" s="360">
        <f t="shared" ca="1" si="270"/>
        <v>-11.076631414342998</v>
      </c>
      <c r="F617" s="357">
        <f t="shared" ca="1" si="271"/>
        <v>11.101750089433295</v>
      </c>
      <c r="G617" s="359">
        <f t="shared" ca="1" si="272"/>
        <v>41.032476402009351</v>
      </c>
      <c r="H617" s="360">
        <f t="shared" ca="1" si="273"/>
        <v>68.651933943728579</v>
      </c>
      <c r="I617" s="357">
        <f t="shared" ca="1" si="274"/>
        <v>79.97969838587494</v>
      </c>
      <c r="J617" s="359">
        <f t="shared" ca="1" si="275"/>
        <v>747.21671518293147</v>
      </c>
      <c r="K617" s="360">
        <f t="shared" ca="1" si="276"/>
        <v>2485.7022262603282</v>
      </c>
      <c r="L617" s="357">
        <f t="shared" ca="1" si="261"/>
        <v>2595.5824735662559</v>
      </c>
      <c r="M617" s="359">
        <f t="shared" ca="1" si="277"/>
        <v>1.0320781387965179</v>
      </c>
      <c r="N617" s="357">
        <f t="shared" ca="1" si="278"/>
        <v>59.133721480757664</v>
      </c>
      <c r="O617" s="343"/>
      <c r="P617" s="363">
        <f t="shared" ca="1" si="279"/>
        <v>23</v>
      </c>
      <c r="Q617" s="357">
        <f t="shared" ca="1" si="280"/>
        <v>0</v>
      </c>
      <c r="R617" s="359">
        <f t="shared" ca="1" si="281"/>
        <v>0</v>
      </c>
      <c r="S617" s="360">
        <f t="shared" ca="1" si="282"/>
        <v>9.637999999999975</v>
      </c>
      <c r="T617" s="357">
        <f t="shared" ca="1" si="262"/>
        <v>94.548779999999766</v>
      </c>
      <c r="U617" s="364">
        <f t="shared" ca="1" si="263"/>
        <v>0</v>
      </c>
      <c r="V617" s="359">
        <f t="shared" ca="1" si="264"/>
        <v>0.95416254102015452</v>
      </c>
      <c r="W617" s="357">
        <f t="shared" ca="1" si="265"/>
        <v>13.815337684192112</v>
      </c>
      <c r="X617" s="343"/>
      <c r="Y617" s="367" t="str">
        <f t="shared" ca="1" si="283"/>
        <v/>
      </c>
      <c r="Z617" s="368" t="str">
        <f t="shared" ca="1" si="284"/>
        <v/>
      </c>
      <c r="AA617" s="369" t="str">
        <f t="shared" ca="1" si="285"/>
        <v/>
      </c>
      <c r="AB617" s="344"/>
      <c r="AC617" s="363" t="e">
        <f t="shared" ca="1" si="286"/>
        <v>#N/A</v>
      </c>
      <c r="AD617" s="376" t="e">
        <f t="shared" ca="1" si="287"/>
        <v>#N/A</v>
      </c>
      <c r="AE617" s="377">
        <f t="shared" ca="1" si="266"/>
        <v>2485.7022262603282</v>
      </c>
      <c r="AF617" s="344"/>
      <c r="AG617" s="359">
        <f t="shared" ca="1" si="288"/>
        <v>-9.9219428471325415</v>
      </c>
      <c r="AH617" s="357">
        <f t="shared" ca="1" si="289"/>
        <v>-1.4701859402206749</v>
      </c>
    </row>
    <row r="618" spans="1:34" x14ac:dyDescent="0.25">
      <c r="A618" s="402">
        <f t="shared" ca="1" si="267"/>
        <v>0.1</v>
      </c>
      <c r="B618" s="357">
        <f t="shared" ca="1" si="268"/>
        <v>16.399999999999903</v>
      </c>
      <c r="C618" s="342"/>
      <c r="D618" s="359">
        <f t="shared" ca="1" si="269"/>
        <v>-0.73539817731362445</v>
      </c>
      <c r="E618" s="360">
        <f t="shared" ca="1" si="270"/>
        <v>-11.040403609975659</v>
      </c>
      <c r="F618" s="357">
        <f t="shared" ca="1" si="271"/>
        <v>11.064868835659993</v>
      </c>
      <c r="G618" s="359">
        <f t="shared" ca="1" si="272"/>
        <v>40.958936584277986</v>
      </c>
      <c r="H618" s="360">
        <f t="shared" ca="1" si="273"/>
        <v>67.547893582731007</v>
      </c>
      <c r="I618" s="357">
        <f t="shared" ca="1" si="274"/>
        <v>78.995901245437153</v>
      </c>
      <c r="J618" s="359">
        <f t="shared" ca="1" si="275"/>
        <v>751.31628583224585</v>
      </c>
      <c r="K618" s="360">
        <f t="shared" ca="1" si="276"/>
        <v>2492.5122176366513</v>
      </c>
      <c r="L618" s="357">
        <f t="shared" ca="1" si="261"/>
        <v>2603.2851008724992</v>
      </c>
      <c r="M618" s="359">
        <f t="shared" ca="1" si="277"/>
        <v>1.0257070251260552</v>
      </c>
      <c r="N618" s="357">
        <f t="shared" ca="1" si="278"/>
        <v>58.768683556642046</v>
      </c>
      <c r="O618" s="343"/>
      <c r="P618" s="363">
        <f t="shared" ca="1" si="279"/>
        <v>23</v>
      </c>
      <c r="Q618" s="357">
        <f t="shared" ca="1" si="280"/>
        <v>0</v>
      </c>
      <c r="R618" s="359">
        <f t="shared" ca="1" si="281"/>
        <v>0</v>
      </c>
      <c r="S618" s="360">
        <f t="shared" ca="1" si="282"/>
        <v>9.637999999999975</v>
      </c>
      <c r="T618" s="357">
        <f t="shared" ca="1" si="262"/>
        <v>94.548779999999766</v>
      </c>
      <c r="U618" s="364">
        <f t="shared" ca="1" si="263"/>
        <v>0</v>
      </c>
      <c r="V618" s="359">
        <f t="shared" ca="1" si="264"/>
        <v>0.95350276242502219</v>
      </c>
      <c r="W618" s="357">
        <f t="shared" ca="1" si="265"/>
        <v>13.468235134644653</v>
      </c>
      <c r="X618" s="343"/>
      <c r="Y618" s="367" t="str">
        <f t="shared" ca="1" si="283"/>
        <v/>
      </c>
      <c r="Z618" s="368" t="str">
        <f t="shared" ca="1" si="284"/>
        <v/>
      </c>
      <c r="AA618" s="369" t="str">
        <f t="shared" ca="1" si="285"/>
        <v/>
      </c>
      <c r="AB618" s="344"/>
      <c r="AC618" s="363" t="e">
        <f t="shared" ca="1" si="286"/>
        <v>#N/A</v>
      </c>
      <c r="AD618" s="376" t="e">
        <f t="shared" ca="1" si="287"/>
        <v>#N/A</v>
      </c>
      <c r="AE618" s="377">
        <f t="shared" ca="1" si="266"/>
        <v>2492.5122176366513</v>
      </c>
      <c r="AF618" s="344"/>
      <c r="AG618" s="359">
        <f t="shared" ca="1" si="288"/>
        <v>-9.8540039985952479</v>
      </c>
      <c r="AH618" s="357">
        <f t="shared" ca="1" si="289"/>
        <v>-1.4334237065980648</v>
      </c>
    </row>
    <row r="619" spans="1:34" x14ac:dyDescent="0.25">
      <c r="A619" s="402">
        <f t="shared" ca="1" si="267"/>
        <v>0.1</v>
      </c>
      <c r="B619" s="357">
        <f t="shared" ca="1" si="268"/>
        <v>16.499999999999904</v>
      </c>
      <c r="C619" s="342"/>
      <c r="D619" s="359">
        <f t="shared" ca="1" si="269"/>
        <v>-0.72454920163889158</v>
      </c>
      <c r="E619" s="360">
        <f t="shared" ca="1" si="270"/>
        <v>-11.004898511758306</v>
      </c>
      <c r="F619" s="357">
        <f t="shared" ca="1" si="271"/>
        <v>11.02872444118973</v>
      </c>
      <c r="G619" s="359">
        <f t="shared" ca="1" si="272"/>
        <v>40.886481664114093</v>
      </c>
      <c r="H619" s="360">
        <f t="shared" ca="1" si="273"/>
        <v>66.44740373155517</v>
      </c>
      <c r="I619" s="357">
        <f t="shared" ca="1" si="274"/>
        <v>78.018983879144628</v>
      </c>
      <c r="J619" s="359">
        <f t="shared" ca="1" si="275"/>
        <v>755.40855674466547</v>
      </c>
      <c r="K619" s="360">
        <f t="shared" ca="1" si="276"/>
        <v>2499.2119825023656</v>
      </c>
      <c r="L619" s="357">
        <f t="shared" ca="1" si="261"/>
        <v>2610.8815792920336</v>
      </c>
      <c r="M619" s="359">
        <f t="shared" ca="1" si="277"/>
        <v>1.0191875008243871</v>
      </c>
      <c r="N619" s="357">
        <f t="shared" ca="1" si="278"/>
        <v>58.395142329723491</v>
      </c>
      <c r="O619" s="343"/>
      <c r="P619" s="363">
        <f t="shared" ca="1" si="279"/>
        <v>23</v>
      </c>
      <c r="Q619" s="357">
        <f t="shared" ca="1" si="280"/>
        <v>0</v>
      </c>
      <c r="R619" s="359">
        <f t="shared" ca="1" si="281"/>
        <v>0</v>
      </c>
      <c r="S619" s="360">
        <f t="shared" ca="1" si="282"/>
        <v>9.637999999999975</v>
      </c>
      <c r="T619" s="357">
        <f t="shared" ca="1" si="262"/>
        <v>94.548779999999766</v>
      </c>
      <c r="U619" s="364">
        <f t="shared" ca="1" si="263"/>
        <v>0</v>
      </c>
      <c r="V619" s="359">
        <f t="shared" ca="1" si="264"/>
        <v>0.95285405276003865</v>
      </c>
      <c r="W619" s="357">
        <f t="shared" ca="1" si="265"/>
        <v>13.128242276787782</v>
      </c>
      <c r="X619" s="343"/>
      <c r="Y619" s="367" t="str">
        <f t="shared" ca="1" si="283"/>
        <v/>
      </c>
      <c r="Z619" s="368" t="str">
        <f t="shared" ca="1" si="284"/>
        <v/>
      </c>
      <c r="AA619" s="369" t="str">
        <f t="shared" ca="1" si="285"/>
        <v/>
      </c>
      <c r="AB619" s="344"/>
      <c r="AC619" s="363" t="e">
        <f t="shared" ca="1" si="286"/>
        <v>#N/A</v>
      </c>
      <c r="AD619" s="376" t="e">
        <f t="shared" ca="1" si="287"/>
        <v>#N/A</v>
      </c>
      <c r="AE619" s="377">
        <f t="shared" ca="1" si="266"/>
        <v>2499.2119825023656</v>
      </c>
      <c r="AF619" s="344"/>
      <c r="AG619" s="359">
        <f t="shared" ca="1" si="288"/>
        <v>-9.7857542755456883</v>
      </c>
      <c r="AH619" s="357">
        <f t="shared" ca="1" si="289"/>
        <v>-1.3974097462797974</v>
      </c>
    </row>
    <row r="620" spans="1:34" x14ac:dyDescent="0.25">
      <c r="A620" s="402">
        <f t="shared" ca="1" si="267"/>
        <v>0.1</v>
      </c>
      <c r="B620" s="357">
        <f t="shared" ca="1" si="268"/>
        <v>16.599999999999905</v>
      </c>
      <c r="C620" s="342"/>
      <c r="D620" s="359">
        <f t="shared" ca="1" si="269"/>
        <v>-0.7138370935114815</v>
      </c>
      <c r="E620" s="360">
        <f t="shared" ca="1" si="270"/>
        <v>-10.970105238224711</v>
      </c>
      <c r="F620" s="357">
        <f t="shared" ca="1" si="271"/>
        <v>10.993305796428942</v>
      </c>
      <c r="G620" s="359">
        <f t="shared" ca="1" si="272"/>
        <v>40.815097954762948</v>
      </c>
      <c r="H620" s="360">
        <f t="shared" ca="1" si="273"/>
        <v>65.350393207732694</v>
      </c>
      <c r="I620" s="357">
        <f t="shared" ca="1" si="274"/>
        <v>77.048985155303441</v>
      </c>
      <c r="J620" s="359">
        <f t="shared" ca="1" si="275"/>
        <v>759.49363572560935</v>
      </c>
      <c r="K620" s="360">
        <f t="shared" ca="1" si="276"/>
        <v>2505.8018723493301</v>
      </c>
      <c r="L620" s="357">
        <f t="shared" ca="1" si="261"/>
        <v>2618.3723200066702</v>
      </c>
      <c r="M620" s="359">
        <f t="shared" ca="1" si="277"/>
        <v>1.0125150595841235</v>
      </c>
      <c r="N620" s="357">
        <f t="shared" ca="1" si="278"/>
        <v>58.012839607607347</v>
      </c>
      <c r="O620" s="343"/>
      <c r="P620" s="363">
        <f t="shared" ca="1" si="279"/>
        <v>23</v>
      </c>
      <c r="Q620" s="357">
        <f t="shared" ca="1" si="280"/>
        <v>0</v>
      </c>
      <c r="R620" s="359">
        <f t="shared" ca="1" si="281"/>
        <v>0</v>
      </c>
      <c r="S620" s="360">
        <f t="shared" ca="1" si="282"/>
        <v>9.637999999999975</v>
      </c>
      <c r="T620" s="357">
        <f t="shared" ca="1" si="262"/>
        <v>94.548779999999766</v>
      </c>
      <c r="U620" s="364">
        <f t="shared" ca="1" si="263"/>
        <v>0</v>
      </c>
      <c r="V620" s="359">
        <f t="shared" ca="1" si="264"/>
        <v>0.95221635860491127</v>
      </c>
      <c r="W620" s="357">
        <f t="shared" ca="1" si="265"/>
        <v>12.795259601555736</v>
      </c>
      <c r="X620" s="343"/>
      <c r="Y620" s="367" t="str">
        <f t="shared" ca="1" si="283"/>
        <v/>
      </c>
      <c r="Z620" s="368" t="str">
        <f t="shared" ca="1" si="284"/>
        <v/>
      </c>
      <c r="AA620" s="369" t="str">
        <f t="shared" ca="1" si="285"/>
        <v/>
      </c>
      <c r="AB620" s="344"/>
      <c r="AC620" s="363" t="e">
        <f t="shared" ca="1" si="286"/>
        <v>#N/A</v>
      </c>
      <c r="AD620" s="376" t="e">
        <f t="shared" ca="1" si="287"/>
        <v>#N/A</v>
      </c>
      <c r="AE620" s="377">
        <f t="shared" ca="1" si="266"/>
        <v>2505.8018723493301</v>
      </c>
      <c r="AF620" s="344"/>
      <c r="AG620" s="359">
        <f t="shared" ca="1" si="288"/>
        <v>-9.717138845993631</v>
      </c>
      <c r="AH620" s="357">
        <f t="shared" ca="1" si="289"/>
        <v>-1.3621334588906222</v>
      </c>
    </row>
    <row r="621" spans="1:34" x14ac:dyDescent="0.25">
      <c r="A621" s="402">
        <f t="shared" ca="1" si="267"/>
        <v>0.1</v>
      </c>
      <c r="B621" s="357">
        <f t="shared" ca="1" si="268"/>
        <v>16.699999999999907</v>
      </c>
      <c r="C621" s="342"/>
      <c r="D621" s="359">
        <f t="shared" ca="1" si="269"/>
        <v>-0.70326029743900875</v>
      </c>
      <c r="E621" s="360">
        <f t="shared" ca="1" si="270"/>
        <v>-10.936013148760878</v>
      </c>
      <c r="F621" s="357">
        <f t="shared" ca="1" si="271"/>
        <v>10.958602038390884</v>
      </c>
      <c r="G621" s="359">
        <f t="shared" ca="1" si="272"/>
        <v>40.744771925019045</v>
      </c>
      <c r="H621" s="360">
        <f t="shared" ca="1" si="273"/>
        <v>64.256791892856612</v>
      </c>
      <c r="I621" s="357">
        <f t="shared" ca="1" si="274"/>
        <v>76.085949712044098</v>
      </c>
      <c r="J621" s="359">
        <f t="shared" ca="1" si="275"/>
        <v>763.57162921959844</v>
      </c>
      <c r="K621" s="360">
        <f t="shared" ca="1" si="276"/>
        <v>2512.2822316043594</v>
      </c>
      <c r="L621" s="357">
        <f t="shared" ca="1" si="261"/>
        <v>2625.7577276253137</v>
      </c>
      <c r="M621" s="359">
        <f t="shared" ca="1" si="277"/>
        <v>1.0056850417390424</v>
      </c>
      <c r="N621" s="357">
        <f t="shared" ca="1" si="278"/>
        <v>57.621508411085166</v>
      </c>
      <c r="O621" s="343"/>
      <c r="P621" s="363">
        <f t="shared" ca="1" si="279"/>
        <v>23</v>
      </c>
      <c r="Q621" s="357">
        <f t="shared" ca="1" si="280"/>
        <v>0</v>
      </c>
      <c r="R621" s="359">
        <f t="shared" ca="1" si="281"/>
        <v>0</v>
      </c>
      <c r="S621" s="360">
        <f t="shared" ca="1" si="282"/>
        <v>9.637999999999975</v>
      </c>
      <c r="T621" s="357">
        <f t="shared" ca="1" si="262"/>
        <v>94.548779999999766</v>
      </c>
      <c r="U621" s="364">
        <f t="shared" ca="1" si="263"/>
        <v>0</v>
      </c>
      <c r="V621" s="359">
        <f t="shared" ca="1" si="264"/>
        <v>0.95158962764824795</v>
      </c>
      <c r="W621" s="357">
        <f t="shared" ca="1" si="265"/>
        <v>12.469190190689259</v>
      </c>
      <c r="X621" s="343"/>
      <c r="Y621" s="367" t="str">
        <f t="shared" ca="1" si="283"/>
        <v/>
      </c>
      <c r="Z621" s="368" t="str">
        <f t="shared" ca="1" si="284"/>
        <v/>
      </c>
      <c r="AA621" s="369" t="str">
        <f t="shared" ca="1" si="285"/>
        <v/>
      </c>
      <c r="AB621" s="344"/>
      <c r="AC621" s="363" t="e">
        <f t="shared" ca="1" si="286"/>
        <v>#N/A</v>
      </c>
      <c r="AD621" s="376" t="e">
        <f t="shared" ca="1" si="287"/>
        <v>#N/A</v>
      </c>
      <c r="AE621" s="377">
        <f t="shared" ca="1" si="266"/>
        <v>2512.2822316043594</v>
      </c>
      <c r="AF621" s="344"/>
      <c r="AG621" s="359">
        <f t="shared" ca="1" si="288"/>
        <v>-9.6481010856371938</v>
      </c>
      <c r="AH621" s="357">
        <f t="shared" ca="1" si="289"/>
        <v>-1.3275845197712979</v>
      </c>
    </row>
    <row r="622" spans="1:34" x14ac:dyDescent="0.25">
      <c r="A622" s="402">
        <f t="shared" ca="1" si="267"/>
        <v>0.1</v>
      </c>
      <c r="B622" s="357">
        <f t="shared" ca="1" si="268"/>
        <v>16.799999999999908</v>
      </c>
      <c r="C622" s="342"/>
      <c r="D622" s="359">
        <f t="shared" ca="1" si="269"/>
        <v>-0.69281734591271937</v>
      </c>
      <c r="E622" s="360">
        <f t="shared" ca="1" si="270"/>
        <v>-10.902611834912218</v>
      </c>
      <c r="F622" s="357">
        <f t="shared" ca="1" si="271"/>
        <v>10.924602541857782</v>
      </c>
      <c r="G622" s="359">
        <f t="shared" ca="1" si="272"/>
        <v>40.675490190427773</v>
      </c>
      <c r="H622" s="360">
        <f t="shared" ca="1" si="273"/>
        <v>63.166530709365389</v>
      </c>
      <c r="I622" s="357">
        <f t="shared" ca="1" si="274"/>
        <v>75.129928151761106</v>
      </c>
      <c r="J622" s="359">
        <f t="shared" ca="1" si="275"/>
        <v>767.64264232537073</v>
      </c>
      <c r="K622" s="360">
        <f t="shared" ca="1" si="276"/>
        <v>2518.6533977344707</v>
      </c>
      <c r="L622" s="357">
        <f t="shared" ca="1" si="261"/>
        <v>2633.038200299356</v>
      </c>
      <c r="M622" s="359">
        <f t="shared" ca="1" si="277"/>
        <v>0.99869262992100005</v>
      </c>
      <c r="N622" s="357">
        <f t="shared" ca="1" si="278"/>
        <v>57.220872725293944</v>
      </c>
      <c r="O622" s="343"/>
      <c r="P622" s="363">
        <f t="shared" ca="1" si="279"/>
        <v>23</v>
      </c>
      <c r="Q622" s="357">
        <f t="shared" ca="1" si="280"/>
        <v>0</v>
      </c>
      <c r="R622" s="359">
        <f t="shared" ca="1" si="281"/>
        <v>0</v>
      </c>
      <c r="S622" s="360">
        <f t="shared" ca="1" si="282"/>
        <v>9.637999999999975</v>
      </c>
      <c r="T622" s="357">
        <f t="shared" ca="1" si="262"/>
        <v>94.548779999999766</v>
      </c>
      <c r="U622" s="364">
        <f t="shared" ca="1" si="263"/>
        <v>0</v>
      </c>
      <c r="V622" s="359">
        <f t="shared" ca="1" si="264"/>
        <v>0.95097380867053694</v>
      </c>
      <c r="W622" s="357">
        <f t="shared" ca="1" si="265"/>
        <v>12.149939652337917</v>
      </c>
      <c r="X622" s="343"/>
      <c r="Y622" s="367" t="str">
        <f t="shared" ca="1" si="283"/>
        <v/>
      </c>
      <c r="Z622" s="368" t="str">
        <f t="shared" ca="1" si="284"/>
        <v/>
      </c>
      <c r="AA622" s="369" t="str">
        <f t="shared" ca="1" si="285"/>
        <v/>
      </c>
      <c r="AB622" s="344"/>
      <c r="AC622" s="363" t="e">
        <f t="shared" ca="1" si="286"/>
        <v>#N/A</v>
      </c>
      <c r="AD622" s="376" t="e">
        <f t="shared" ca="1" si="287"/>
        <v>#N/A</v>
      </c>
      <c r="AE622" s="377">
        <f t="shared" ca="1" si="266"/>
        <v>2518.6533977344707</v>
      </c>
      <c r="AF622" s="344"/>
      <c r="AG622" s="359">
        <f t="shared" ca="1" si="288"/>
        <v>-9.5785824750518334</v>
      </c>
      <c r="AH622" s="357">
        <f t="shared" ca="1" si="289"/>
        <v>-1.2937528730742158</v>
      </c>
    </row>
    <row r="623" spans="1:34" x14ac:dyDescent="0.25">
      <c r="A623" s="402">
        <f t="shared" ca="1" si="267"/>
        <v>0.1</v>
      </c>
      <c r="B623" s="357">
        <f t="shared" ca="1" si="268"/>
        <v>16.89999999999991</v>
      </c>
      <c r="C623" s="342"/>
      <c r="D623" s="359">
        <f t="shared" ca="1" si="269"/>
        <v>-0.68250685981299442</v>
      </c>
      <c r="E623" s="360">
        <f t="shared" ca="1" si="270"/>
        <v>-10.869891111770194</v>
      </c>
      <c r="F623" s="357">
        <f t="shared" ca="1" si="271"/>
        <v>10.891296910626965</v>
      </c>
      <c r="G623" s="359">
        <f t="shared" ca="1" si="272"/>
        <v>40.607239504446476</v>
      </c>
      <c r="H623" s="360">
        <f t="shared" ca="1" si="273"/>
        <v>62.079541598188371</v>
      </c>
      <c r="I623" s="357">
        <f t="shared" ca="1" si="274"/>
        <v>74.180977246277081</v>
      </c>
      <c r="J623" s="359">
        <f t="shared" ca="1" si="275"/>
        <v>771.70677881011443</v>
      </c>
      <c r="K623" s="360">
        <f t="shared" ca="1" si="276"/>
        <v>2524.9157013498484</v>
      </c>
      <c r="L623" s="357">
        <f t="shared" ca="1" si="261"/>
        <v>2640.2141298357751</v>
      </c>
      <c r="M623" s="359">
        <f t="shared" ca="1" si="277"/>
        <v>0.99153284478389958</v>
      </c>
      <c r="N623" s="357">
        <f t="shared" ca="1" si="278"/>
        <v>56.810647254717587</v>
      </c>
      <c r="O623" s="343"/>
      <c r="P623" s="363">
        <f t="shared" ca="1" si="279"/>
        <v>23</v>
      </c>
      <c r="Q623" s="357">
        <f t="shared" ca="1" si="280"/>
        <v>0</v>
      </c>
      <c r="R623" s="359">
        <f t="shared" ca="1" si="281"/>
        <v>0</v>
      </c>
      <c r="S623" s="360">
        <f t="shared" ca="1" si="282"/>
        <v>9.637999999999975</v>
      </c>
      <c r="T623" s="357">
        <f t="shared" ca="1" si="262"/>
        <v>94.548779999999766</v>
      </c>
      <c r="U623" s="364">
        <f t="shared" ca="1" si="263"/>
        <v>0</v>
      </c>
      <c r="V623" s="359">
        <f t="shared" ca="1" si="264"/>
        <v>0.95036885152753692</v>
      </c>
      <c r="W623" s="357">
        <f t="shared" ca="1" si="265"/>
        <v>11.837416058729131</v>
      </c>
      <c r="X623" s="343"/>
      <c r="Y623" s="367" t="str">
        <f t="shared" ca="1" si="283"/>
        <v/>
      </c>
      <c r="Z623" s="368" t="str">
        <f t="shared" ca="1" si="284"/>
        <v/>
      </c>
      <c r="AA623" s="369" t="str">
        <f t="shared" ca="1" si="285"/>
        <v/>
      </c>
      <c r="AB623" s="344"/>
      <c r="AC623" s="363" t="e">
        <f t="shared" ca="1" si="286"/>
        <v>#N/A</v>
      </c>
      <c r="AD623" s="376" t="e">
        <f t="shared" ca="1" si="287"/>
        <v>#N/A</v>
      </c>
      <c r="AE623" s="377">
        <f t="shared" ca="1" si="266"/>
        <v>2524.9157013498484</v>
      </c>
      <c r="AF623" s="344"/>
      <c r="AG623" s="359">
        <f t="shared" ca="1" si="288"/>
        <v>-9.5085224939559225</v>
      </c>
      <c r="AH623" s="357">
        <f t="shared" ca="1" si="289"/>
        <v>-1.2606287250817543</v>
      </c>
    </row>
    <row r="624" spans="1:34" x14ac:dyDescent="0.25">
      <c r="A624" s="402">
        <f t="shared" ca="1" si="267"/>
        <v>0.1</v>
      </c>
      <c r="B624" s="357">
        <f t="shared" ca="1" si="268"/>
        <v>16.999999999999911</v>
      </c>
      <c r="C624" s="342"/>
      <c r="D624" s="359">
        <f t="shared" ca="1" si="269"/>
        <v>-0.67232754893967672</v>
      </c>
      <c r="E624" s="360">
        <f t="shared" ca="1" si="270"/>
        <v>-10.83784100941997</v>
      </c>
      <c r="F624" s="357">
        <f t="shared" ca="1" si="271"/>
        <v>10.858674968822324</v>
      </c>
      <c r="G624" s="359">
        <f t="shared" ca="1" si="272"/>
        <v>40.540006749552511</v>
      </c>
      <c r="H624" s="360">
        <f t="shared" ca="1" si="273"/>
        <v>60.995757497246373</v>
      </c>
      <c r="I624" s="357">
        <f t="shared" ca="1" si="274"/>
        <v>73.239160152999091</v>
      </c>
      <c r="J624" s="359">
        <f t="shared" ca="1" si="275"/>
        <v>775.76414112281441</v>
      </c>
      <c r="K624" s="360">
        <f t="shared" ca="1" si="276"/>
        <v>2531.0694663046202</v>
      </c>
      <c r="L624" s="357">
        <f t="shared" ca="1" si="261"/>
        <v>2647.2859018080335</v>
      </c>
      <c r="M624" s="359">
        <f t="shared" ca="1" si="277"/>
        <v>0.98420054082930153</v>
      </c>
      <c r="N624" s="357">
        <f t="shared" ca="1" si="278"/>
        <v>56.39053718401204</v>
      </c>
      <c r="O624" s="343"/>
      <c r="P624" s="363">
        <f t="shared" ca="1" si="279"/>
        <v>23</v>
      </c>
      <c r="Q624" s="357">
        <f t="shared" ca="1" si="280"/>
        <v>0</v>
      </c>
      <c r="R624" s="359">
        <f t="shared" ca="1" si="281"/>
        <v>0</v>
      </c>
      <c r="S624" s="360">
        <f t="shared" ca="1" si="282"/>
        <v>9.637999999999975</v>
      </c>
      <c r="T624" s="357">
        <f t="shared" ca="1" si="262"/>
        <v>94.548779999999766</v>
      </c>
      <c r="U624" s="364">
        <f t="shared" ca="1" si="263"/>
        <v>0</v>
      </c>
      <c r="V624" s="359">
        <f t="shared" ca="1" si="264"/>
        <v>0.94977470713406931</v>
      </c>
      <c r="W624" s="357">
        <f t="shared" ca="1" si="265"/>
        <v>11.531529885827089</v>
      </c>
      <c r="X624" s="343"/>
      <c r="Y624" s="367" t="str">
        <f t="shared" ca="1" si="283"/>
        <v/>
      </c>
      <c r="Z624" s="368" t="str">
        <f t="shared" ca="1" si="284"/>
        <v/>
      </c>
      <c r="AA624" s="369" t="str">
        <f t="shared" ca="1" si="285"/>
        <v/>
      </c>
      <c r="AB624" s="344"/>
      <c r="AC624" s="363">
        <f t="shared" ca="1" si="286"/>
        <v>16.999999999999911</v>
      </c>
      <c r="AD624" s="376">
        <f t="shared" ca="1" si="287"/>
        <v>775.76414112281441</v>
      </c>
      <c r="AE624" s="377">
        <f t="shared" ca="1" si="266"/>
        <v>2531.0694663046202</v>
      </c>
      <c r="AF624" s="344"/>
      <c r="AG624" s="359">
        <f t="shared" ca="1" si="288"/>
        <v>-9.4378585126984973</v>
      </c>
      <c r="AH624" s="357">
        <f t="shared" ca="1" si="289"/>
        <v>-1.2282025377390706</v>
      </c>
    </row>
    <row r="625" spans="1:34" x14ac:dyDescent="0.25">
      <c r="A625" s="402">
        <f t="shared" ca="1" si="267"/>
        <v>0.1</v>
      </c>
      <c r="B625" s="357">
        <f t="shared" ca="1" si="268"/>
        <v>17.099999999999913</v>
      </c>
      <c r="C625" s="342"/>
      <c r="D625" s="359">
        <f t="shared" ca="1" si="269"/>
        <v>-0.66227821266794973</v>
      </c>
      <c r="E625" s="360">
        <f t="shared" ca="1" si="270"/>
        <v>-10.806451764430205</v>
      </c>
      <c r="F625" s="357">
        <f t="shared" ca="1" si="271"/>
        <v>10.826726752252103</v>
      </c>
      <c r="G625" s="359">
        <f t="shared" ca="1" si="272"/>
        <v>40.473778928285718</v>
      </c>
      <c r="H625" s="360">
        <f t="shared" ca="1" si="273"/>
        <v>59.915112320803352</v>
      </c>
      <c r="I625" s="357">
        <f t="shared" ca="1" si="274"/>
        <v>72.304546642311692</v>
      </c>
      <c r="J625" s="359">
        <f t="shared" ca="1" si="275"/>
        <v>779.81483040670628</v>
      </c>
      <c r="K625" s="360">
        <f t="shared" ca="1" si="276"/>
        <v>2537.1150097955228</v>
      </c>
      <c r="L625" s="357">
        <f t="shared" ca="1" si="261"/>
        <v>2654.2538956648395</v>
      </c>
      <c r="M625" s="359">
        <f t="shared" ca="1" si="277"/>
        <v>0.9766904023734776</v>
      </c>
      <c r="N625" s="357">
        <f t="shared" ca="1" si="278"/>
        <v>55.960237946934427</v>
      </c>
      <c r="O625" s="343"/>
      <c r="P625" s="363">
        <f t="shared" ca="1" si="279"/>
        <v>23</v>
      </c>
      <c r="Q625" s="357">
        <f t="shared" ca="1" si="280"/>
        <v>0</v>
      </c>
      <c r="R625" s="359">
        <f t="shared" ca="1" si="281"/>
        <v>0</v>
      </c>
      <c r="S625" s="360">
        <f t="shared" ca="1" si="282"/>
        <v>9.637999999999975</v>
      </c>
      <c r="T625" s="357">
        <f t="shared" ca="1" si="262"/>
        <v>94.548779999999766</v>
      </c>
      <c r="U625" s="364">
        <f t="shared" ca="1" si="263"/>
        <v>0</v>
      </c>
      <c r="V625" s="359">
        <f t="shared" ca="1" si="264"/>
        <v>0.94919132744819668</v>
      </c>
      <c r="W625" s="357">
        <f t="shared" ca="1" si="265"/>
        <v>11.232193954907391</v>
      </c>
      <c r="X625" s="343"/>
      <c r="Y625" s="367" t="str">
        <f t="shared" ca="1" si="283"/>
        <v/>
      </c>
      <c r="Z625" s="368" t="str">
        <f t="shared" ca="1" si="284"/>
        <v/>
      </c>
      <c r="AA625" s="369" t="str">
        <f t="shared" ca="1" si="285"/>
        <v/>
      </c>
      <c r="AB625" s="344"/>
      <c r="AC625" s="363" t="e">
        <f t="shared" ca="1" si="286"/>
        <v>#N/A</v>
      </c>
      <c r="AD625" s="376" t="e">
        <f t="shared" ca="1" si="287"/>
        <v>#N/A</v>
      </c>
      <c r="AE625" s="377">
        <f t="shared" ca="1" si="266"/>
        <v>2537.1150097955228</v>
      </c>
      <c r="AF625" s="344"/>
      <c r="AG625" s="359">
        <f t="shared" ca="1" si="288"/>
        <v>-9.3665256811717299</v>
      </c>
      <c r="AH625" s="357">
        <f t="shared" ca="1" si="289"/>
        <v>-1.1964650223933513</v>
      </c>
    </row>
    <row r="626" spans="1:34" x14ac:dyDescent="0.25">
      <c r="A626" s="402">
        <f t="shared" ca="1" si="267"/>
        <v>0.1</v>
      </c>
      <c r="B626" s="357">
        <f t="shared" ca="1" si="268"/>
        <v>17.199999999999914</v>
      </c>
      <c r="C626" s="342"/>
      <c r="D626" s="359">
        <f t="shared" ca="1" si="269"/>
        <v>-0.65235774073033204</v>
      </c>
      <c r="E626" s="360">
        <f t="shared" ca="1" si="270"/>
        <v>-10.775713811365597</v>
      </c>
      <c r="F626" s="357">
        <f t="shared" ca="1" si="271"/>
        <v>10.795442499793422</v>
      </c>
      <c r="G626" s="359">
        <f t="shared" ca="1" si="272"/>
        <v>40.408543154212687</v>
      </c>
      <c r="H626" s="360">
        <f t="shared" ca="1" si="273"/>
        <v>58.837540939666795</v>
      </c>
      <c r="I626" s="357">
        <f t="shared" ca="1" si="274"/>
        <v>71.377213336420155</v>
      </c>
      <c r="J626" s="359">
        <f t="shared" ca="1" si="275"/>
        <v>783.85894651083117</v>
      </c>
      <c r="K626" s="360">
        <f t="shared" ca="1" si="276"/>
        <v>2543.0526424585464</v>
      </c>
      <c r="L626" s="357">
        <f t="shared" ca="1" si="261"/>
        <v>2661.1184848368675</v>
      </c>
      <c r="M626" s="359">
        <f t="shared" ca="1" si="277"/>
        <v>0.96899693970151524</v>
      </c>
      <c r="N626" s="357">
        <f t="shared" ca="1" si="278"/>
        <v>55.519435005989543</v>
      </c>
      <c r="O626" s="343"/>
      <c r="P626" s="363">
        <f t="shared" ca="1" si="279"/>
        <v>23</v>
      </c>
      <c r="Q626" s="357">
        <f t="shared" ca="1" si="280"/>
        <v>0</v>
      </c>
      <c r="R626" s="359">
        <f t="shared" ca="1" si="281"/>
        <v>0</v>
      </c>
      <c r="S626" s="360">
        <f t="shared" ca="1" si="282"/>
        <v>9.637999999999975</v>
      </c>
      <c r="T626" s="357">
        <f t="shared" ca="1" si="262"/>
        <v>94.548779999999766</v>
      </c>
      <c r="U626" s="364">
        <f t="shared" ca="1" si="263"/>
        <v>0</v>
      </c>
      <c r="V626" s="359">
        <f t="shared" ca="1" si="264"/>
        <v>0.94861866545577367</v>
      </c>
      <c r="W626" s="357">
        <f t="shared" ca="1" si="265"/>
        <v>10.939323375975814</v>
      </c>
      <c r="X626" s="343"/>
      <c r="Y626" s="367" t="str">
        <f t="shared" ca="1" si="283"/>
        <v/>
      </c>
      <c r="Z626" s="368" t="str">
        <f t="shared" ca="1" si="284"/>
        <v/>
      </c>
      <c r="AA626" s="369" t="str">
        <f t="shared" ca="1" si="285"/>
        <v/>
      </c>
      <c r="AB626" s="344"/>
      <c r="AC626" s="363" t="e">
        <f t="shared" ca="1" si="286"/>
        <v>#N/A</v>
      </c>
      <c r="AD626" s="376" t="e">
        <f t="shared" ca="1" si="287"/>
        <v>#N/A</v>
      </c>
      <c r="AE626" s="377">
        <f t="shared" ca="1" si="266"/>
        <v>2543.0526424585464</v>
      </c>
      <c r="AF626" s="344"/>
      <c r="AG626" s="359">
        <f t="shared" ca="1" si="288"/>
        <v>-9.2944568154170959</v>
      </c>
      <c r="AH626" s="357">
        <f t="shared" ca="1" si="289"/>
        <v>-1.1654071337318344</v>
      </c>
    </row>
    <row r="627" spans="1:34" x14ac:dyDescent="0.25">
      <c r="A627" s="402">
        <f t="shared" ca="1" si="267"/>
        <v>0.1</v>
      </c>
      <c r="B627" s="357">
        <f t="shared" ca="1" si="268"/>
        <v>17.299999999999915</v>
      </c>
      <c r="C627" s="342"/>
      <c r="D627" s="359">
        <f t="shared" ca="1" si="269"/>
        <v>-0.64256511412514583</v>
      </c>
      <c r="E627" s="360">
        <f t="shared" ca="1" si="270"/>
        <v>-10.745617774302227</v>
      </c>
      <c r="F627" s="357">
        <f t="shared" ca="1" si="271"/>
        <v>10.764812644783495</v>
      </c>
      <c r="G627" s="359">
        <f t="shared" ca="1" si="272"/>
        <v>40.344286642800171</v>
      </c>
      <c r="H627" s="360">
        <f t="shared" ca="1" si="273"/>
        <v>57.762979162236569</v>
      </c>
      <c r="I627" s="357">
        <f t="shared" ca="1" si="274"/>
        <v>70.457243959818641</v>
      </c>
      <c r="J627" s="359">
        <f t="shared" ca="1" si="275"/>
        <v>787.89658800068185</v>
      </c>
      <c r="K627" s="360">
        <f t="shared" ca="1" si="276"/>
        <v>2548.8826684636415</v>
      </c>
      <c r="L627" s="357">
        <f t="shared" ca="1" si="261"/>
        <v>2667.8800368415086</v>
      </c>
      <c r="M627" s="359">
        <f t="shared" ca="1" si="277"/>
        <v>0.96111448546056111</v>
      </c>
      <c r="N627" s="357">
        <f t="shared" ca="1" si="278"/>
        <v>55.067803645777872</v>
      </c>
      <c r="O627" s="343"/>
      <c r="P627" s="363">
        <f t="shared" ca="1" si="279"/>
        <v>23</v>
      </c>
      <c r="Q627" s="357">
        <f t="shared" ca="1" si="280"/>
        <v>0</v>
      </c>
      <c r="R627" s="359">
        <f t="shared" ca="1" si="281"/>
        <v>0</v>
      </c>
      <c r="S627" s="360">
        <f t="shared" ca="1" si="282"/>
        <v>9.637999999999975</v>
      </c>
      <c r="T627" s="357">
        <f t="shared" ca="1" si="262"/>
        <v>94.548779999999766</v>
      </c>
      <c r="U627" s="364">
        <f t="shared" ca="1" si="263"/>
        <v>0</v>
      </c>
      <c r="V627" s="359">
        <f t="shared" ca="1" si="264"/>
        <v>0.94805667515536363</v>
      </c>
      <c r="W627" s="357">
        <f t="shared" ca="1" si="265"/>
        <v>10.652835492962197</v>
      </c>
      <c r="X627" s="343"/>
      <c r="Y627" s="367" t="str">
        <f t="shared" ca="1" si="283"/>
        <v/>
      </c>
      <c r="Z627" s="368" t="str">
        <f t="shared" ca="1" si="284"/>
        <v/>
      </c>
      <c r="AA627" s="369" t="str">
        <f t="shared" ca="1" si="285"/>
        <v/>
      </c>
      <c r="AB627" s="344"/>
      <c r="AC627" s="363" t="e">
        <f t="shared" ca="1" si="286"/>
        <v>#N/A</v>
      </c>
      <c r="AD627" s="376" t="e">
        <f t="shared" ca="1" si="287"/>
        <v>#N/A</v>
      </c>
      <c r="AE627" s="377">
        <f t="shared" ca="1" si="266"/>
        <v>2548.8826684636415</v>
      </c>
      <c r="AF627" s="344"/>
      <c r="AG627" s="359">
        <f t="shared" ca="1" si="288"/>
        <v>-9.221582282271374</v>
      </c>
      <c r="AH627" s="357">
        <f t="shared" ca="1" si="289"/>
        <v>-1.1350200639111685</v>
      </c>
    </row>
    <row r="628" spans="1:34" x14ac:dyDescent="0.25">
      <c r="A628" s="402">
        <f t="shared" ca="1" si="267"/>
        <v>0.1</v>
      </c>
      <c r="B628" s="357">
        <f t="shared" ca="1" si="268"/>
        <v>17.399999999999917</v>
      </c>
      <c r="C628" s="342"/>
      <c r="D628" s="359">
        <f t="shared" ca="1" si="269"/>
        <v>-0.6328994061515395</v>
      </c>
      <c r="E628" s="360">
        <f t="shared" ca="1" si="270"/>
        <v>-10.716154458325203</v>
      </c>
      <c r="F628" s="357">
        <f t="shared" ca="1" si="271"/>
        <v>10.734827806396808</v>
      </c>
      <c r="G628" s="359">
        <f t="shared" ca="1" si="272"/>
        <v>40.280996702185014</v>
      </c>
      <c r="H628" s="360">
        <f t="shared" ca="1" si="273"/>
        <v>56.691363716404048</v>
      </c>
      <c r="I628" s="357">
        <f t="shared" ca="1" si="274"/>
        <v>69.544729601509374</v>
      </c>
      <c r="J628" s="359">
        <f t="shared" ca="1" si="275"/>
        <v>791.92785216793106</v>
      </c>
      <c r="K628" s="360">
        <f t="shared" ca="1" si="276"/>
        <v>2554.6053856075737</v>
      </c>
      <c r="L628" s="357">
        <f t="shared" ca="1" si="261"/>
        <v>2674.538913385732</v>
      </c>
      <c r="M628" s="359">
        <f t="shared" ca="1" si="277"/>
        <v>0.95303719135148113</v>
      </c>
      <c r="N628" s="357">
        <f t="shared" ca="1" si="278"/>
        <v>54.605008783441711</v>
      </c>
      <c r="O628" s="343"/>
      <c r="P628" s="363">
        <f t="shared" ca="1" si="279"/>
        <v>23</v>
      </c>
      <c r="Q628" s="357">
        <f t="shared" ca="1" si="280"/>
        <v>0</v>
      </c>
      <c r="R628" s="359">
        <f t="shared" ca="1" si="281"/>
        <v>0</v>
      </c>
      <c r="S628" s="360">
        <f t="shared" ca="1" si="282"/>
        <v>9.637999999999975</v>
      </c>
      <c r="T628" s="357">
        <f t="shared" ca="1" si="262"/>
        <v>94.548779999999766</v>
      </c>
      <c r="U628" s="364">
        <f t="shared" ca="1" si="263"/>
        <v>0</v>
      </c>
      <c r="V628" s="359">
        <f t="shared" ca="1" si="264"/>
        <v>0.94750531154349615</v>
      </c>
      <c r="W628" s="357">
        <f t="shared" ca="1" si="265"/>
        <v>10.372649830622484</v>
      </c>
      <c r="X628" s="343"/>
      <c r="Y628" s="367" t="str">
        <f t="shared" ca="1" si="283"/>
        <v/>
      </c>
      <c r="Z628" s="368" t="str">
        <f t="shared" ca="1" si="284"/>
        <v/>
      </c>
      <c r="AA628" s="369" t="str">
        <f t="shared" ca="1" si="285"/>
        <v/>
      </c>
      <c r="AB628" s="344"/>
      <c r="AC628" s="363" t="e">
        <f t="shared" ca="1" si="286"/>
        <v>#N/A</v>
      </c>
      <c r="AD628" s="376" t="e">
        <f t="shared" ca="1" si="287"/>
        <v>#N/A</v>
      </c>
      <c r="AE628" s="377">
        <f t="shared" ca="1" si="266"/>
        <v>2554.6053856075737</v>
      </c>
      <c r="AF628" s="344"/>
      <c r="AG628" s="359">
        <f t="shared" ca="1" si="288"/>
        <v>-9.1478298824880984</v>
      </c>
      <c r="AH628" s="357">
        <f t="shared" ca="1" si="289"/>
        <v>-1.1052952368709508</v>
      </c>
    </row>
    <row r="629" spans="1:34" x14ac:dyDescent="0.25">
      <c r="A629" s="402">
        <f t="shared" ca="1" si="267"/>
        <v>0.1</v>
      </c>
      <c r="B629" s="357">
        <f t="shared" ca="1" si="268"/>
        <v>17.499999999999918</v>
      </c>
      <c r="C629" s="342"/>
      <c r="D629" s="359">
        <f t="shared" ca="1" si="269"/>
        <v>-0.62335978357077504</v>
      </c>
      <c r="E629" s="360">
        <f t="shared" ca="1" si="270"/>
        <v>-10.687314840987359</v>
      </c>
      <c r="F629" s="357">
        <f t="shared" ca="1" si="271"/>
        <v>10.70547878098696</v>
      </c>
      <c r="G629" s="359">
        <f t="shared" ca="1" si="272"/>
        <v>40.218660723827938</v>
      </c>
      <c r="H629" s="360">
        <f t="shared" ca="1" si="273"/>
        <v>55.622632232305314</v>
      </c>
      <c r="I629" s="357">
        <f t="shared" ca="1" si="274"/>
        <v>68.639768989039226</v>
      </c>
      <c r="J629" s="359">
        <f t="shared" ca="1" si="275"/>
        <v>795.95283503923167</v>
      </c>
      <c r="K629" s="360">
        <f t="shared" ca="1" si="276"/>
        <v>2560.221085405009</v>
      </c>
      <c r="L629" s="357">
        <f t="shared" ca="1" si="261"/>
        <v>2681.0954704671358</v>
      </c>
      <c r="M629" s="359">
        <f t="shared" ca="1" si="277"/>
        <v>0.94475902518618549</v>
      </c>
      <c r="N629" s="357">
        <f t="shared" ca="1" si="278"/>
        <v>54.130704800062276</v>
      </c>
      <c r="O629" s="343"/>
      <c r="P629" s="363">
        <f t="shared" ca="1" si="279"/>
        <v>23</v>
      </c>
      <c r="Q629" s="357">
        <f t="shared" ca="1" si="280"/>
        <v>0</v>
      </c>
      <c r="R629" s="359">
        <f t="shared" ca="1" si="281"/>
        <v>0</v>
      </c>
      <c r="S629" s="360">
        <f t="shared" ca="1" si="282"/>
        <v>9.637999999999975</v>
      </c>
      <c r="T629" s="357">
        <f t="shared" ca="1" si="262"/>
        <v>94.548779999999766</v>
      </c>
      <c r="U629" s="364">
        <f t="shared" ca="1" si="263"/>
        <v>0</v>
      </c>
      <c r="V629" s="359">
        <f t="shared" ca="1" si="264"/>
        <v>0.94696453060026986</v>
      </c>
      <c r="W629" s="357">
        <f t="shared" ca="1" si="265"/>
        <v>10.098688043084433</v>
      </c>
      <c r="X629" s="343"/>
      <c r="Y629" s="367" t="str">
        <f t="shared" ca="1" si="283"/>
        <v/>
      </c>
      <c r="Z629" s="368" t="str">
        <f t="shared" ca="1" si="284"/>
        <v/>
      </c>
      <c r="AA629" s="369" t="str">
        <f t="shared" ca="1" si="285"/>
        <v/>
      </c>
      <c r="AB629" s="344"/>
      <c r="AC629" s="363" t="e">
        <f t="shared" ca="1" si="286"/>
        <v>#N/A</v>
      </c>
      <c r="AD629" s="376" t="e">
        <f t="shared" ca="1" si="287"/>
        <v>#N/A</v>
      </c>
      <c r="AE629" s="377">
        <f t="shared" ca="1" si="266"/>
        <v>2560.221085405009</v>
      </c>
      <c r="AF629" s="344"/>
      <c r="AG629" s="359">
        <f t="shared" ca="1" si="288"/>
        <v>-9.0731247328730973</v>
      </c>
      <c r="AH629" s="357">
        <f t="shared" ca="1" si="289"/>
        <v>-1.0762243028244978</v>
      </c>
    </row>
    <row r="630" spans="1:34" x14ac:dyDescent="0.25">
      <c r="A630" s="402">
        <f t="shared" ca="1" si="267"/>
        <v>0.1</v>
      </c>
      <c r="B630" s="357">
        <f t="shared" ca="1" si="268"/>
        <v>17.59999999999992</v>
      </c>
      <c r="C630" s="342"/>
      <c r="D630" s="359">
        <f t="shared" ca="1" si="269"/>
        <v>-0.61394550789304292</v>
      </c>
      <c r="E630" s="360">
        <f t="shared" ca="1" si="270"/>
        <v>-10.659090063707133</v>
      </c>
      <c r="F630" s="357">
        <f t="shared" ca="1" si="271"/>
        <v>10.676756533371087</v>
      </c>
      <c r="G630" s="359">
        <f t="shared" ca="1" si="272"/>
        <v>40.157266173038636</v>
      </c>
      <c r="H630" s="360">
        <f t="shared" ca="1" si="273"/>
        <v>54.556723225934604</v>
      </c>
      <c r="I630" s="357">
        <f t="shared" ca="1" si="274"/>
        <v>67.742468774347941</v>
      </c>
      <c r="J630" s="359">
        <f t="shared" ca="1" si="275"/>
        <v>799.97163138407495</v>
      </c>
      <c r="K630" s="360">
        <f t="shared" ca="1" si="276"/>
        <v>2565.730053177921</v>
      </c>
      <c r="L630" s="357">
        <f t="shared" ca="1" si="261"/>
        <v>2687.5500584732699</v>
      </c>
      <c r="M630" s="359">
        <f t="shared" ca="1" si="277"/>
        <v>0.9362737683866672</v>
      </c>
      <c r="N630" s="357">
        <f t="shared" ca="1" si="278"/>
        <v>53.644535397365189</v>
      </c>
      <c r="O630" s="343"/>
      <c r="P630" s="363">
        <f t="shared" ca="1" si="279"/>
        <v>23</v>
      </c>
      <c r="Q630" s="357">
        <f t="shared" ca="1" si="280"/>
        <v>0</v>
      </c>
      <c r="R630" s="359">
        <f t="shared" ca="1" si="281"/>
        <v>0</v>
      </c>
      <c r="S630" s="360">
        <f t="shared" ca="1" si="282"/>
        <v>9.637999999999975</v>
      </c>
      <c r="T630" s="357">
        <f t="shared" ca="1" si="262"/>
        <v>94.548779999999766</v>
      </c>
      <c r="U630" s="364">
        <f t="shared" ca="1" si="263"/>
        <v>0</v>
      </c>
      <c r="V630" s="359">
        <f t="shared" ca="1" si="264"/>
        <v>0.94643428927527007</v>
      </c>
      <c r="W630" s="357">
        <f t="shared" ca="1" si="265"/>
        <v>9.8308738639742561</v>
      </c>
      <c r="X630" s="343"/>
      <c r="Y630" s="367" t="str">
        <f t="shared" ca="1" si="283"/>
        <v/>
      </c>
      <c r="Z630" s="368" t="str">
        <f t="shared" ca="1" si="284"/>
        <v/>
      </c>
      <c r="AA630" s="369" t="str">
        <f t="shared" ca="1" si="285"/>
        <v/>
      </c>
      <c r="AB630" s="344"/>
      <c r="AC630" s="363" t="e">
        <f t="shared" ca="1" si="286"/>
        <v>#N/A</v>
      </c>
      <c r="AD630" s="376" t="e">
        <f t="shared" ca="1" si="287"/>
        <v>#N/A</v>
      </c>
      <c r="AE630" s="377">
        <f t="shared" ca="1" si="266"/>
        <v>2565.730053177921</v>
      </c>
      <c r="AF630" s="344"/>
      <c r="AG630" s="359">
        <f t="shared" ca="1" si="288"/>
        <v>-8.99738914809123</v>
      </c>
      <c r="AH630" s="357">
        <f t="shared" ca="1" si="289"/>
        <v>-1.0477991329201555</v>
      </c>
    </row>
    <row r="631" spans="1:34" x14ac:dyDescent="0.25">
      <c r="A631" s="402">
        <f t="shared" ca="1" si="267"/>
        <v>0.1</v>
      </c>
      <c r="B631" s="357">
        <f t="shared" ca="1" si="268"/>
        <v>17.699999999999921</v>
      </c>
      <c r="C631" s="342"/>
      <c r="D631" s="359">
        <f t="shared" ca="1" si="269"/>
        <v>-0.6046559367884855</v>
      </c>
      <c r="E631" s="360">
        <f t="shared" ca="1" si="270"/>
        <v>-10.631471423082969</v>
      </c>
      <c r="F631" s="357">
        <f t="shared" ca="1" si="271"/>
        <v>10.648652188034097</v>
      </c>
      <c r="G631" s="359">
        <f t="shared" ca="1" si="272"/>
        <v>40.096800579359787</v>
      </c>
      <c r="H631" s="360">
        <f t="shared" ca="1" si="273"/>
        <v>53.493576083626309</v>
      </c>
      <c r="I631" s="357">
        <f t="shared" ca="1" si="274"/>
        <v>66.852943831335239</v>
      </c>
      <c r="J631" s="359">
        <f t="shared" ca="1" si="275"/>
        <v>803.98433472169484</v>
      </c>
      <c r="K631" s="360">
        <f t="shared" ca="1" si="276"/>
        <v>2571.1325681433991</v>
      </c>
      <c r="L631" s="357">
        <f t="shared" ca="1" si="261"/>
        <v>2693.9030222793021</v>
      </c>
      <c r="M631" s="359">
        <f t="shared" ca="1" si="277"/>
        <v>0.92757501401148146</v>
      </c>
      <c r="N631" s="357">
        <f t="shared" ca="1" si="278"/>
        <v>53.146133484646086</v>
      </c>
      <c r="O631" s="343"/>
      <c r="P631" s="363">
        <f t="shared" ca="1" si="279"/>
        <v>23</v>
      </c>
      <c r="Q631" s="357">
        <f t="shared" ca="1" si="280"/>
        <v>0</v>
      </c>
      <c r="R631" s="359">
        <f t="shared" ca="1" si="281"/>
        <v>0</v>
      </c>
      <c r="S631" s="360">
        <f t="shared" ca="1" si="282"/>
        <v>9.637999999999975</v>
      </c>
      <c r="T631" s="357">
        <f t="shared" ca="1" si="262"/>
        <v>94.548779999999766</v>
      </c>
      <c r="U631" s="364">
        <f t="shared" ca="1" si="263"/>
        <v>0</v>
      </c>
      <c r="V631" s="359">
        <f t="shared" ca="1" si="264"/>
        <v>0.94591454547380394</v>
      </c>
      <c r="W631" s="357">
        <f t="shared" ca="1" si="265"/>
        <v>9.5691330580635796</v>
      </c>
      <c r="X631" s="343"/>
      <c r="Y631" s="367" t="str">
        <f t="shared" ca="1" si="283"/>
        <v/>
      </c>
      <c r="Z631" s="368" t="str">
        <f t="shared" ca="1" si="284"/>
        <v/>
      </c>
      <c r="AA631" s="369" t="str">
        <f t="shared" ca="1" si="285"/>
        <v/>
      </c>
      <c r="AB631" s="344"/>
      <c r="AC631" s="363" t="e">
        <f t="shared" ca="1" si="286"/>
        <v>#N/A</v>
      </c>
      <c r="AD631" s="376" t="e">
        <f t="shared" ca="1" si="287"/>
        <v>#N/A</v>
      </c>
      <c r="AE631" s="377">
        <f t="shared" ca="1" si="266"/>
        <v>2571.1325681433991</v>
      </c>
      <c r="AF631" s="344"/>
      <c r="AG631" s="359">
        <f t="shared" ca="1" si="288"/>
        <v>-8.9205425229368718</v>
      </c>
      <c r="AH631" s="357">
        <f t="shared" ca="1" si="289"/>
        <v>-1.0200118140666405</v>
      </c>
    </row>
    <row r="632" spans="1:34" x14ac:dyDescent="0.25">
      <c r="A632" s="402">
        <f t="shared" ca="1" si="267"/>
        <v>0.1</v>
      </c>
      <c r="B632" s="357">
        <f t="shared" ca="1" si="268"/>
        <v>17.799999999999923</v>
      </c>
      <c r="C632" s="342"/>
      <c r="D632" s="359">
        <f t="shared" ca="1" si="269"/>
        <v>-0.5954905256204478</v>
      </c>
      <c r="E632" s="360">
        <f t="shared" ca="1" si="270"/>
        <v>-10.604450362100803</v>
      </c>
      <c r="F632" s="357">
        <f t="shared" ca="1" si="271"/>
        <v>10.621157020229179</v>
      </c>
      <c r="G632" s="359">
        <f t="shared" ca="1" si="272"/>
        <v>40.037251526797739</v>
      </c>
      <c r="H632" s="360">
        <f t="shared" ca="1" si="273"/>
        <v>52.433131047416225</v>
      </c>
      <c r="I632" s="357">
        <f t="shared" ca="1" si="274"/>
        <v>65.971317564950837</v>
      </c>
      <c r="J632" s="359">
        <f t="shared" ca="1" si="275"/>
        <v>807.99103732700269</v>
      </c>
      <c r="K632" s="360">
        <f t="shared" ca="1" si="276"/>
        <v>2576.428903499951</v>
      </c>
      <c r="L632" s="357">
        <f t="shared" ca="1" si="261"/>
        <v>2700.154701344115</v>
      </c>
      <c r="M632" s="359">
        <f t="shared" ca="1" si="277"/>
        <v>0.91865616540601958</v>
      </c>
      <c r="N632" s="357">
        <f t="shared" ca="1" si="278"/>
        <v>52.63512110143698</v>
      </c>
      <c r="O632" s="343"/>
      <c r="P632" s="363">
        <f t="shared" ca="1" si="279"/>
        <v>23</v>
      </c>
      <c r="Q632" s="357">
        <f t="shared" ca="1" si="280"/>
        <v>0</v>
      </c>
      <c r="R632" s="359">
        <f t="shared" ca="1" si="281"/>
        <v>0</v>
      </c>
      <c r="S632" s="360">
        <f t="shared" ca="1" si="282"/>
        <v>9.637999999999975</v>
      </c>
      <c r="T632" s="357">
        <f t="shared" ca="1" si="262"/>
        <v>94.548779999999766</v>
      </c>
      <c r="U632" s="364">
        <f t="shared" ca="1" si="263"/>
        <v>0</v>
      </c>
      <c r="V632" s="359">
        <f t="shared" ca="1" si="264"/>
        <v>0.94540525804343156</v>
      </c>
      <c r="W632" s="357">
        <f t="shared" ca="1" si="265"/>
        <v>9.3133933743776982</v>
      </c>
      <c r="X632" s="343"/>
      <c r="Y632" s="367" t="str">
        <f t="shared" ca="1" si="283"/>
        <v/>
      </c>
      <c r="Z632" s="368" t="str">
        <f t="shared" ca="1" si="284"/>
        <v/>
      </c>
      <c r="AA632" s="369" t="str">
        <f t="shared" ca="1" si="285"/>
        <v/>
      </c>
      <c r="AB632" s="344"/>
      <c r="AC632" s="363" t="e">
        <f t="shared" ca="1" si="286"/>
        <v>#N/A</v>
      </c>
      <c r="AD632" s="376" t="e">
        <f t="shared" ca="1" si="287"/>
        <v>#N/A</v>
      </c>
      <c r="AE632" s="377">
        <f t="shared" ca="1" si="266"/>
        <v>2576.428903499951</v>
      </c>
      <c r="AF632" s="344"/>
      <c r="AG632" s="359">
        <f t="shared" ca="1" si="288"/>
        <v>-8.8425012160152221</v>
      </c>
      <c r="AH632" s="357">
        <f t="shared" ca="1" si="289"/>
        <v>-0.9928546439161241</v>
      </c>
    </row>
    <row r="633" spans="1:34" x14ac:dyDescent="0.25">
      <c r="A633" s="402">
        <f t="shared" ca="1" si="267"/>
        <v>0.1</v>
      </c>
      <c r="B633" s="357">
        <f t="shared" ca="1" si="268"/>
        <v>17.899999999999924</v>
      </c>
      <c r="C633" s="342"/>
      <c r="D633" s="359">
        <f t="shared" ca="1" si="269"/>
        <v>-0.58644882909812801</v>
      </c>
      <c r="E633" s="360">
        <f t="shared" ca="1" si="270"/>
        <v>-10.578018461210426</v>
      </c>
      <c r="F633" s="357">
        <f t="shared" ca="1" si="271"/>
        <v>10.594262446950196</v>
      </c>
      <c r="G633" s="359">
        <f t="shared" ca="1" si="272"/>
        <v>39.978606643887929</v>
      </c>
      <c r="H633" s="360">
        <f t="shared" ca="1" si="273"/>
        <v>51.37532920129518</v>
      </c>
      <c r="I633" s="357">
        <f t="shared" ca="1" si="274"/>
        <v>65.097722231489584</v>
      </c>
      <c r="J633" s="359">
        <f t="shared" ca="1" si="275"/>
        <v>811.99183023553701</v>
      </c>
      <c r="K633" s="360">
        <f t="shared" ca="1" si="276"/>
        <v>2581.6193265123866</v>
      </c>
      <c r="L633" s="357">
        <f t="shared" ca="1" si="261"/>
        <v>2706.3054298049078</v>
      </c>
      <c r="M633" s="359">
        <f t="shared" ca="1" si="277"/>
        <v>0.90951043558452938</v>
      </c>
      <c r="N633" s="357">
        <f t="shared" ca="1" si="278"/>
        <v>52.111109382098661</v>
      </c>
      <c r="O633" s="343"/>
      <c r="P633" s="363">
        <f t="shared" ca="1" si="279"/>
        <v>23</v>
      </c>
      <c r="Q633" s="357">
        <f t="shared" ca="1" si="280"/>
        <v>0</v>
      </c>
      <c r="R633" s="359">
        <f t="shared" ca="1" si="281"/>
        <v>0</v>
      </c>
      <c r="S633" s="360">
        <f t="shared" ca="1" si="282"/>
        <v>9.637999999999975</v>
      </c>
      <c r="T633" s="357">
        <f t="shared" ca="1" si="262"/>
        <v>94.548779999999766</v>
      </c>
      <c r="U633" s="364">
        <f t="shared" ca="1" si="263"/>
        <v>0</v>
      </c>
      <c r="V633" s="359">
        <f t="shared" ca="1" si="264"/>
        <v>0.94490638676078476</v>
      </c>
      <c r="W633" s="357">
        <f t="shared" ca="1" si="265"/>
        <v>9.0635845007078899</v>
      </c>
      <c r="X633" s="343"/>
      <c r="Y633" s="367" t="str">
        <f t="shared" ca="1" si="283"/>
        <v/>
      </c>
      <c r="Z633" s="368" t="str">
        <f t="shared" ca="1" si="284"/>
        <v/>
      </c>
      <c r="AA633" s="369" t="str">
        <f t="shared" ca="1" si="285"/>
        <v/>
      </c>
      <c r="AB633" s="344"/>
      <c r="AC633" s="363" t="e">
        <f t="shared" ca="1" si="286"/>
        <v>#N/A</v>
      </c>
      <c r="AD633" s="376" t="e">
        <f t="shared" ca="1" si="287"/>
        <v>#N/A</v>
      </c>
      <c r="AE633" s="377">
        <f t="shared" ca="1" si="266"/>
        <v>2581.6193265123866</v>
      </c>
      <c r="AF633" s="344"/>
      <c r="AG633" s="359">
        <f t="shared" ca="1" si="288"/>
        <v>-8.7631784359567533</v>
      </c>
      <c r="AH633" s="357">
        <f t="shared" ca="1" si="289"/>
        <v>-0.96632012599893358</v>
      </c>
    </row>
    <row r="634" spans="1:34" x14ac:dyDescent="0.25">
      <c r="A634" s="402">
        <f t="shared" ca="1" si="267"/>
        <v>0.1</v>
      </c>
      <c r="B634" s="357">
        <f t="shared" ca="1" si="268"/>
        <v>17.999999999999925</v>
      </c>
      <c r="C634" s="342"/>
      <c r="D634" s="359">
        <f t="shared" ca="1" si="269"/>
        <v>-0.57753050304483144</v>
      </c>
      <c r="E634" s="360">
        <f t="shared" ca="1" si="270"/>
        <v>-10.552167429245662</v>
      </c>
      <c r="F634" s="357">
        <f t="shared" ca="1" si="271"/>
        <v>10.567960017750835</v>
      </c>
      <c r="G634" s="359">
        <f t="shared" ca="1" si="272"/>
        <v>39.920853593583445</v>
      </c>
      <c r="H634" s="360">
        <f t="shared" ca="1" si="273"/>
        <v>50.320112458370616</v>
      </c>
      <c r="I634" s="357">
        <f t="shared" ca="1" si="274"/>
        <v>64.232299269630616</v>
      </c>
      <c r="J634" s="359">
        <f t="shared" ca="1" si="275"/>
        <v>815.98680324741053</v>
      </c>
      <c r="K634" s="360">
        <f t="shared" ca="1" si="276"/>
        <v>2586.7040985953699</v>
      </c>
      <c r="L634" s="357">
        <f t="shared" ca="1" si="261"/>
        <v>2712.3555365703837</v>
      </c>
      <c r="M634" s="359">
        <f t="shared" ca="1" si="277"/>
        <v>0.90013084746444771</v>
      </c>
      <c r="N634" s="357">
        <f t="shared" ca="1" si="278"/>
        <v>51.573698569246936</v>
      </c>
      <c r="O634" s="343"/>
      <c r="P634" s="363">
        <f t="shared" ca="1" si="279"/>
        <v>23</v>
      </c>
      <c r="Q634" s="357">
        <f t="shared" ca="1" si="280"/>
        <v>0</v>
      </c>
      <c r="R634" s="359">
        <f t="shared" ca="1" si="281"/>
        <v>0</v>
      </c>
      <c r="S634" s="360">
        <f t="shared" ca="1" si="282"/>
        <v>9.637999999999975</v>
      </c>
      <c r="T634" s="357">
        <f t="shared" ca="1" si="262"/>
        <v>94.548779999999766</v>
      </c>
      <c r="U634" s="364">
        <f t="shared" ca="1" si="263"/>
        <v>0</v>
      </c>
      <c r="V634" s="359">
        <f t="shared" ca="1" si="264"/>
        <v>0.94441789231865958</v>
      </c>
      <c r="W634" s="357">
        <f t="shared" ca="1" si="265"/>
        <v>8.819638019471963</v>
      </c>
      <c r="X634" s="343"/>
      <c r="Y634" s="367" t="str">
        <f t="shared" ca="1" si="283"/>
        <v/>
      </c>
      <c r="Z634" s="368" t="str">
        <f t="shared" ca="1" si="284"/>
        <v/>
      </c>
      <c r="AA634" s="369" t="str">
        <f t="shared" ca="1" si="285"/>
        <v/>
      </c>
      <c r="AB634" s="344"/>
      <c r="AC634" s="363">
        <f t="shared" ca="1" si="286"/>
        <v>17.999999999999925</v>
      </c>
      <c r="AD634" s="376">
        <f t="shared" ca="1" si="287"/>
        <v>815.98680324741053</v>
      </c>
      <c r="AE634" s="377">
        <f t="shared" ca="1" si="266"/>
        <v>2586.7040985953699</v>
      </c>
      <c r="AF634" s="344"/>
      <c r="AG634" s="359">
        <f t="shared" ca="1" si="288"/>
        <v>-8.6824841314854595</v>
      </c>
      <c r="AH634" s="357">
        <f t="shared" ca="1" si="289"/>
        <v>-0.94040096500393378</v>
      </c>
    </row>
    <row r="635" spans="1:34" x14ac:dyDescent="0.25">
      <c r="A635" s="402">
        <f t="shared" ca="1" si="267"/>
        <v>0.1</v>
      </c>
      <c r="B635" s="357">
        <f t="shared" ca="1" si="268"/>
        <v>18.099999999999927</v>
      </c>
      <c r="C635" s="342"/>
      <c r="D635" s="359">
        <f t="shared" ca="1" si="269"/>
        <v>-0.56873530627687485</v>
      </c>
      <c r="E635" s="360">
        <f t="shared" ca="1" si="270"/>
        <v>-10.52688909416251</v>
      </c>
      <c r="F635" s="357">
        <f t="shared" ca="1" si="271"/>
        <v>10.542241405384503</v>
      </c>
      <c r="G635" s="359">
        <f t="shared" ca="1" si="272"/>
        <v>39.863980062955754</v>
      </c>
      <c r="H635" s="360">
        <f t="shared" ca="1" si="273"/>
        <v>49.267423548954362</v>
      </c>
      <c r="I635" s="357">
        <f t="shared" ca="1" si="274"/>
        <v>63.375199641593213</v>
      </c>
      <c r="J635" s="359">
        <f t="shared" ca="1" si="275"/>
        <v>819.97604493023755</v>
      </c>
      <c r="K635" s="360">
        <f t="shared" ca="1" si="276"/>
        <v>2591.683475395736</v>
      </c>
      <c r="L635" s="357">
        <f t="shared" ca="1" si="261"/>
        <v>2718.3053454126075</v>
      </c>
      <c r="M635" s="359">
        <f t="shared" ca="1" si="277"/>
        <v>0.8905102350872659</v>
      </c>
      <c r="N635" s="357">
        <f t="shared" ca="1" si="278"/>
        <v>51.022478083703092</v>
      </c>
      <c r="O635" s="343"/>
      <c r="P635" s="363">
        <f t="shared" ca="1" si="279"/>
        <v>23</v>
      </c>
      <c r="Q635" s="357">
        <f t="shared" ca="1" si="280"/>
        <v>0</v>
      </c>
      <c r="R635" s="359">
        <f t="shared" ca="1" si="281"/>
        <v>0</v>
      </c>
      <c r="S635" s="360">
        <f t="shared" ca="1" si="282"/>
        <v>9.637999999999975</v>
      </c>
      <c r="T635" s="357">
        <f t="shared" ca="1" si="262"/>
        <v>94.548779999999766</v>
      </c>
      <c r="U635" s="364">
        <f t="shared" ca="1" si="263"/>
        <v>0</v>
      </c>
      <c r="V635" s="359">
        <f t="shared" ca="1" si="264"/>
        <v>0.94393973631337236</v>
      </c>
      <c r="W635" s="357">
        <f t="shared" ca="1" si="265"/>
        <v>8.5814873648687247</v>
      </c>
      <c r="X635" s="343"/>
      <c r="Y635" s="367" t="str">
        <f t="shared" ca="1" si="283"/>
        <v/>
      </c>
      <c r="Z635" s="368" t="str">
        <f t="shared" ca="1" si="284"/>
        <v/>
      </c>
      <c r="AA635" s="369" t="str">
        <f t="shared" ca="1" si="285"/>
        <v/>
      </c>
      <c r="AB635" s="344"/>
      <c r="AC635" s="363" t="e">
        <f t="shared" ca="1" si="286"/>
        <v>#N/A</v>
      </c>
      <c r="AD635" s="376" t="e">
        <f t="shared" ca="1" si="287"/>
        <v>#N/A</v>
      </c>
      <c r="AE635" s="377">
        <f t="shared" ca="1" si="266"/>
        <v>2591.683475395736</v>
      </c>
      <c r="AF635" s="344"/>
      <c r="AG635" s="359">
        <f t="shared" ca="1" si="288"/>
        <v>-8.6003248868847564</v>
      </c>
      <c r="AH635" s="357">
        <f t="shared" ca="1" si="289"/>
        <v>-0.91509006219879496</v>
      </c>
    </row>
    <row r="636" spans="1:34" x14ac:dyDescent="0.25">
      <c r="A636" s="402">
        <f t="shared" ca="1" si="267"/>
        <v>0.1</v>
      </c>
      <c r="B636" s="357">
        <f t="shared" ca="1" si="268"/>
        <v>18.199999999999928</v>
      </c>
      <c r="C636" s="342"/>
      <c r="D636" s="359">
        <f t="shared" ca="1" si="269"/>
        <v>-0.560063102586839</v>
      </c>
      <c r="E636" s="360">
        <f t="shared" ca="1" si="270"/>
        <v>-10.502175393568603</v>
      </c>
      <c r="F636" s="357">
        <f t="shared" ca="1" si="271"/>
        <v>10.517098396238243</v>
      </c>
      <c r="G636" s="359">
        <f t="shared" ca="1" si="272"/>
        <v>39.807973752697073</v>
      </c>
      <c r="H636" s="360">
        <f t="shared" ca="1" si="273"/>
        <v>48.217206009597504</v>
      </c>
      <c r="I636" s="357">
        <f t="shared" ca="1" si="274"/>
        <v>62.526584183588547</v>
      </c>
      <c r="J636" s="359">
        <f t="shared" ca="1" si="275"/>
        <v>823.95964262102018</v>
      </c>
      <c r="K636" s="360">
        <f t="shared" ca="1" si="276"/>
        <v>2596.5577068736634</v>
      </c>
      <c r="L636" s="357">
        <f t="shared" ca="1" si="261"/>
        <v>2724.1551750576132</v>
      </c>
      <c r="M636" s="359">
        <f t="shared" ca="1" si="277"/>
        <v>0.8806412459748395</v>
      </c>
      <c r="N636" s="357">
        <f t="shared" ca="1" si="278"/>
        <v>50.457026659500499</v>
      </c>
      <c r="O636" s="343"/>
      <c r="P636" s="363">
        <f t="shared" ca="1" si="279"/>
        <v>23</v>
      </c>
      <c r="Q636" s="357">
        <f t="shared" ca="1" si="280"/>
        <v>0</v>
      </c>
      <c r="R636" s="359">
        <f t="shared" ca="1" si="281"/>
        <v>0</v>
      </c>
      <c r="S636" s="360">
        <f t="shared" ca="1" si="282"/>
        <v>9.637999999999975</v>
      </c>
      <c r="T636" s="357">
        <f t="shared" ca="1" si="262"/>
        <v>94.548779999999766</v>
      </c>
      <c r="U636" s="364">
        <f t="shared" ca="1" si="263"/>
        <v>0</v>
      </c>
      <c r="V636" s="359">
        <f t="shared" ca="1" si="264"/>
        <v>0.94347188123236381</v>
      </c>
      <c r="W636" s="357">
        <f t="shared" ca="1" si="265"/>
        <v>8.3490677812732663</v>
      </c>
      <c r="X636" s="343"/>
      <c r="Y636" s="367" t="str">
        <f t="shared" ca="1" si="283"/>
        <v/>
      </c>
      <c r="Z636" s="368" t="str">
        <f t="shared" ca="1" si="284"/>
        <v/>
      </c>
      <c r="AA636" s="369" t="str">
        <f t="shared" ca="1" si="285"/>
        <v/>
      </c>
      <c r="AB636" s="344"/>
      <c r="AC636" s="363" t="e">
        <f t="shared" ca="1" si="286"/>
        <v>#N/A</v>
      </c>
      <c r="AD636" s="376" t="e">
        <f t="shared" ca="1" si="287"/>
        <v>#N/A</v>
      </c>
      <c r="AE636" s="377">
        <f t="shared" ca="1" si="266"/>
        <v>2596.5577068736634</v>
      </c>
      <c r="AF636" s="344"/>
      <c r="AG636" s="359">
        <f t="shared" ca="1" si="288"/>
        <v>-8.5166038246550446</v>
      </c>
      <c r="AH636" s="357">
        <f t="shared" ca="1" si="289"/>
        <v>-0.8903805109845141</v>
      </c>
    </row>
    <row r="637" spans="1:34" x14ac:dyDescent="0.25">
      <c r="A637" s="402">
        <f t="shared" ca="1" si="267"/>
        <v>0.1</v>
      </c>
      <c r="B637" s="357">
        <f t="shared" ca="1" si="268"/>
        <v>18.29999999999993</v>
      </c>
      <c r="C637" s="342"/>
      <c r="D637" s="359">
        <f t="shared" ca="1" si="269"/>
        <v>-0.55151386282328996</v>
      </c>
      <c r="E637" s="360">
        <f t="shared" ca="1" si="270"/>
        <v>-10.478018365016577</v>
      </c>
      <c r="F637" s="357">
        <f t="shared" ca="1" si="271"/>
        <v>10.492522880533116</v>
      </c>
      <c r="G637" s="359">
        <f t="shared" ca="1" si="272"/>
        <v>39.752822366414748</v>
      </c>
      <c r="H637" s="360">
        <f t="shared" ca="1" si="273"/>
        <v>47.169404173095849</v>
      </c>
      <c r="I637" s="357">
        <f t="shared" ca="1" si="274"/>
        <v>61.686623964524081</v>
      </c>
      <c r="J637" s="359">
        <f t="shared" ca="1" si="275"/>
        <v>827.93768242697581</v>
      </c>
      <c r="K637" s="360">
        <f t="shared" ca="1" si="276"/>
        <v>2601.3270373827982</v>
      </c>
      <c r="L637" s="357">
        <f t="shared" ca="1" si="261"/>
        <v>2729.9053392748469</v>
      </c>
      <c r="M637" s="359">
        <f t="shared" ca="1" si="277"/>
        <v>0.87051634478576179</v>
      </c>
      <c r="N637" s="357">
        <f t="shared" ca="1" si="278"/>
        <v>49.876912553379356</v>
      </c>
      <c r="O637" s="343"/>
      <c r="P637" s="363">
        <f t="shared" ca="1" si="279"/>
        <v>23</v>
      </c>
      <c r="Q637" s="357">
        <f t="shared" ca="1" si="280"/>
        <v>0</v>
      </c>
      <c r="R637" s="359">
        <f t="shared" ca="1" si="281"/>
        <v>0</v>
      </c>
      <c r="S637" s="360">
        <f t="shared" ca="1" si="282"/>
        <v>9.637999999999975</v>
      </c>
      <c r="T637" s="357">
        <f t="shared" ca="1" si="262"/>
        <v>94.548779999999766</v>
      </c>
      <c r="U637" s="364">
        <f t="shared" ca="1" si="263"/>
        <v>0</v>
      </c>
      <c r="V637" s="359">
        <f t="shared" ca="1" si="264"/>
        <v>0.94301429044204177</v>
      </c>
      <c r="W637" s="357">
        <f t="shared" ca="1" si="265"/>
        <v>8.1223162828211031</v>
      </c>
      <c r="X637" s="343"/>
      <c r="Y637" s="367" t="str">
        <f t="shared" ca="1" si="283"/>
        <v/>
      </c>
      <c r="Z637" s="368" t="str">
        <f t="shared" ca="1" si="284"/>
        <v/>
      </c>
      <c r="AA637" s="369" t="str">
        <f t="shared" ca="1" si="285"/>
        <v/>
      </c>
      <c r="AB637" s="344"/>
      <c r="AC637" s="363" t="e">
        <f t="shared" ca="1" si="286"/>
        <v>#N/A</v>
      </c>
      <c r="AD637" s="376" t="e">
        <f t="shared" ca="1" si="287"/>
        <v>#N/A</v>
      </c>
      <c r="AE637" s="377">
        <f t="shared" ca="1" si="266"/>
        <v>2601.3270373827982</v>
      </c>
      <c r="AF637" s="344"/>
      <c r="AG637" s="359">
        <f t="shared" ca="1" si="288"/>
        <v>-8.4312205174361203</v>
      </c>
      <c r="AH637" s="357">
        <f t="shared" ca="1" si="289"/>
        <v>-0.86626559257867686</v>
      </c>
    </row>
    <row r="638" spans="1:34" x14ac:dyDescent="0.25">
      <c r="A638" s="402">
        <f t="shared" ca="1" si="267"/>
        <v>0.1</v>
      </c>
      <c r="B638" s="357">
        <f t="shared" ca="1" si="268"/>
        <v>18.399999999999931</v>
      </c>
      <c r="C638" s="342"/>
      <c r="D638" s="359">
        <f t="shared" ca="1" si="269"/>
        <v>-0.54308766705728406</v>
      </c>
      <c r="E638" s="360">
        <f t="shared" ca="1" si="270"/>
        <v>-10.454410136033296</v>
      </c>
      <c r="F638" s="357">
        <f t="shared" ca="1" si="271"/>
        <v>10.468506842262913</v>
      </c>
      <c r="G638" s="359">
        <f t="shared" ca="1" si="272"/>
        <v>39.698513599709017</v>
      </c>
      <c r="H638" s="360">
        <f t="shared" ca="1" si="273"/>
        <v>46.123963159492519</v>
      </c>
      <c r="I638" s="357">
        <f t="shared" ca="1" si="274"/>
        <v>60.855500651662581</v>
      </c>
      <c r="J638" s="359">
        <f t="shared" ca="1" si="275"/>
        <v>831.91024922528197</v>
      </c>
      <c r="K638" s="360">
        <f t="shared" ca="1" si="276"/>
        <v>2605.9917057494276</v>
      </c>
      <c r="L638" s="357">
        <f t="shared" ca="1" si="261"/>
        <v>2735.5561469655277</v>
      </c>
      <c r="M638" s="359">
        <f t="shared" ca="1" si="277"/>
        <v>0.86012781845310116</v>
      </c>
      <c r="N638" s="357">
        <f t="shared" ca="1" si="278"/>
        <v>49.281693839157384</v>
      </c>
      <c r="O638" s="343"/>
      <c r="P638" s="363">
        <f t="shared" ca="1" si="279"/>
        <v>23</v>
      </c>
      <c r="Q638" s="357">
        <f t="shared" ca="1" si="280"/>
        <v>0</v>
      </c>
      <c r="R638" s="359">
        <f t="shared" ca="1" si="281"/>
        <v>0</v>
      </c>
      <c r="S638" s="360">
        <f t="shared" ca="1" si="282"/>
        <v>9.637999999999975</v>
      </c>
      <c r="T638" s="357">
        <f t="shared" ca="1" si="262"/>
        <v>94.548779999999766</v>
      </c>
      <c r="U638" s="364">
        <f t="shared" ca="1" si="263"/>
        <v>0</v>
      </c>
      <c r="V638" s="359">
        <f t="shared" ca="1" si="264"/>
        <v>0.94256692817584864</v>
      </c>
      <c r="W638" s="357">
        <f t="shared" ca="1" si="265"/>
        <v>7.9011716141304325</v>
      </c>
      <c r="X638" s="343"/>
      <c r="Y638" s="367" t="str">
        <f t="shared" ca="1" si="283"/>
        <v/>
      </c>
      <c r="Z638" s="368" t="str">
        <f t="shared" ca="1" si="284"/>
        <v/>
      </c>
      <c r="AA638" s="369" t="str">
        <f t="shared" ca="1" si="285"/>
        <v/>
      </c>
      <c r="AB638" s="344"/>
      <c r="AC638" s="363" t="e">
        <f t="shared" ca="1" si="286"/>
        <v>#N/A</v>
      </c>
      <c r="AD638" s="376" t="e">
        <f t="shared" ca="1" si="287"/>
        <v>#N/A</v>
      </c>
      <c r="AE638" s="377">
        <f t="shared" ca="1" si="266"/>
        <v>2605.9917057494276</v>
      </c>
      <c r="AF638" s="344"/>
      <c r="AG638" s="359">
        <f t="shared" ca="1" si="288"/>
        <v>-8.3440709115771501</v>
      </c>
      <c r="AH638" s="357">
        <f t="shared" ca="1" si="289"/>
        <v>-0.84273877182207135</v>
      </c>
    </row>
    <row r="639" spans="1:34" x14ac:dyDescent="0.25">
      <c r="A639" s="402">
        <f t="shared" ca="1" si="267"/>
        <v>0.1</v>
      </c>
      <c r="B639" s="357">
        <f t="shared" ca="1" si="268"/>
        <v>18.499999999999932</v>
      </c>
      <c r="C639" s="342"/>
      <c r="D639" s="359">
        <f t="shared" ca="1" si="269"/>
        <v>-0.53478470682389168</v>
      </c>
      <c r="E639" s="360">
        <f t="shared" ca="1" si="270"/>
        <v>-10.431342913856252</v>
      </c>
      <c r="F639" s="357">
        <f t="shared" ca="1" si="271"/>
        <v>10.445042348842428</v>
      </c>
      <c r="G639" s="359">
        <f t="shared" ca="1" si="272"/>
        <v>39.645035129026631</v>
      </c>
      <c r="H639" s="360">
        <f t="shared" ca="1" si="273"/>
        <v>45.080828868106892</v>
      </c>
      <c r="I639" s="357">
        <f t="shared" ca="1" si="274"/>
        <v>60.033406881646286</v>
      </c>
      <c r="J639" s="359">
        <f t="shared" ca="1" si="275"/>
        <v>835.8774266617188</v>
      </c>
      <c r="K639" s="360">
        <f t="shared" ca="1" si="276"/>
        <v>2610.5519453508077</v>
      </c>
      <c r="L639" s="357">
        <f t="shared" ca="1" si="261"/>
        <v>2741.1079022500198</v>
      </c>
      <c r="M639" s="359">
        <f t="shared" ca="1" si="277"/>
        <v>0.84946778300235537</v>
      </c>
      <c r="N639" s="357">
        <f t="shared" ca="1" si="278"/>
        <v>48.670918798369811</v>
      </c>
      <c r="O639" s="343"/>
      <c r="P639" s="363">
        <f t="shared" ca="1" si="279"/>
        <v>23</v>
      </c>
      <c r="Q639" s="357">
        <f t="shared" ca="1" si="280"/>
        <v>0</v>
      </c>
      <c r="R639" s="359">
        <f t="shared" ca="1" si="281"/>
        <v>0</v>
      </c>
      <c r="S639" s="360">
        <f t="shared" ca="1" si="282"/>
        <v>9.637999999999975</v>
      </c>
      <c r="T639" s="357">
        <f t="shared" ca="1" si="262"/>
        <v>94.548779999999766</v>
      </c>
      <c r="U639" s="364">
        <f t="shared" ca="1" si="263"/>
        <v>0</v>
      </c>
      <c r="V639" s="359">
        <f t="shared" ca="1" si="264"/>
        <v>0.94212975952254008</v>
      </c>
      <c r="W639" s="357">
        <f t="shared" ca="1" si="265"/>
        <v>7.6855742121124857</v>
      </c>
      <c r="X639" s="343"/>
      <c r="Y639" s="367" t="str">
        <f t="shared" ca="1" si="283"/>
        <v/>
      </c>
      <c r="Z639" s="368" t="str">
        <f t="shared" ca="1" si="284"/>
        <v/>
      </c>
      <c r="AA639" s="369" t="str">
        <f t="shared" ca="1" si="285"/>
        <v/>
      </c>
      <c r="AB639" s="344"/>
      <c r="AC639" s="363" t="e">
        <f t="shared" ca="1" si="286"/>
        <v>#N/A</v>
      </c>
      <c r="AD639" s="376" t="e">
        <f t="shared" ca="1" si="287"/>
        <v>#N/A</v>
      </c>
      <c r="AE639" s="377">
        <f t="shared" ca="1" si="266"/>
        <v>2610.5519453508077</v>
      </c>
      <c r="AF639" s="344"/>
      <c r="AG639" s="359">
        <f t="shared" ca="1" si="288"/>
        <v>-8.2550472650787263</v>
      </c>
      <c r="AH639" s="357">
        <f t="shared" ca="1" si="289"/>
        <v>-0.8197936931033879</v>
      </c>
    </row>
    <row r="640" spans="1:34" x14ac:dyDescent="0.25">
      <c r="A640" s="402">
        <f t="shared" ca="1" si="267"/>
        <v>0.1</v>
      </c>
      <c r="B640" s="357">
        <f t="shared" ca="1" si="268"/>
        <v>18.599999999999934</v>
      </c>
      <c r="C640" s="342"/>
      <c r="D640" s="359">
        <f t="shared" ca="1" si="269"/>
        <v>-0.52660528742459289</v>
      </c>
      <c r="E640" s="360">
        <f t="shared" ca="1" si="270"/>
        <v>-10.408808974848075</v>
      </c>
      <c r="F640" s="357">
        <f t="shared" ca="1" si="271"/>
        <v>10.422121540436063</v>
      </c>
      <c r="G640" s="359">
        <f t="shared" ca="1" si="272"/>
        <v>39.592374600284174</v>
      </c>
      <c r="H640" s="360">
        <f t="shared" ca="1" si="273"/>
        <v>44.039947970622087</v>
      </c>
      <c r="I640" s="357">
        <f t="shared" ca="1" si="274"/>
        <v>59.220546634967221</v>
      </c>
      <c r="J640" s="359">
        <f t="shared" ca="1" si="275"/>
        <v>839.8392971481843</v>
      </c>
      <c r="K640" s="360">
        <f t="shared" ca="1" si="276"/>
        <v>2615.0079841927441</v>
      </c>
      <c r="L640" s="357">
        <f t="shared" ca="1" si="261"/>
        <v>2746.5609045543038</v>
      </c>
      <c r="M640" s="359">
        <f t="shared" ca="1" si="277"/>
        <v>0.83852819226677111</v>
      </c>
      <c r="N640" s="357">
        <f t="shared" ca="1" si="278"/>
        <v>48.044126419620419</v>
      </c>
      <c r="O640" s="343"/>
      <c r="P640" s="363">
        <f t="shared" ca="1" si="279"/>
        <v>23</v>
      </c>
      <c r="Q640" s="357">
        <f t="shared" ca="1" si="280"/>
        <v>0</v>
      </c>
      <c r="R640" s="359">
        <f t="shared" ca="1" si="281"/>
        <v>0</v>
      </c>
      <c r="S640" s="360">
        <f t="shared" ca="1" si="282"/>
        <v>9.637999999999975</v>
      </c>
      <c r="T640" s="357">
        <f t="shared" ca="1" si="262"/>
        <v>94.548779999999766</v>
      </c>
      <c r="U640" s="364">
        <f t="shared" ca="1" si="263"/>
        <v>0</v>
      </c>
      <c r="V640" s="359">
        <f t="shared" ca="1" si="264"/>
        <v>0.941702750414664</v>
      </c>
      <c r="W640" s="357">
        <f t="shared" ca="1" si="265"/>
        <v>7.475466168820966</v>
      </c>
      <c r="X640" s="343"/>
      <c r="Y640" s="367" t="str">
        <f t="shared" ca="1" si="283"/>
        <v/>
      </c>
      <c r="Z640" s="368" t="str">
        <f t="shared" ca="1" si="284"/>
        <v/>
      </c>
      <c r="AA640" s="369" t="str">
        <f t="shared" ca="1" si="285"/>
        <v/>
      </c>
      <c r="AB640" s="344"/>
      <c r="AC640" s="363" t="e">
        <f t="shared" ca="1" si="286"/>
        <v>#N/A</v>
      </c>
      <c r="AD640" s="376" t="e">
        <f t="shared" ca="1" si="287"/>
        <v>#N/A</v>
      </c>
      <c r="AE640" s="377">
        <f t="shared" ca="1" si="266"/>
        <v>2615.0079841927441</v>
      </c>
      <c r="AF640" s="344"/>
      <c r="AG640" s="359">
        <f t="shared" ca="1" si="288"/>
        <v>-8.1640381030059572</v>
      </c>
      <c r="AH640" s="357">
        <f t="shared" ca="1" si="289"/>
        <v>-0.79742417639681529</v>
      </c>
    </row>
    <row r="641" spans="1:34" x14ac:dyDescent="0.25">
      <c r="A641" s="402">
        <f t="shared" ca="1" si="267"/>
        <v>0.1</v>
      </c>
      <c r="B641" s="357">
        <f t="shared" ca="1" si="268"/>
        <v>18.699999999999935</v>
      </c>
      <c r="C641" s="342"/>
      <c r="D641" s="359">
        <f t="shared" ca="1" si="269"/>
        <v>-0.5185498302737076</v>
      </c>
      <c r="E641" s="360">
        <f t="shared" ca="1" si="270"/>
        <v>-10.386800653559817</v>
      </c>
      <c r="F641" s="357">
        <f t="shared" ca="1" si="271"/>
        <v>10.399736618937402</v>
      </c>
      <c r="G641" s="359">
        <f t="shared" ca="1" si="272"/>
        <v>39.540519617256805</v>
      </c>
      <c r="H641" s="360">
        <f t="shared" ca="1" si="273"/>
        <v>43.001267905266104</v>
      </c>
      <c r="I641" s="357">
        <f t="shared" ca="1" si="274"/>
        <v>58.417135611592073</v>
      </c>
      <c r="J641" s="359">
        <f t="shared" ca="1" si="275"/>
        <v>843.79594185906137</v>
      </c>
      <c r="K641" s="360">
        <f t="shared" ca="1" si="276"/>
        <v>2619.3600449865385</v>
      </c>
      <c r="L641" s="357">
        <f t="shared" ca="1" si="261"/>
        <v>2751.9154486956359</v>
      </c>
      <c r="M641" s="359">
        <f t="shared" ca="1" si="277"/>
        <v>0.82730084873600962</v>
      </c>
      <c r="N641" s="357">
        <f t="shared" ca="1" si="278"/>
        <v>47.400847020164278</v>
      </c>
      <c r="O641" s="343"/>
      <c r="P641" s="363">
        <f t="shared" ca="1" si="279"/>
        <v>23</v>
      </c>
      <c r="Q641" s="357">
        <f t="shared" ca="1" si="280"/>
        <v>0</v>
      </c>
      <c r="R641" s="359">
        <f t="shared" ca="1" si="281"/>
        <v>0</v>
      </c>
      <c r="S641" s="360">
        <f t="shared" ca="1" si="282"/>
        <v>9.637999999999975</v>
      </c>
      <c r="T641" s="357">
        <f t="shared" ca="1" si="262"/>
        <v>94.548779999999766</v>
      </c>
      <c r="U641" s="364">
        <f t="shared" ca="1" si="263"/>
        <v>0</v>
      </c>
      <c r="V641" s="359">
        <f t="shared" ca="1" si="264"/>
        <v>0.94128586761722266</v>
      </c>
      <c r="W641" s="357">
        <f t="shared" ca="1" si="265"/>
        <v>7.2707911952922268</v>
      </c>
      <c r="X641" s="343"/>
      <c r="Y641" s="367" t="str">
        <f t="shared" ca="1" si="283"/>
        <v/>
      </c>
      <c r="Z641" s="368" t="str">
        <f t="shared" ca="1" si="284"/>
        <v/>
      </c>
      <c r="AA641" s="369" t="str">
        <f t="shared" ca="1" si="285"/>
        <v/>
      </c>
      <c r="AB641" s="344"/>
      <c r="AC641" s="363" t="e">
        <f t="shared" ca="1" si="286"/>
        <v>#N/A</v>
      </c>
      <c r="AD641" s="376" t="e">
        <f t="shared" ca="1" si="287"/>
        <v>#N/A</v>
      </c>
      <c r="AE641" s="377">
        <f t="shared" ca="1" si="266"/>
        <v>2619.3600449865385</v>
      </c>
      <c r="AF641" s="344"/>
      <c r="AG641" s="359">
        <f t="shared" ca="1" si="288"/>
        <v>-8.0709281938794248</v>
      </c>
      <c r="AH641" s="357">
        <f t="shared" ca="1" si="289"/>
        <v>-0.77562421340744814</v>
      </c>
    </row>
    <row r="642" spans="1:34" x14ac:dyDescent="0.25">
      <c r="A642" s="402">
        <f t="shared" ca="1" si="267"/>
        <v>0.1</v>
      </c>
      <c r="B642" s="357">
        <f t="shared" ca="1" si="268"/>
        <v>18.799999999999937</v>
      </c>
      <c r="C642" s="342"/>
      <c r="D642" s="359">
        <f t="shared" ca="1" si="269"/>
        <v>-0.51061887526898586</v>
      </c>
      <c r="E642" s="360">
        <f t="shared" ca="1" si="270"/>
        <v>-10.365310331413664</v>
      </c>
      <c r="F642" s="357">
        <f t="shared" ca="1" si="271"/>
        <v>10.377879836570271</v>
      </c>
      <c r="G642" s="359">
        <f t="shared" ca="1" si="272"/>
        <v>39.489457729729907</v>
      </c>
      <c r="H642" s="360">
        <f t="shared" ca="1" si="273"/>
        <v>41.964736872124739</v>
      </c>
      <c r="I642" s="357">
        <f t="shared" ca="1" si="274"/>
        <v>57.62340160503188</v>
      </c>
      <c r="J642" s="359">
        <f t="shared" ca="1" si="275"/>
        <v>847.74744072641067</v>
      </c>
      <c r="K642" s="360">
        <f t="shared" ca="1" si="276"/>
        <v>2623.6083452254079</v>
      </c>
      <c r="L642" s="357">
        <f t="shared" ca="1" si="261"/>
        <v>2757.1718249674941</v>
      </c>
      <c r="M642" s="359">
        <f t="shared" ca="1" si="277"/>
        <v>0.81577741679325066</v>
      </c>
      <c r="N642" s="357">
        <f t="shared" ca="1" si="278"/>
        <v>46.740603004337949</v>
      </c>
      <c r="O642" s="343"/>
      <c r="P642" s="363">
        <f t="shared" ca="1" si="279"/>
        <v>23</v>
      </c>
      <c r="Q642" s="357">
        <f t="shared" ca="1" si="280"/>
        <v>0</v>
      </c>
      <c r="R642" s="359">
        <f t="shared" ca="1" si="281"/>
        <v>0</v>
      </c>
      <c r="S642" s="360">
        <f t="shared" ca="1" si="282"/>
        <v>9.637999999999975</v>
      </c>
      <c r="T642" s="357">
        <f t="shared" ca="1" si="262"/>
        <v>94.548779999999766</v>
      </c>
      <c r="U642" s="364">
        <f t="shared" ca="1" si="263"/>
        <v>0</v>
      </c>
      <c r="V642" s="359">
        <f t="shared" ca="1" si="264"/>
        <v>0.940879078716512</v>
      </c>
      <c r="W642" s="357">
        <f t="shared" ca="1" si="265"/>
        <v>7.0714945863284626</v>
      </c>
      <c r="X642" s="343"/>
      <c r="Y642" s="367" t="str">
        <f t="shared" ca="1" si="283"/>
        <v/>
      </c>
      <c r="Z642" s="368" t="str">
        <f t="shared" ca="1" si="284"/>
        <v/>
      </c>
      <c r="AA642" s="369" t="str">
        <f t="shared" ca="1" si="285"/>
        <v/>
      </c>
      <c r="AB642" s="344"/>
      <c r="AC642" s="363" t="e">
        <f t="shared" ca="1" si="286"/>
        <v>#N/A</v>
      </c>
      <c r="AD642" s="376" t="e">
        <f t="shared" ca="1" si="287"/>
        <v>#N/A</v>
      </c>
      <c r="AE642" s="377">
        <f t="shared" ca="1" si="266"/>
        <v>2623.6083452254079</v>
      </c>
      <c r="AF642" s="344"/>
      <c r="AG642" s="359">
        <f t="shared" ca="1" si="288"/>
        <v>-7.9755985509909664</v>
      </c>
      <c r="AH642" s="357">
        <f t="shared" ca="1" si="289"/>
        <v>-0.75438796381949014</v>
      </c>
    </row>
    <row r="643" spans="1:34" x14ac:dyDescent="0.25">
      <c r="A643" s="402">
        <f t="shared" ca="1" si="267"/>
        <v>0.1</v>
      </c>
      <c r="B643" s="357">
        <f t="shared" ca="1" si="268"/>
        <v>18.899999999999938</v>
      </c>
      <c r="C643" s="342"/>
      <c r="D643" s="359">
        <f t="shared" ca="1" si="269"/>
        <v>-0.50281308316305839</v>
      </c>
      <c r="E643" s="360">
        <f t="shared" ca="1" si="270"/>
        <v>-10.344330424976029</v>
      </c>
      <c r="F643" s="357">
        <f t="shared" ca="1" si="271"/>
        <v>10.356543484082161</v>
      </c>
      <c r="G643" s="359">
        <f t="shared" ca="1" si="272"/>
        <v>39.439176421413599</v>
      </c>
      <c r="H643" s="360">
        <f t="shared" ca="1" si="273"/>
        <v>40.930303829627135</v>
      </c>
      <c r="I643" s="357">
        <f t="shared" ca="1" si="274"/>
        <v>56.83958487168055</v>
      </c>
      <c r="J643" s="359">
        <f t="shared" ca="1" si="275"/>
        <v>851.69387243396784</v>
      </c>
      <c r="K643" s="360">
        <f t="shared" ca="1" si="276"/>
        <v>2627.7530972604955</v>
      </c>
      <c r="L643" s="357">
        <f t="shared" ca="1" si="261"/>
        <v>2762.330319223915</v>
      </c>
      <c r="M643" s="359">
        <f t="shared" ca="1" si="277"/>
        <v>0.80394943861484636</v>
      </c>
      <c r="N643" s="357">
        <f t="shared" ca="1" si="278"/>
        <v>46.062909774542547</v>
      </c>
      <c r="O643" s="343"/>
      <c r="P643" s="363">
        <f t="shared" ca="1" si="279"/>
        <v>23</v>
      </c>
      <c r="Q643" s="357">
        <f t="shared" ca="1" si="280"/>
        <v>0</v>
      </c>
      <c r="R643" s="359">
        <f t="shared" ca="1" si="281"/>
        <v>0</v>
      </c>
      <c r="S643" s="360">
        <f t="shared" ca="1" si="282"/>
        <v>9.637999999999975</v>
      </c>
      <c r="T643" s="357">
        <f t="shared" ca="1" si="262"/>
        <v>94.548779999999766</v>
      </c>
      <c r="U643" s="364">
        <f t="shared" ca="1" si="263"/>
        <v>0</v>
      </c>
      <c r="V643" s="359">
        <f t="shared" ca="1" si="264"/>
        <v>0.94048235210911646</v>
      </c>
      <c r="W643" s="357">
        <f t="shared" ca="1" si="265"/>
        <v>6.8775231861767399</v>
      </c>
      <c r="X643" s="343"/>
      <c r="Y643" s="367" t="str">
        <f t="shared" ca="1" si="283"/>
        <v/>
      </c>
      <c r="Z643" s="368" t="str">
        <f t="shared" ca="1" si="284"/>
        <v/>
      </c>
      <c r="AA643" s="369" t="str">
        <f t="shared" ca="1" si="285"/>
        <v/>
      </c>
      <c r="AB643" s="344"/>
      <c r="AC643" s="363" t="e">
        <f t="shared" ca="1" si="286"/>
        <v>#N/A</v>
      </c>
      <c r="AD643" s="376" t="e">
        <f t="shared" ca="1" si="287"/>
        <v>#N/A</v>
      </c>
      <c r="AE643" s="377">
        <f t="shared" ca="1" si="266"/>
        <v>2627.7530972604955</v>
      </c>
      <c r="AF643" s="344"/>
      <c r="AG643" s="359">
        <f t="shared" ca="1" si="288"/>
        <v>-7.8779264630624537</v>
      </c>
      <c r="AH643" s="357">
        <f t="shared" ca="1" si="289"/>
        <v>-0.73370975164229935</v>
      </c>
    </row>
    <row r="644" spans="1:34" x14ac:dyDescent="0.25">
      <c r="A644" s="402">
        <f t="shared" ca="1" si="267"/>
        <v>0.1</v>
      </c>
      <c r="B644" s="357">
        <f t="shared" ca="1" si="268"/>
        <v>18.99999999999994</v>
      </c>
      <c r="C644" s="342"/>
      <c r="D644" s="359">
        <f t="shared" ca="1" si="269"/>
        <v>-0.4951332379086536</v>
      </c>
      <c r="E644" s="360">
        <f t="shared" ca="1" si="270"/>
        <v>-10.323853373792684</v>
      </c>
      <c r="F644" s="357">
        <f t="shared" ca="1" si="271"/>
        <v>10.335719878501569</v>
      </c>
      <c r="G644" s="359">
        <f t="shared" ca="1" si="272"/>
        <v>39.389663097622737</v>
      </c>
      <c r="H644" s="360">
        <f t="shared" ca="1" si="273"/>
        <v>39.897918492247868</v>
      </c>
      <c r="I644" s="357">
        <f t="shared" ca="1" si="274"/>
        <v>56.065938491728438</v>
      </c>
      <c r="J644" s="359">
        <f t="shared" ca="1" si="275"/>
        <v>855.6353144099196</v>
      </c>
      <c r="K644" s="360">
        <f t="shared" ca="1" si="276"/>
        <v>2631.7945083765894</v>
      </c>
      <c r="L644" s="357">
        <f t="shared" ref="L644:L707" ca="1" si="290">SQRT(pos_x^2+pos_z^2)</f>
        <v>2767.391212963309</v>
      </c>
      <c r="M644" s="359">
        <f t="shared" ca="1" si="277"/>
        <v>0.7918083530251302</v>
      </c>
      <c r="N644" s="357">
        <f t="shared" ca="1" si="278"/>
        <v>45.367276811544713</v>
      </c>
      <c r="O644" s="343"/>
      <c r="P644" s="363">
        <f t="shared" ca="1" si="279"/>
        <v>23</v>
      </c>
      <c r="Q644" s="357">
        <f t="shared" ca="1" si="280"/>
        <v>0</v>
      </c>
      <c r="R644" s="359">
        <f t="shared" ca="1" si="281"/>
        <v>0</v>
      </c>
      <c r="S644" s="360">
        <f t="shared" ca="1" si="282"/>
        <v>9.637999999999975</v>
      </c>
      <c r="T644" s="357">
        <f t="shared" ref="T644:T707" ca="1" si="291">m*g</f>
        <v>94.548779999999766</v>
      </c>
      <c r="U644" s="364">
        <f t="shared" ref="U644:U707" ca="1" si="292">IF(pos_xz&lt;L_rampe,Poids*COS(Beta),0)</f>
        <v>0</v>
      </c>
      <c r="V644" s="359">
        <f t="shared" ref="V644:V707" ca="1" si="293">Rho_moyen*(20000-Alt_rampe-pos_z)/(20000+Alt_rampe+pos_z)</f>
        <v>0.94009565699104802</v>
      </c>
      <c r="W644" s="357">
        <f t="shared" ref="W644:W707" ca="1" si="294">1/2*Rho*Sref*Cx*vit_xz^2</f>
        <v>6.6888253550570411</v>
      </c>
      <c r="X644" s="343"/>
      <c r="Y644" s="367" t="str">
        <f t="shared" ca="1" si="283"/>
        <v/>
      </c>
      <c r="Z644" s="368" t="str">
        <f t="shared" ca="1" si="284"/>
        <v/>
      </c>
      <c r="AA644" s="369" t="str">
        <f t="shared" ca="1" si="285"/>
        <v/>
      </c>
      <c r="AB644" s="344"/>
      <c r="AC644" s="363">
        <f t="shared" ca="1" si="286"/>
        <v>18.99999999999994</v>
      </c>
      <c r="AD644" s="376">
        <f t="shared" ca="1" si="287"/>
        <v>855.6353144099196</v>
      </c>
      <c r="AE644" s="377">
        <f t="shared" ref="AE644:AE707" ca="1" si="295">IF(t&lt;T_para, pos_z, NA())</f>
        <v>2631.7945083765894</v>
      </c>
      <c r="AF644" s="344"/>
      <c r="AG644" s="359">
        <f t="shared" ca="1" si="288"/>
        <v>-7.7777855591641289</v>
      </c>
      <c r="AH644" s="357">
        <f t="shared" ca="1" si="289"/>
        <v>-0.71358406164938348</v>
      </c>
    </row>
    <row r="645" spans="1:34" x14ac:dyDescent="0.25">
      <c r="A645" s="402">
        <f t="shared" ref="A645:A708" ca="1" si="296">IF(B644+0.01&lt;=T_ini+ROUNDUP(Temps_fin_propu,0), 0.01, IF(K644&gt;0, 0.1, 0.0001))</f>
        <v>0.1</v>
      </c>
      <c r="B645" s="357">
        <f t="shared" ref="B645:B708" ca="1" si="297">B644+pas</f>
        <v>19.099999999999941</v>
      </c>
      <c r="C645" s="342"/>
      <c r="D645" s="359">
        <f t="shared" ref="D645:D708" ca="1" si="298">IF(AND(L644&lt;L_rampe,Poussee&lt;Poids*SIN(M644)),0,(-W644+Poussee)/m*COS(M644)-U644/m*SIN(M644))</f>
        <v>-0.48758024894625102</v>
      </c>
      <c r="E645" s="360">
        <f t="shared" ref="E645:E708" ca="1" si="299">IF(AND(L644&lt;L_rampe,Poussee&lt;Poids*SIN(M644)),0,(-W644+Poussee)/m*SIN(M644)+U644/m*COS(M644)-Poids/m)</f>
        <v>-10.303871627758642</v>
      </c>
      <c r="F645" s="357">
        <f t="shared" ref="F645:F708" ca="1" si="300">SQRT(acc_x^2+acc_z^2)</f>
        <v>10.315401350431888</v>
      </c>
      <c r="G645" s="359">
        <f t="shared" ref="G645:G708" ca="1" si="301">G644+acc_x*pas</f>
        <v>39.340905072728113</v>
      </c>
      <c r="H645" s="360">
        <f t="shared" ref="H645:H708" ca="1" si="302">H644+acc_z*pas</f>
        <v>38.867531329472001</v>
      </c>
      <c r="I645" s="357">
        <f t="shared" ref="I645:I708" ca="1" si="303">SQRT(vit_x^2+vit_z^2)</f>
        <v>55.30272871738692</v>
      </c>
      <c r="J645" s="359">
        <f t="shared" ref="J645:J708" ca="1" si="304">J644+0.5*(vit_x+G644)*pas*(K644&gt;=0)</f>
        <v>859.57184281843718</v>
      </c>
      <c r="K645" s="360">
        <f t="shared" ref="K645:K708" ca="1" si="305">K644+0.5*(vit_z+H644)*pas</f>
        <v>2635.7327808676755</v>
      </c>
      <c r="L645" s="357">
        <f t="shared" ca="1" si="290"/>
        <v>2772.3547834118804</v>
      </c>
      <c r="M645" s="359">
        <f t="shared" ref="M645:M708" ca="1" si="306">IF(AND(L644&gt;L_rampe,G645&gt;0),ATAN2(G645,H645),$M$4)</f>
        <v>0.77934551761636084</v>
      </c>
      <c r="N645" s="357">
        <f t="shared" ref="N645:N708" ca="1" si="307">DEGREES(Beta)</f>
        <v>44.653208941856029</v>
      </c>
      <c r="O645" s="343"/>
      <c r="P645" s="363">
        <f t="shared" ref="P645:P708" ca="1" si="308">MATCH(t-pas/2-T_ini,CdP_t)</f>
        <v>23</v>
      </c>
      <c r="Q645" s="357">
        <f t="shared" ref="Q645:Q708" ca="1" si="309">(INDEX(CdP,2,i_P+1)-INDEX(CdP,2,i_P+0))/(INDEX(CdP,1,i_P+1)-INDEX(CdP,1,i_P+0))*(t-pas/2-T_ini-INDEX(CdP,1,i_P+0))+INDEX(CdP,2,i_P+0)</f>
        <v>0</v>
      </c>
      <c r="R645" s="359">
        <f t="shared" ref="R645:R708" ca="1" si="310">Poussee/(g*ISP)</f>
        <v>0</v>
      </c>
      <c r="S645" s="360">
        <f t="shared" ref="S645:S708" ca="1" si="311">S644-Débit*pas</f>
        <v>9.637999999999975</v>
      </c>
      <c r="T645" s="357">
        <f t="shared" ca="1" si="291"/>
        <v>94.548779999999766</v>
      </c>
      <c r="U645" s="364">
        <f t="shared" ca="1" si="292"/>
        <v>0</v>
      </c>
      <c r="V645" s="359">
        <f t="shared" ca="1" si="293"/>
        <v>0.93971896334701877</v>
      </c>
      <c r="W645" s="357">
        <f t="shared" ca="1" si="294"/>
        <v>6.5053509364929791</v>
      </c>
      <c r="X645" s="343"/>
      <c r="Y645" s="367" t="str">
        <f t="shared" ref="Y645:Y708" ca="1" si="312">IF(AND(pos_z&lt;=0,K644&gt;0),"Impact balistique","") &amp; IF(AND(H646&lt;0,vit_z&gt;=0),"Apogée","") &amp; IF(AND(Poussee=0,Q644&gt;0),"Fin de propulsion","") &amp; IF(AND(L646&gt;L_rampe,pos_xz&lt;=L_rampe),"Sortie de rampe","")</f>
        <v/>
      </c>
      <c r="Z645" s="368" t="str">
        <f t="shared" ref="Z645:Z708" ca="1" si="313">IF(ABS(t-T_para)&lt;pas/2,"Para","")</f>
        <v/>
      </c>
      <c r="AA645" s="369" t="str">
        <f t="shared" ref="AA645:AA708" ca="1" si="314">IF(ABS(t-T_satellite)&lt;pas/2,"Satellite","")</f>
        <v/>
      </c>
      <c r="AB645" s="344"/>
      <c r="AC645" s="363" t="e">
        <f t="shared" ref="AC645:AC708" ca="1" si="315">IF(ABS(t-ROUND(t,0))&lt;0.001,t,NA())</f>
        <v>#N/A</v>
      </c>
      <c r="AD645" s="376" t="e">
        <f t="shared" ref="AD645:AD708" ca="1" si="316">IF(ABS(t-ROUND(t,0))&lt;0.001,pos_x,NA())</f>
        <v>#N/A</v>
      </c>
      <c r="AE645" s="377">
        <f t="shared" ca="1" si="295"/>
        <v>2635.7327808676755</v>
      </c>
      <c r="AF645" s="344"/>
      <c r="AG645" s="359">
        <f t="shared" ref="AG645:AG708" ca="1" si="317">IF(AND(L644&lt;L_rampe,Poussee&lt;Poids*SIN(M644)),0,(-W644+Poussee)/m-Poids*SIN(M644)/m)</f>
        <v>-7.6750459133299298</v>
      </c>
      <c r="AH645" s="357">
        <f t="shared" ref="AH645:AH708" ca="1" si="318">IF(AND(L644&lt;L_rampe,Poussee&lt;Poids*SIN(M644)), g*SIN(M644), (-W644+Poussee)/m)</f>
        <v>-0.69400553590548442</v>
      </c>
    </row>
    <row r="646" spans="1:34" x14ac:dyDescent="0.25">
      <c r="A646" s="402">
        <f t="shared" ca="1" si="296"/>
        <v>0.1</v>
      </c>
      <c r="B646" s="357">
        <f t="shared" ca="1" si="297"/>
        <v>19.199999999999942</v>
      </c>
      <c r="C646" s="342"/>
      <c r="D646" s="359">
        <f t="shared" ca="1" si="298"/>
        <v>-0.48015515339820852</v>
      </c>
      <c r="E646" s="360">
        <f t="shared" ca="1" si="299"/>
        <v>-10.284377633997279</v>
      </c>
      <c r="F646" s="357">
        <f t="shared" ca="1" si="300"/>
        <v>10.295580230856263</v>
      </c>
      <c r="G646" s="359">
        <f t="shared" ca="1" si="301"/>
        <v>39.292889557388293</v>
      </c>
      <c r="H646" s="360">
        <f t="shared" ca="1" si="302"/>
        <v>37.839093566072272</v>
      </c>
      <c r="I646" s="357">
        <f t="shared" ca="1" si="303"/>
        <v>54.550235303535452</v>
      </c>
      <c r="J646" s="359">
        <f t="shared" ca="1" si="304"/>
        <v>863.50353254994297</v>
      </c>
      <c r="K646" s="360">
        <f t="shared" ca="1" si="305"/>
        <v>2639.5681121124526</v>
      </c>
      <c r="L646" s="357">
        <f t="shared" ca="1" si="290"/>
        <v>2777.221303606741</v>
      </c>
      <c r="M646" s="359">
        <f t="shared" ca="1" si="306"/>
        <v>0.76655223445934706</v>
      </c>
      <c r="N646" s="357">
        <f t="shared" ca="1" si="307"/>
        <v>43.920207810843337</v>
      </c>
      <c r="O646" s="343"/>
      <c r="P646" s="363">
        <f t="shared" ca="1" si="308"/>
        <v>23</v>
      </c>
      <c r="Q646" s="357">
        <f t="shared" ca="1" si="309"/>
        <v>0</v>
      </c>
      <c r="R646" s="359">
        <f t="shared" ca="1" si="310"/>
        <v>0</v>
      </c>
      <c r="S646" s="360">
        <f t="shared" ca="1" si="311"/>
        <v>9.637999999999975</v>
      </c>
      <c r="T646" s="357">
        <f t="shared" ca="1" si="291"/>
        <v>94.548779999999766</v>
      </c>
      <c r="U646" s="364">
        <f t="shared" ca="1" si="292"/>
        <v>0</v>
      </c>
      <c r="V646" s="359">
        <f t="shared" ca="1" si="293"/>
        <v>0.93935224193982703</v>
      </c>
      <c r="W646" s="357">
        <f t="shared" ca="1" si="294"/>
        <v>6.3270512253988809</v>
      </c>
      <c r="X646" s="343"/>
      <c r="Y646" s="367" t="str">
        <f t="shared" ca="1" si="312"/>
        <v/>
      </c>
      <c r="Z646" s="368" t="str">
        <f t="shared" ca="1" si="313"/>
        <v/>
      </c>
      <c r="AA646" s="369" t="str">
        <f t="shared" ca="1" si="314"/>
        <v/>
      </c>
      <c r="AB646" s="344"/>
      <c r="AC646" s="363" t="e">
        <f t="shared" ca="1" si="315"/>
        <v>#N/A</v>
      </c>
      <c r="AD646" s="376" t="e">
        <f t="shared" ca="1" si="316"/>
        <v>#N/A</v>
      </c>
      <c r="AE646" s="377">
        <f t="shared" ca="1" si="295"/>
        <v>2639.5681121124526</v>
      </c>
      <c r="AF646" s="344"/>
      <c r="AG646" s="359">
        <f t="shared" ca="1" si="317"/>
        <v>-7.5695741948429198</v>
      </c>
      <c r="AH646" s="357">
        <f t="shared" ca="1" si="318"/>
        <v>-0.67496897037694503</v>
      </c>
    </row>
    <row r="647" spans="1:34" x14ac:dyDescent="0.25">
      <c r="A647" s="402">
        <f t="shared" ca="1" si="296"/>
        <v>0.1</v>
      </c>
      <c r="B647" s="357">
        <f t="shared" ca="1" si="297"/>
        <v>19.299999999999944</v>
      </c>
      <c r="C647" s="342"/>
      <c r="D647" s="359">
        <f t="shared" ca="1" si="298"/>
        <v>-0.47285911812830195</v>
      </c>
      <c r="E647" s="360">
        <f t="shared" ca="1" si="299"/>
        <v>-10.265363823225439</v>
      </c>
      <c r="F647" s="357">
        <f t="shared" ca="1" si="300"/>
        <v>10.27624883743006</v>
      </c>
      <c r="G647" s="359">
        <f t="shared" ca="1" si="301"/>
        <v>39.245603645575464</v>
      </c>
      <c r="H647" s="360">
        <f t="shared" ca="1" si="302"/>
        <v>36.812557183749725</v>
      </c>
      <c r="I647" s="357">
        <f t="shared" ca="1" si="303"/>
        <v>53.808751815224724</v>
      </c>
      <c r="J647" s="359">
        <f t="shared" ca="1" si="304"/>
        <v>867.43045721009116</v>
      </c>
      <c r="K647" s="360">
        <f t="shared" ca="1" si="305"/>
        <v>2643.3006946499436</v>
      </c>
      <c r="L647" s="357">
        <f t="shared" ca="1" si="290"/>
        <v>2781.9910424788541</v>
      </c>
      <c r="M647" s="359">
        <f t="shared" ca="1" si="306"/>
        <v>0.75341977974318952</v>
      </c>
      <c r="N647" s="357">
        <f t="shared" ca="1" si="307"/>
        <v>43.167773580960834</v>
      </c>
      <c r="O647" s="343"/>
      <c r="P647" s="363">
        <f t="shared" ca="1" si="308"/>
        <v>23</v>
      </c>
      <c r="Q647" s="357">
        <f t="shared" ca="1" si="309"/>
        <v>0</v>
      </c>
      <c r="R647" s="359">
        <f t="shared" ca="1" si="310"/>
        <v>0</v>
      </c>
      <c r="S647" s="360">
        <f t="shared" ca="1" si="311"/>
        <v>9.637999999999975</v>
      </c>
      <c r="T647" s="357">
        <f t="shared" ca="1" si="291"/>
        <v>94.548779999999766</v>
      </c>
      <c r="U647" s="364">
        <f t="shared" ca="1" si="292"/>
        <v>0</v>
      </c>
      <c r="V647" s="359">
        <f t="shared" ca="1" si="293"/>
        <v>0.93899546429984471</v>
      </c>
      <c r="W647" s="357">
        <f t="shared" ca="1" si="294"/>
        <v>6.1538789368772253</v>
      </c>
      <c r="X647" s="343"/>
      <c r="Y647" s="367" t="str">
        <f t="shared" ca="1" si="312"/>
        <v/>
      </c>
      <c r="Z647" s="368" t="str">
        <f t="shared" ca="1" si="313"/>
        <v/>
      </c>
      <c r="AA647" s="369" t="str">
        <f t="shared" ca="1" si="314"/>
        <v/>
      </c>
      <c r="AB647" s="344"/>
      <c r="AC647" s="363" t="e">
        <f t="shared" ca="1" si="315"/>
        <v>#N/A</v>
      </c>
      <c r="AD647" s="376" t="e">
        <f t="shared" ca="1" si="316"/>
        <v>#N/A</v>
      </c>
      <c r="AE647" s="377">
        <f t="shared" ca="1" si="295"/>
        <v>2643.3006946499436</v>
      </c>
      <c r="AF647" s="344"/>
      <c r="AG647" s="359">
        <f t="shared" ca="1" si="317"/>
        <v>-7.4612338707041532</v>
      </c>
      <c r="AH647" s="357">
        <f t="shared" ca="1" si="318"/>
        <v>-0.65646931162055377</v>
      </c>
    </row>
    <row r="648" spans="1:34" x14ac:dyDescent="0.25">
      <c r="A648" s="402">
        <f t="shared" ca="1" si="296"/>
        <v>0.1</v>
      </c>
      <c r="B648" s="357">
        <f t="shared" ca="1" si="297"/>
        <v>19.399999999999945</v>
      </c>
      <c r="C648" s="342"/>
      <c r="D648" s="359">
        <f t="shared" ca="1" si="298"/>
        <v>-0.46569344162011289</v>
      </c>
      <c r="E648" s="360">
        <f t="shared" ca="1" si="299"/>
        <v>-10.246822595584419</v>
      </c>
      <c r="F648" s="357">
        <f t="shared" ca="1" si="300"/>
        <v>10.257399460240759</v>
      </c>
      <c r="G648" s="359">
        <f t="shared" ca="1" si="301"/>
        <v>39.199034301413455</v>
      </c>
      <c r="H648" s="360">
        <f t="shared" ca="1" si="302"/>
        <v>35.787874924191286</v>
      </c>
      <c r="I648" s="357">
        <f t="shared" ca="1" si="303"/>
        <v>53.07858590573931</v>
      </c>
      <c r="J648" s="359">
        <f t="shared" ca="1" si="304"/>
        <v>871.3526891074406</v>
      </c>
      <c r="K648" s="360">
        <f t="shared" ca="1" si="305"/>
        <v>2646.9307162553405</v>
      </c>
      <c r="L648" s="357">
        <f t="shared" ca="1" si="290"/>
        <v>2786.6642649359069</v>
      </c>
      <c r="M648" s="359">
        <f t="shared" ca="1" si="306"/>
        <v>0.73993943769177506</v>
      </c>
      <c r="N648" s="357">
        <f t="shared" ca="1" si="307"/>
        <v>42.395406875022061</v>
      </c>
      <c r="O648" s="343"/>
      <c r="P648" s="363">
        <f t="shared" ca="1" si="308"/>
        <v>23</v>
      </c>
      <c r="Q648" s="357">
        <f t="shared" ca="1" si="309"/>
        <v>0</v>
      </c>
      <c r="R648" s="359">
        <f t="shared" ca="1" si="310"/>
        <v>0</v>
      </c>
      <c r="S648" s="360">
        <f t="shared" ca="1" si="311"/>
        <v>9.637999999999975</v>
      </c>
      <c r="T648" s="357">
        <f t="shared" ca="1" si="291"/>
        <v>94.548779999999766</v>
      </c>
      <c r="U648" s="364">
        <f t="shared" ca="1" si="292"/>
        <v>0</v>
      </c>
      <c r="V648" s="359">
        <f t="shared" ca="1" si="293"/>
        <v>0.93864860271459016</v>
      </c>
      <c r="W648" s="357">
        <f t="shared" ca="1" si="294"/>
        <v>5.9857881756804474</v>
      </c>
      <c r="X648" s="343"/>
      <c r="Y648" s="367" t="str">
        <f t="shared" ca="1" si="312"/>
        <v/>
      </c>
      <c r="Z648" s="368" t="str">
        <f t="shared" ca="1" si="313"/>
        <v/>
      </c>
      <c r="AA648" s="369" t="str">
        <f t="shared" ca="1" si="314"/>
        <v/>
      </c>
      <c r="AB648" s="344"/>
      <c r="AC648" s="363" t="e">
        <f t="shared" ca="1" si="315"/>
        <v>#N/A</v>
      </c>
      <c r="AD648" s="376" t="e">
        <f t="shared" ca="1" si="316"/>
        <v>#N/A</v>
      </c>
      <c r="AE648" s="377">
        <f t="shared" ca="1" si="295"/>
        <v>2646.9307162553405</v>
      </c>
      <c r="AF648" s="344"/>
      <c r="AG648" s="359">
        <f t="shared" ca="1" si="317"/>
        <v>-7.3498854673294467</v>
      </c>
      <c r="AH648" s="357">
        <f t="shared" ca="1" si="318"/>
        <v>-0.63850165354609267</v>
      </c>
    </row>
    <row r="649" spans="1:34" x14ac:dyDescent="0.25">
      <c r="A649" s="402">
        <f t="shared" ca="1" si="296"/>
        <v>0.1</v>
      </c>
      <c r="B649" s="357">
        <f t="shared" ca="1" si="297"/>
        <v>19.499999999999947</v>
      </c>
      <c r="C649" s="342"/>
      <c r="D649" s="359">
        <f t="shared" ca="1" si="298"/>
        <v>-0.45865955562177052</v>
      </c>
      <c r="E649" s="360">
        <f t="shared" ca="1" si="299"/>
        <v>-10.228746305920735</v>
      </c>
      <c r="F649" s="357">
        <f t="shared" ca="1" si="300"/>
        <v>10.239024347019116</v>
      </c>
      <c r="G649" s="359">
        <f t="shared" ca="1" si="301"/>
        <v>39.153168345851277</v>
      </c>
      <c r="H649" s="360">
        <f t="shared" ca="1" si="302"/>
        <v>34.765000293599215</v>
      </c>
      <c r="I649" s="357">
        <f t="shared" ca="1" si="303"/>
        <v>52.360059558145309</v>
      </c>
      <c r="J649" s="359">
        <f t="shared" ca="1" si="304"/>
        <v>875.27029923980388</v>
      </c>
      <c r="K649" s="360">
        <f t="shared" ca="1" si="305"/>
        <v>2650.45836001623</v>
      </c>
      <c r="L649" s="357">
        <f t="shared" ca="1" si="290"/>
        <v>2791.2412319452542</v>
      </c>
      <c r="M649" s="359">
        <f t="shared" ca="1" si="306"/>
        <v>0.72610253910894729</v>
      </c>
      <c r="N649" s="357">
        <f t="shared" ca="1" si="307"/>
        <v>41.602610984675479</v>
      </c>
      <c r="O649" s="343"/>
      <c r="P649" s="363">
        <f t="shared" ca="1" si="308"/>
        <v>23</v>
      </c>
      <c r="Q649" s="357">
        <f t="shared" ca="1" si="309"/>
        <v>0</v>
      </c>
      <c r="R649" s="359">
        <f t="shared" ca="1" si="310"/>
        <v>0</v>
      </c>
      <c r="S649" s="360">
        <f t="shared" ca="1" si="311"/>
        <v>9.637999999999975</v>
      </c>
      <c r="T649" s="357">
        <f t="shared" ca="1" si="291"/>
        <v>94.548779999999766</v>
      </c>
      <c r="U649" s="364">
        <f t="shared" ca="1" si="292"/>
        <v>0</v>
      </c>
      <c r="V649" s="359">
        <f t="shared" ca="1" si="293"/>
        <v>0.93831163021836939</v>
      </c>
      <c r="W649" s="357">
        <f t="shared" ca="1" si="294"/>
        <v>5.8227344062911364</v>
      </c>
      <c r="X649" s="343"/>
      <c r="Y649" s="367" t="str">
        <f t="shared" ca="1" si="312"/>
        <v/>
      </c>
      <c r="Z649" s="368" t="str">
        <f t="shared" ca="1" si="313"/>
        <v/>
      </c>
      <c r="AA649" s="369" t="str">
        <f t="shared" ca="1" si="314"/>
        <v/>
      </c>
      <c r="AB649" s="344"/>
      <c r="AC649" s="363" t="e">
        <f t="shared" ca="1" si="315"/>
        <v>#N/A</v>
      </c>
      <c r="AD649" s="376" t="e">
        <f t="shared" ca="1" si="316"/>
        <v>#N/A</v>
      </c>
      <c r="AE649" s="377">
        <f t="shared" ca="1" si="295"/>
        <v>2650.45836001623</v>
      </c>
      <c r="AF649" s="344"/>
      <c r="AG649" s="359">
        <f t="shared" ca="1" si="317"/>
        <v>-7.2353868990232009</v>
      </c>
      <c r="AH649" s="357">
        <f t="shared" ca="1" si="318"/>
        <v>-0.62106123424781723</v>
      </c>
    </row>
    <row r="650" spans="1:34" x14ac:dyDescent="0.25">
      <c r="A650" s="402">
        <f t="shared" ca="1" si="296"/>
        <v>0.1</v>
      </c>
      <c r="B650" s="357">
        <f t="shared" ca="1" si="297"/>
        <v>19.599999999999948</v>
      </c>
      <c r="C650" s="342"/>
      <c r="D650" s="359">
        <f t="shared" ca="1" si="298"/>
        <v>-0.45175902649824917</v>
      </c>
      <c r="E650" s="360">
        <f t="shared" ca="1" si="299"/>
        <v>-10.211127248505596</v>
      </c>
      <c r="F650" s="357">
        <f t="shared" ca="1" si="300"/>
        <v>10.221115687790453</v>
      </c>
      <c r="G650" s="359">
        <f t="shared" ca="1" si="301"/>
        <v>39.107992443201454</v>
      </c>
      <c r="H650" s="360">
        <f t="shared" ca="1" si="302"/>
        <v>33.743887568748654</v>
      </c>
      <c r="I650" s="357">
        <f t="shared" ca="1" si="303"/>
        <v>51.65350928242777</v>
      </c>
      <c r="J650" s="359">
        <f t="shared" ca="1" si="304"/>
        <v>879.18335727925648</v>
      </c>
      <c r="K650" s="360">
        <f t="shared" ca="1" si="305"/>
        <v>2653.8838044093472</v>
      </c>
      <c r="L650" s="357">
        <f t="shared" ca="1" si="290"/>
        <v>2795.7222006170527</v>
      </c>
      <c r="M650" s="359">
        <f t="shared" ca="1" si="306"/>
        <v>0.71190050490227386</v>
      </c>
      <c r="N650" s="357">
        <f t="shared" ca="1" si="307"/>
        <v>40.788894364132666</v>
      </c>
      <c r="O650" s="343"/>
      <c r="P650" s="363">
        <f t="shared" ca="1" si="308"/>
        <v>23</v>
      </c>
      <c r="Q650" s="357">
        <f t="shared" ca="1" si="309"/>
        <v>0</v>
      </c>
      <c r="R650" s="359">
        <f t="shared" ca="1" si="310"/>
        <v>0</v>
      </c>
      <c r="S650" s="360">
        <f t="shared" ca="1" si="311"/>
        <v>9.637999999999975</v>
      </c>
      <c r="T650" s="357">
        <f t="shared" ca="1" si="291"/>
        <v>94.548779999999766</v>
      </c>
      <c r="U650" s="364">
        <f t="shared" ca="1" si="292"/>
        <v>0</v>
      </c>
      <c r="V650" s="359">
        <f t="shared" ca="1" si="293"/>
        <v>0.9379845205819699</v>
      </c>
      <c r="W650" s="357">
        <f t="shared" ca="1" si="294"/>
        <v>5.6646744235745103</v>
      </c>
      <c r="X650" s="343"/>
      <c r="Y650" s="367" t="str">
        <f t="shared" ca="1" si="312"/>
        <v/>
      </c>
      <c r="Z650" s="368" t="str">
        <f t="shared" ca="1" si="313"/>
        <v/>
      </c>
      <c r="AA650" s="369" t="str">
        <f t="shared" ca="1" si="314"/>
        <v/>
      </c>
      <c r="AB650" s="344"/>
      <c r="AC650" s="363" t="e">
        <f t="shared" ca="1" si="315"/>
        <v>#N/A</v>
      </c>
      <c r="AD650" s="376" t="e">
        <f t="shared" ca="1" si="316"/>
        <v>#N/A</v>
      </c>
      <c r="AE650" s="377">
        <f t="shared" ca="1" si="295"/>
        <v>2653.8838044093472</v>
      </c>
      <c r="AF650" s="344"/>
      <c r="AG650" s="359">
        <f t="shared" ca="1" si="317"/>
        <v>-7.1175938712343365</v>
      </c>
      <c r="AH650" s="357">
        <f t="shared" ca="1" si="318"/>
        <v>-0.60414343290009875</v>
      </c>
    </row>
    <row r="651" spans="1:34" x14ac:dyDescent="0.25">
      <c r="A651" s="402">
        <f t="shared" ca="1" si="296"/>
        <v>0.1</v>
      </c>
      <c r="B651" s="357">
        <f t="shared" ca="1" si="297"/>
        <v>19.69999999999995</v>
      </c>
      <c r="C651" s="342"/>
      <c r="D651" s="359">
        <f t="shared" ca="1" si="298"/>
        <v>-0.44499355622578196</v>
      </c>
      <c r="E651" s="360">
        <f t="shared" ca="1" si="299"/>
        <v>-10.193957641188273</v>
      </c>
      <c r="F651" s="357">
        <f t="shared" ca="1" si="300"/>
        <v>10.203665598961152</v>
      </c>
      <c r="G651" s="359">
        <f t="shared" ca="1" si="301"/>
        <v>39.063493087578877</v>
      </c>
      <c r="H651" s="360">
        <f t="shared" ca="1" si="302"/>
        <v>32.724491804629828</v>
      </c>
      <c r="I651" s="357">
        <f t="shared" ca="1" si="303"/>
        <v>50.959286259469991</v>
      </c>
      <c r="J651" s="359">
        <f t="shared" ca="1" si="304"/>
        <v>883.09193155579555</v>
      </c>
      <c r="K651" s="360">
        <f t="shared" ca="1" si="305"/>
        <v>2657.2072233780164</v>
      </c>
      <c r="L651" s="357">
        <f t="shared" ca="1" si="290"/>
        <v>2800.1074242877276</v>
      </c>
      <c r="M651" s="359">
        <f t="shared" ca="1" si="306"/>
        <v>0.69732489492542482</v>
      </c>
      <c r="N651" s="357">
        <f t="shared" ca="1" si="307"/>
        <v>39.953773428630441</v>
      </c>
      <c r="O651" s="343"/>
      <c r="P651" s="363">
        <f t="shared" ca="1" si="308"/>
        <v>23</v>
      </c>
      <c r="Q651" s="357">
        <f t="shared" ca="1" si="309"/>
        <v>0</v>
      </c>
      <c r="R651" s="359">
        <f t="shared" ca="1" si="310"/>
        <v>0</v>
      </c>
      <c r="S651" s="360">
        <f t="shared" ca="1" si="311"/>
        <v>9.637999999999975</v>
      </c>
      <c r="T651" s="357">
        <f t="shared" ca="1" si="291"/>
        <v>94.548779999999766</v>
      </c>
      <c r="U651" s="364">
        <f t="shared" ca="1" si="292"/>
        <v>0</v>
      </c>
      <c r="V651" s="359">
        <f t="shared" ca="1" si="293"/>
        <v>0.93766724830239134</v>
      </c>
      <c r="W651" s="357">
        <f t="shared" ca="1" si="294"/>
        <v>5.5115663239570818</v>
      </c>
      <c r="X651" s="343"/>
      <c r="Y651" s="367" t="str">
        <f t="shared" ca="1" si="312"/>
        <v/>
      </c>
      <c r="Z651" s="368" t="str">
        <f t="shared" ca="1" si="313"/>
        <v/>
      </c>
      <c r="AA651" s="369" t="str">
        <f t="shared" ca="1" si="314"/>
        <v/>
      </c>
      <c r="AB651" s="344"/>
      <c r="AC651" s="363" t="e">
        <f t="shared" ca="1" si="315"/>
        <v>#N/A</v>
      </c>
      <c r="AD651" s="376" t="e">
        <f t="shared" ca="1" si="316"/>
        <v>#N/A</v>
      </c>
      <c r="AE651" s="377">
        <f t="shared" ca="1" si="295"/>
        <v>2657.2072233780164</v>
      </c>
      <c r="AF651" s="344"/>
      <c r="AG651" s="359">
        <f t="shared" ca="1" si="317"/>
        <v>-6.9963603669796779</v>
      </c>
      <c r="AH651" s="357">
        <f t="shared" ca="1" si="318"/>
        <v>-0.58774376671244288</v>
      </c>
    </row>
    <row r="652" spans="1:34" x14ac:dyDescent="0.25">
      <c r="A652" s="402">
        <f t="shared" ca="1" si="296"/>
        <v>0.1</v>
      </c>
      <c r="B652" s="357">
        <f t="shared" ca="1" si="297"/>
        <v>19.799999999999951</v>
      </c>
      <c r="C652" s="342"/>
      <c r="D652" s="359">
        <f t="shared" ca="1" si="298"/>
        <v>-0.43836498295608245</v>
      </c>
      <c r="E652" s="360">
        <f t="shared" ca="1" si="299"/>
        <v>-10.177229608986107</v>
      </c>
      <c r="F652" s="357">
        <f t="shared" ca="1" si="300"/>
        <v>10.186666106843081</v>
      </c>
      <c r="G652" s="359">
        <f t="shared" ca="1" si="301"/>
        <v>39.019656589283265</v>
      </c>
      <c r="H652" s="360">
        <f t="shared" ca="1" si="302"/>
        <v>31.706768843731219</v>
      </c>
      <c r="I652" s="357">
        <f t="shared" ca="1" si="303"/>
        <v>50.277756422252985</v>
      </c>
      <c r="J652" s="359">
        <f t="shared" ca="1" si="304"/>
        <v>886.99608903963872</v>
      </c>
      <c r="K652" s="360">
        <f t="shared" ca="1" si="305"/>
        <v>2660.4287864104344</v>
      </c>
      <c r="L652" s="357">
        <f t="shared" ca="1" si="290"/>
        <v>2804.397152603909</v>
      </c>
      <c r="M652" s="359">
        <f t="shared" ca="1" si="306"/>
        <v>0.68236746245958391</v>
      </c>
      <c r="N652" s="357">
        <f t="shared" ca="1" si="307"/>
        <v>39.096775675985796</v>
      </c>
      <c r="O652" s="343"/>
      <c r="P652" s="363">
        <f t="shared" ca="1" si="308"/>
        <v>23</v>
      </c>
      <c r="Q652" s="357">
        <f t="shared" ca="1" si="309"/>
        <v>0</v>
      </c>
      <c r="R652" s="359">
        <f t="shared" ca="1" si="310"/>
        <v>0</v>
      </c>
      <c r="S652" s="360">
        <f t="shared" ca="1" si="311"/>
        <v>9.637999999999975</v>
      </c>
      <c r="T652" s="357">
        <f t="shared" ca="1" si="291"/>
        <v>94.548779999999766</v>
      </c>
      <c r="U652" s="364">
        <f t="shared" ca="1" si="292"/>
        <v>0</v>
      </c>
      <c r="V652" s="359">
        <f t="shared" ca="1" si="293"/>
        <v>0.93735978859259428</v>
      </c>
      <c r="W652" s="357">
        <f t="shared" ca="1" si="294"/>
        <v>5.3633694770851212</v>
      </c>
      <c r="X652" s="343"/>
      <c r="Y652" s="367" t="str">
        <f t="shared" ca="1" si="312"/>
        <v/>
      </c>
      <c r="Z652" s="368" t="str">
        <f t="shared" ca="1" si="313"/>
        <v/>
      </c>
      <c r="AA652" s="369" t="str">
        <f t="shared" ca="1" si="314"/>
        <v/>
      </c>
      <c r="AB652" s="344"/>
      <c r="AC652" s="363" t="e">
        <f t="shared" ca="1" si="315"/>
        <v>#N/A</v>
      </c>
      <c r="AD652" s="376" t="e">
        <f t="shared" ca="1" si="316"/>
        <v>#N/A</v>
      </c>
      <c r="AE652" s="377">
        <f t="shared" ca="1" si="295"/>
        <v>2660.4287864104344</v>
      </c>
      <c r="AF652" s="344"/>
      <c r="AG652" s="359">
        <f t="shared" ca="1" si="317"/>
        <v>-6.8715392250920697</v>
      </c>
      <c r="AH652" s="357">
        <f t="shared" ca="1" si="318"/>
        <v>-0.57185788793910519</v>
      </c>
    </row>
    <row r="653" spans="1:34" x14ac:dyDescent="0.25">
      <c r="A653" s="402">
        <f t="shared" ca="1" si="296"/>
        <v>0.1</v>
      </c>
      <c r="B653" s="357">
        <f t="shared" ca="1" si="297"/>
        <v>19.899999999999952</v>
      </c>
      <c r="C653" s="342"/>
      <c r="D653" s="359">
        <f t="shared" ca="1" si="298"/>
        <v>-0.43187528107102796</v>
      </c>
      <c r="E653" s="360">
        <f t="shared" ca="1" si="299"/>
        <v>-10.160935167122958</v>
      </c>
      <c r="F653" s="357">
        <f t="shared" ca="1" si="300"/>
        <v>10.170109130627667</v>
      </c>
      <c r="G653" s="359">
        <f t="shared" ca="1" si="301"/>
        <v>38.976469061176161</v>
      </c>
      <c r="H653" s="360">
        <f t="shared" ca="1" si="302"/>
        <v>30.690675327018923</v>
      </c>
      <c r="I653" s="357">
        <f t="shared" ca="1" si="303"/>
        <v>49.60930046377706</v>
      </c>
      <c r="J653" s="359">
        <f t="shared" ca="1" si="304"/>
        <v>890.89589532216166</v>
      </c>
      <c r="K653" s="360">
        <f t="shared" ca="1" si="305"/>
        <v>2663.5486586189718</v>
      </c>
      <c r="L653" s="357">
        <f t="shared" ca="1" si="290"/>
        <v>2808.5916316069874</v>
      </c>
      <c r="M653" s="359">
        <f t="shared" ca="1" si="306"/>
        <v>0.6670202146230737</v>
      </c>
      <c r="N653" s="357">
        <f t="shared" ca="1" si="307"/>
        <v>38.217443147812482</v>
      </c>
      <c r="O653" s="343"/>
      <c r="P653" s="363">
        <f t="shared" ca="1" si="308"/>
        <v>23</v>
      </c>
      <c r="Q653" s="357">
        <f t="shared" ca="1" si="309"/>
        <v>0</v>
      </c>
      <c r="R653" s="359">
        <f t="shared" ca="1" si="310"/>
        <v>0</v>
      </c>
      <c r="S653" s="360">
        <f t="shared" ca="1" si="311"/>
        <v>9.637999999999975</v>
      </c>
      <c r="T653" s="357">
        <f t="shared" ca="1" si="291"/>
        <v>94.548779999999766</v>
      </c>
      <c r="U653" s="364">
        <f t="shared" ca="1" si="292"/>
        <v>0</v>
      </c>
      <c r="V653" s="359">
        <f t="shared" ca="1" si="293"/>
        <v>0.93706211737124612</v>
      </c>
      <c r="W653" s="357">
        <f t="shared" ca="1" si="294"/>
        <v>5.2200444979164011</v>
      </c>
      <c r="X653" s="343"/>
      <c r="Y653" s="367" t="str">
        <f t="shared" ca="1" si="312"/>
        <v/>
      </c>
      <c r="Z653" s="368" t="str">
        <f t="shared" ca="1" si="313"/>
        <v/>
      </c>
      <c r="AA653" s="369" t="str">
        <f t="shared" ca="1" si="314"/>
        <v/>
      </c>
      <c r="AB653" s="344"/>
      <c r="AC653" s="363" t="e">
        <f t="shared" ca="1" si="315"/>
        <v>#N/A</v>
      </c>
      <c r="AD653" s="376" t="e">
        <f t="shared" ca="1" si="316"/>
        <v>#N/A</v>
      </c>
      <c r="AE653" s="377">
        <f t="shared" ca="1" si="295"/>
        <v>2663.5486586189718</v>
      </c>
      <c r="AF653" s="344"/>
      <c r="AG653" s="359">
        <f t="shared" ca="1" si="317"/>
        <v>-6.7429828190751824</v>
      </c>
      <c r="AH653" s="357">
        <f t="shared" ca="1" si="318"/>
        <v>-0.55648158093848676</v>
      </c>
    </row>
    <row r="654" spans="1:34" x14ac:dyDescent="0.25">
      <c r="A654" s="402">
        <f t="shared" ca="1" si="296"/>
        <v>0.1</v>
      </c>
      <c r="B654" s="357">
        <f t="shared" ca="1" si="297"/>
        <v>19.999999999999954</v>
      </c>
      <c r="C654" s="342"/>
      <c r="D654" s="359">
        <f t="shared" ca="1" si="298"/>
        <v>-0.42552656064144473</v>
      </c>
      <c r="E654" s="360">
        <f t="shared" ca="1" si="299"/>
        <v>-10.145066203538642</v>
      </c>
      <c r="F654" s="357">
        <f t="shared" ca="1" si="300"/>
        <v>10.153986464832091</v>
      </c>
      <c r="G654" s="359">
        <f t="shared" ca="1" si="301"/>
        <v>38.933916405112015</v>
      </c>
      <c r="H654" s="360">
        <f t="shared" ca="1" si="302"/>
        <v>29.676168706665059</v>
      </c>
      <c r="I654" s="357">
        <f t="shared" ca="1" si="303"/>
        <v>48.954313760349017</v>
      </c>
      <c r="J654" s="359">
        <f t="shared" ca="1" si="304"/>
        <v>894.79141459547611</v>
      </c>
      <c r="K654" s="360">
        <f t="shared" ca="1" si="305"/>
        <v>2666.5670008206562</v>
      </c>
      <c r="L654" s="357">
        <f t="shared" ca="1" si="290"/>
        <v>2812.6911038184485</v>
      </c>
      <c r="M654" s="359">
        <f t="shared" ca="1" si="306"/>
        <v>0.65127547895335935</v>
      </c>
      <c r="N654" s="357">
        <f t="shared" ca="1" si="307"/>
        <v>37.315336244388767</v>
      </c>
      <c r="O654" s="343"/>
      <c r="P654" s="363">
        <f t="shared" ca="1" si="308"/>
        <v>23</v>
      </c>
      <c r="Q654" s="357">
        <f t="shared" ca="1" si="309"/>
        <v>0</v>
      </c>
      <c r="R654" s="359">
        <f t="shared" ca="1" si="310"/>
        <v>0</v>
      </c>
      <c r="S654" s="360">
        <f t="shared" ca="1" si="311"/>
        <v>9.637999999999975</v>
      </c>
      <c r="T654" s="357">
        <f t="shared" ca="1" si="291"/>
        <v>94.548779999999766</v>
      </c>
      <c r="U654" s="364">
        <f t="shared" ca="1" si="292"/>
        <v>0</v>
      </c>
      <c r="V654" s="359">
        <f t="shared" ca="1" si="293"/>
        <v>0.93677421125245497</v>
      </c>
      <c r="W654" s="357">
        <f t="shared" ca="1" si="294"/>
        <v>5.0815532191985708</v>
      </c>
      <c r="X654" s="343"/>
      <c r="Y654" s="367" t="str">
        <f t="shared" ca="1" si="312"/>
        <v/>
      </c>
      <c r="Z654" s="368" t="str">
        <f t="shared" ca="1" si="313"/>
        <v>Para</v>
      </c>
      <c r="AA654" s="369" t="str">
        <f t="shared" ca="1" si="314"/>
        <v/>
      </c>
      <c r="AB654" s="344"/>
      <c r="AC654" s="363">
        <f t="shared" ca="1" si="315"/>
        <v>19.999999999999954</v>
      </c>
      <c r="AD654" s="376">
        <f t="shared" ca="1" si="316"/>
        <v>894.79141459547611</v>
      </c>
      <c r="AE654" s="377" t="e">
        <f t="shared" ca="1" si="295"/>
        <v>#N/A</v>
      </c>
      <c r="AF654" s="344"/>
      <c r="AG654" s="359">
        <f t="shared" ca="1" si="317"/>
        <v>-6.6105438452799845</v>
      </c>
      <c r="AH654" s="357">
        <f t="shared" ca="1" si="318"/>
        <v>-0.54161075927748648</v>
      </c>
    </row>
    <row r="655" spans="1:34" x14ac:dyDescent="0.25">
      <c r="A655" s="402">
        <f t="shared" ca="1" si="296"/>
        <v>0.1</v>
      </c>
      <c r="B655" s="357">
        <f t="shared" ca="1" si="297"/>
        <v>20.099999999999955</v>
      </c>
      <c r="C655" s="342"/>
      <c r="D655" s="359">
        <f t="shared" ca="1" si="298"/>
        <v>-0.41932106619679377</v>
      </c>
      <c r="E655" s="360">
        <f t="shared" ca="1" si="299"/>
        <v>-10.129614460904346</v>
      </c>
      <c r="F655" s="357">
        <f t="shared" ca="1" si="300"/>
        <v>10.138289761252578</v>
      </c>
      <c r="G655" s="359">
        <f t="shared" ca="1" si="301"/>
        <v>38.891984298492339</v>
      </c>
      <c r="H655" s="360">
        <f t="shared" ca="1" si="302"/>
        <v>28.663207260574623</v>
      </c>
      <c r="I655" s="357">
        <f t="shared" ca="1" si="303"/>
        <v>48.313206198065892</v>
      </c>
      <c r="J655" s="359">
        <f t="shared" ca="1" si="304"/>
        <v>898.68270963065629</v>
      </c>
      <c r="K655" s="360">
        <f t="shared" ca="1" si="305"/>
        <v>2669.4839696190184</v>
      </c>
      <c r="L655" s="357">
        <f t="shared" ca="1" si="290"/>
        <v>2816.6958083261334</v>
      </c>
      <c r="M655" s="359">
        <f t="shared" ca="1" si="306"/>
        <v>0.63512597634459289</v>
      </c>
      <c r="N655" s="357">
        <f t="shared" ca="1" si="307"/>
        <v>36.390037903670937</v>
      </c>
      <c r="O655" s="343"/>
      <c r="P655" s="363">
        <f t="shared" ca="1" si="308"/>
        <v>23</v>
      </c>
      <c r="Q655" s="357">
        <f t="shared" ca="1" si="309"/>
        <v>0</v>
      </c>
      <c r="R655" s="359">
        <f t="shared" ca="1" si="310"/>
        <v>0</v>
      </c>
      <c r="S655" s="360">
        <f t="shared" ca="1" si="311"/>
        <v>9.637999999999975</v>
      </c>
      <c r="T655" s="357">
        <f t="shared" ca="1" si="291"/>
        <v>94.548779999999766</v>
      </c>
      <c r="U655" s="364">
        <f t="shared" ca="1" si="292"/>
        <v>0</v>
      </c>
      <c r="V655" s="359">
        <f t="shared" ca="1" si="293"/>
        <v>0.93649604753546112</v>
      </c>
      <c r="W655" s="357">
        <f t="shared" ca="1" si="294"/>
        <v>4.9478586642872342</v>
      </c>
      <c r="X655" s="343"/>
      <c r="Y655" s="367" t="str">
        <f t="shared" ca="1" si="312"/>
        <v/>
      </c>
      <c r="Z655" s="368" t="str">
        <f t="shared" ca="1" si="313"/>
        <v/>
      </c>
      <c r="AA655" s="369" t="str">
        <f t="shared" ca="1" si="314"/>
        <v/>
      </c>
      <c r="AB655" s="344"/>
      <c r="AC655" s="363" t="e">
        <f t="shared" ca="1" si="315"/>
        <v>#N/A</v>
      </c>
      <c r="AD655" s="376" t="e">
        <f t="shared" ca="1" si="316"/>
        <v>#N/A</v>
      </c>
      <c r="AE655" s="377" t="e">
        <f t="shared" ca="1" si="295"/>
        <v>#N/A</v>
      </c>
      <c r="AF655" s="344"/>
      <c r="AG655" s="359">
        <f t="shared" ca="1" si="317"/>
        <v>-6.4740762288079159</v>
      </c>
      <c r="AH655" s="357">
        <f t="shared" ca="1" si="318"/>
        <v>-0.5272414628759684</v>
      </c>
    </row>
    <row r="656" spans="1:34" x14ac:dyDescent="0.25">
      <c r="A656" s="402">
        <f t="shared" ca="1" si="296"/>
        <v>0.1</v>
      </c>
      <c r="B656" s="357">
        <f t="shared" ca="1" si="297"/>
        <v>20.199999999999957</v>
      </c>
      <c r="C656" s="342"/>
      <c r="D656" s="359">
        <f t="shared" ca="1" si="298"/>
        <v>-0.41326117470611934</v>
      </c>
      <c r="E656" s="360">
        <f t="shared" ca="1" si="299"/>
        <v>-10.114571518193513</v>
      </c>
      <c r="F656" s="357">
        <f t="shared" ca="1" si="300"/>
        <v>10.12301051047419</v>
      </c>
      <c r="G656" s="359">
        <f t="shared" ca="1" si="301"/>
        <v>38.850658181021728</v>
      </c>
      <c r="H656" s="360">
        <f t="shared" ca="1" si="302"/>
        <v>27.651750108755273</v>
      </c>
      <c r="I656" s="357">
        <f t="shared" ca="1" si="303"/>
        <v>47.686401889591515</v>
      </c>
      <c r="J656" s="359">
        <f t="shared" ca="1" si="304"/>
        <v>902.56984175463197</v>
      </c>
      <c r="K656" s="360">
        <f t="shared" ca="1" si="305"/>
        <v>2672.2997174874849</v>
      </c>
      <c r="L656" s="357">
        <f t="shared" ca="1" si="290"/>
        <v>2820.6059808716059</v>
      </c>
      <c r="M656" s="359">
        <f t="shared" ca="1" si="306"/>
        <v>0.61856490044463996</v>
      </c>
      <c r="N656" s="357">
        <f t="shared" ca="1" si="307"/>
        <v>35.441158150407809</v>
      </c>
      <c r="O656" s="343"/>
      <c r="P656" s="363">
        <f t="shared" ca="1" si="308"/>
        <v>23</v>
      </c>
      <c r="Q656" s="357">
        <f t="shared" ca="1" si="309"/>
        <v>0</v>
      </c>
      <c r="R656" s="359">
        <f t="shared" ca="1" si="310"/>
        <v>0</v>
      </c>
      <c r="S656" s="360">
        <f t="shared" ca="1" si="311"/>
        <v>9.637999999999975</v>
      </c>
      <c r="T656" s="357">
        <f t="shared" ca="1" si="291"/>
        <v>94.548779999999766</v>
      </c>
      <c r="U656" s="364">
        <f t="shared" ca="1" si="292"/>
        <v>0</v>
      </c>
      <c r="V656" s="359">
        <f t="shared" ca="1" si="293"/>
        <v>0.93622760419427453</v>
      </c>
      <c r="W656" s="357">
        <f t="shared" ca="1" si="294"/>
        <v>4.8189250202566978</v>
      </c>
      <c r="X656" s="343"/>
      <c r="Y656" s="367" t="str">
        <f t="shared" ca="1" si="312"/>
        <v/>
      </c>
      <c r="Z656" s="368" t="str">
        <f t="shared" ca="1" si="313"/>
        <v/>
      </c>
      <c r="AA656" s="369" t="str">
        <f t="shared" ca="1" si="314"/>
        <v/>
      </c>
      <c r="AB656" s="344"/>
      <c r="AC656" s="363" t="e">
        <f t="shared" ca="1" si="315"/>
        <v>#N/A</v>
      </c>
      <c r="AD656" s="376" t="e">
        <f t="shared" ca="1" si="316"/>
        <v>#N/A</v>
      </c>
      <c r="AE656" s="377" t="e">
        <f t="shared" ca="1" si="295"/>
        <v>#N/A</v>
      </c>
      <c r="AF656" s="344"/>
      <c r="AG656" s="359">
        <f t="shared" ca="1" si="317"/>
        <v>-6.3334361549364955</v>
      </c>
      <c r="AH656" s="357">
        <f t="shared" ca="1" si="318"/>
        <v>-0.51336985518647515</v>
      </c>
    </row>
    <row r="657" spans="1:34" x14ac:dyDescent="0.25">
      <c r="A657" s="402">
        <f t="shared" ca="1" si="296"/>
        <v>0.1</v>
      </c>
      <c r="B657" s="357">
        <f t="shared" ca="1" si="297"/>
        <v>20.299999999999958</v>
      </c>
      <c r="C657" s="342"/>
      <c r="D657" s="359">
        <f t="shared" ca="1" si="298"/>
        <v>-0.40734939266486564</v>
      </c>
      <c r="E657" s="360">
        <f t="shared" ca="1" si="299"/>
        <v>-10.099928771874049</v>
      </c>
      <c r="F657" s="357">
        <f t="shared" ca="1" si="300"/>
        <v>10.10814002300293</v>
      </c>
      <c r="G657" s="359">
        <f t="shared" ca="1" si="301"/>
        <v>38.809923241755243</v>
      </c>
      <c r="H657" s="360">
        <f t="shared" ca="1" si="302"/>
        <v>26.641757231567869</v>
      </c>
      <c r="I657" s="357">
        <f t="shared" ca="1" si="303"/>
        <v>47.074338767705832</v>
      </c>
      <c r="J657" s="359">
        <f t="shared" ca="1" si="304"/>
        <v>906.45287082577079</v>
      </c>
      <c r="K657" s="360">
        <f t="shared" ca="1" si="305"/>
        <v>2675.0143928545012</v>
      </c>
      <c r="L657" s="357">
        <f t="shared" ca="1" si="290"/>
        <v>2824.4218539387875</v>
      </c>
      <c r="M657" s="359">
        <f t="shared" ca="1" si="306"/>
        <v>0.6015860035159023</v>
      </c>
      <c r="N657" s="357">
        <f t="shared" ca="1" si="307"/>
        <v>34.468339015603505</v>
      </c>
      <c r="O657" s="343"/>
      <c r="P657" s="363">
        <f t="shared" ca="1" si="308"/>
        <v>23</v>
      </c>
      <c r="Q657" s="357">
        <f t="shared" ca="1" si="309"/>
        <v>0</v>
      </c>
      <c r="R657" s="359">
        <f t="shared" ca="1" si="310"/>
        <v>0</v>
      </c>
      <c r="S657" s="360">
        <f t="shared" ca="1" si="311"/>
        <v>9.637999999999975</v>
      </c>
      <c r="T657" s="357">
        <f t="shared" ca="1" si="291"/>
        <v>94.548779999999766</v>
      </c>
      <c r="U657" s="364">
        <f t="shared" ca="1" si="292"/>
        <v>0</v>
      </c>
      <c r="V657" s="359">
        <f t="shared" ca="1" si="293"/>
        <v>0.93596885986723799</v>
      </c>
      <c r="W657" s="357">
        <f t="shared" ca="1" si="294"/>
        <v>4.6947176112563511</v>
      </c>
      <c r="X657" s="343"/>
      <c r="Y657" s="367" t="str">
        <f t="shared" ca="1" si="312"/>
        <v/>
      </c>
      <c r="Z657" s="368" t="str">
        <f t="shared" ca="1" si="313"/>
        <v/>
      </c>
      <c r="AA657" s="369" t="str">
        <f t="shared" ca="1" si="314"/>
        <v/>
      </c>
      <c r="AB657" s="344"/>
      <c r="AC657" s="363" t="e">
        <f t="shared" ca="1" si="315"/>
        <v>#N/A</v>
      </c>
      <c r="AD657" s="376" t="e">
        <f t="shared" ca="1" si="316"/>
        <v>#N/A</v>
      </c>
      <c r="AE657" s="377" t="e">
        <f t="shared" ca="1" si="295"/>
        <v>#N/A</v>
      </c>
      <c r="AF657" s="344"/>
      <c r="AG657" s="359">
        <f t="shared" ca="1" si="317"/>
        <v>-6.1884832328935042</v>
      </c>
      <c r="AH657" s="357">
        <f t="shared" ca="1" si="318"/>
        <v>-0.49999222040430696</v>
      </c>
    </row>
    <row r="658" spans="1:34" x14ac:dyDescent="0.25">
      <c r="A658" s="402">
        <f t="shared" ca="1" si="296"/>
        <v>0.1</v>
      </c>
      <c r="B658" s="357">
        <f t="shared" ca="1" si="297"/>
        <v>20.399999999999959</v>
      </c>
      <c r="C658" s="342"/>
      <c r="D658" s="359">
        <f t="shared" ca="1" si="298"/>
        <v>-0.40158835217742905</v>
      </c>
      <c r="E658" s="360">
        <f t="shared" ca="1" si="299"/>
        <v>-10.085677416806263</v>
      </c>
      <c r="F658" s="357">
        <f t="shared" ca="1" si="300"/>
        <v>10.093669410104555</v>
      </c>
      <c r="G658" s="359">
        <f t="shared" ca="1" si="301"/>
        <v>38.769764406537497</v>
      </c>
      <c r="H658" s="360">
        <f t="shared" ca="1" si="302"/>
        <v>25.633189489887243</v>
      </c>
      <c r="I658" s="357">
        <f t="shared" ca="1" si="303"/>
        <v>46.477468041653125</v>
      </c>
      <c r="J658" s="359">
        <f t="shared" ca="1" si="304"/>
        <v>910.3318552081854</v>
      </c>
      <c r="K658" s="360">
        <f t="shared" ca="1" si="305"/>
        <v>2677.628140190574</v>
      </c>
      <c r="L658" s="357">
        <f t="shared" ca="1" si="290"/>
        <v>2828.1436568440449</v>
      </c>
      <c r="M658" s="359">
        <f t="shared" ca="1" si="306"/>
        <v>0.58418368864227888</v>
      </c>
      <c r="N658" s="357">
        <f t="shared" ca="1" si="307"/>
        <v>33.471259819587146</v>
      </c>
      <c r="O658" s="343"/>
      <c r="P658" s="363">
        <f t="shared" ca="1" si="308"/>
        <v>23</v>
      </c>
      <c r="Q658" s="357">
        <f t="shared" ca="1" si="309"/>
        <v>0</v>
      </c>
      <c r="R658" s="359">
        <f t="shared" ca="1" si="310"/>
        <v>0</v>
      </c>
      <c r="S658" s="360">
        <f t="shared" ca="1" si="311"/>
        <v>9.637999999999975</v>
      </c>
      <c r="T658" s="357">
        <f t="shared" ca="1" si="291"/>
        <v>94.548779999999766</v>
      </c>
      <c r="U658" s="364">
        <f t="shared" ca="1" si="292"/>
        <v>0</v>
      </c>
      <c r="V658" s="359">
        <f t="shared" ca="1" si="293"/>
        <v>0.93571979384649295</v>
      </c>
      <c r="W658" s="357">
        <f t="shared" ca="1" si="294"/>
        <v>4.5752028720655114</v>
      </c>
      <c r="X658" s="343"/>
      <c r="Y658" s="367" t="str">
        <f t="shared" ca="1" si="312"/>
        <v/>
      </c>
      <c r="Z658" s="368" t="str">
        <f t="shared" ca="1" si="313"/>
        <v/>
      </c>
      <c r="AA658" s="369" t="str">
        <f t="shared" ca="1" si="314"/>
        <v/>
      </c>
      <c r="AB658" s="344"/>
      <c r="AC658" s="363" t="e">
        <f t="shared" ca="1" si="315"/>
        <v>#N/A</v>
      </c>
      <c r="AD658" s="376" t="e">
        <f t="shared" ca="1" si="316"/>
        <v>#N/A</v>
      </c>
      <c r="AE658" s="377" t="e">
        <f t="shared" ca="1" si="295"/>
        <v>#N/A</v>
      </c>
      <c r="AF658" s="344"/>
      <c r="AG658" s="359">
        <f t="shared" ca="1" si="317"/>
        <v>-6.0390817974117796</v>
      </c>
      <c r="AH658" s="357">
        <f t="shared" ca="1" si="318"/>
        <v>-0.48710496070308812</v>
      </c>
    </row>
    <row r="659" spans="1:34" x14ac:dyDescent="0.25">
      <c r="A659" s="402">
        <f t="shared" ca="1" si="296"/>
        <v>0.1</v>
      </c>
      <c r="B659" s="357">
        <f t="shared" ca="1" si="297"/>
        <v>20.499999999999961</v>
      </c>
      <c r="C659" s="342"/>
      <c r="D659" s="359">
        <f t="shared" ca="1" si="298"/>
        <v>-0.39598080592192392</v>
      </c>
      <c r="E659" s="360">
        <f t="shared" ca="1" si="299"/>
        <v>-10.071808426951478</v>
      </c>
      <c r="F659" s="357">
        <f t="shared" ca="1" si="300"/>
        <v>10.079589564454963</v>
      </c>
      <c r="G659" s="359">
        <f t="shared" ca="1" si="301"/>
        <v>38.730166325945305</v>
      </c>
      <c r="H659" s="360">
        <f t="shared" ca="1" si="302"/>
        <v>24.626008647192094</v>
      </c>
      <c r="I659" s="357">
        <f t="shared" ca="1" si="303"/>
        <v>45.89625350207757</v>
      </c>
      <c r="J659" s="359">
        <f t="shared" ca="1" si="304"/>
        <v>914.20685174480957</v>
      </c>
      <c r="K659" s="360">
        <f t="shared" ca="1" si="305"/>
        <v>2680.1411000974281</v>
      </c>
      <c r="L659" s="357">
        <f t="shared" ca="1" si="290"/>
        <v>2831.771615827909</v>
      </c>
      <c r="M659" s="359">
        <f t="shared" ca="1" si="306"/>
        <v>0.56635310801868199</v>
      </c>
      <c r="N659" s="357">
        <f t="shared" ca="1" si="307"/>
        <v>32.449642803587302</v>
      </c>
      <c r="O659" s="343"/>
      <c r="P659" s="363">
        <f t="shared" ca="1" si="308"/>
        <v>23</v>
      </c>
      <c r="Q659" s="357">
        <f t="shared" ca="1" si="309"/>
        <v>0</v>
      </c>
      <c r="R659" s="359">
        <f t="shared" ca="1" si="310"/>
        <v>0</v>
      </c>
      <c r="S659" s="360">
        <f t="shared" ca="1" si="311"/>
        <v>9.637999999999975</v>
      </c>
      <c r="T659" s="357">
        <f t="shared" ca="1" si="291"/>
        <v>94.548779999999766</v>
      </c>
      <c r="U659" s="364">
        <f t="shared" ca="1" si="292"/>
        <v>0</v>
      </c>
      <c r="V659" s="359">
        <f t="shared" ca="1" si="293"/>
        <v>0.93548038606732953</v>
      </c>
      <c r="W659" s="357">
        <f t="shared" ca="1" si="294"/>
        <v>4.4603483217998594</v>
      </c>
      <c r="X659" s="343"/>
      <c r="Y659" s="367" t="str">
        <f t="shared" ca="1" si="312"/>
        <v/>
      </c>
      <c r="Z659" s="368" t="str">
        <f t="shared" ca="1" si="313"/>
        <v/>
      </c>
      <c r="AA659" s="369" t="str">
        <f t="shared" ca="1" si="314"/>
        <v/>
      </c>
      <c r="AB659" s="344"/>
      <c r="AC659" s="363" t="e">
        <f t="shared" ca="1" si="315"/>
        <v>#N/A</v>
      </c>
      <c r="AD659" s="376" t="e">
        <f t="shared" ca="1" si="316"/>
        <v>#N/A</v>
      </c>
      <c r="AE659" s="377" t="e">
        <f t="shared" ca="1" si="295"/>
        <v>#N/A</v>
      </c>
      <c r="AF659" s="344"/>
      <c r="AG659" s="359">
        <f t="shared" ca="1" si="317"/>
        <v>-5.8851023516139325</v>
      </c>
      <c r="AH659" s="357">
        <f t="shared" ca="1" si="318"/>
        <v>-0.47470459349092375</v>
      </c>
    </row>
    <row r="660" spans="1:34" x14ac:dyDescent="0.25">
      <c r="A660" s="402">
        <f t="shared" ca="1" si="296"/>
        <v>0.1</v>
      </c>
      <c r="B660" s="357">
        <f t="shared" ca="1" si="297"/>
        <v>20.599999999999962</v>
      </c>
      <c r="C660" s="342"/>
      <c r="D660" s="359">
        <f t="shared" ca="1" si="298"/>
        <v>-0.39052962088209126</v>
      </c>
      <c r="E660" s="360">
        <f t="shared" ca="1" si="299"/>
        <v>-10.058312536018843</v>
      </c>
      <c r="F660" s="357">
        <f t="shared" ca="1" si="300"/>
        <v>10.065891140729672</v>
      </c>
      <c r="G660" s="359">
        <f t="shared" ca="1" si="301"/>
        <v>38.691113363857099</v>
      </c>
      <c r="H660" s="360">
        <f t="shared" ca="1" si="302"/>
        <v>23.620177393590211</v>
      </c>
      <c r="I660" s="357">
        <f t="shared" ca="1" si="303"/>
        <v>45.331170660369132</v>
      </c>
      <c r="J660" s="359">
        <f t="shared" ca="1" si="304"/>
        <v>918.07791572929966</v>
      </c>
      <c r="K660" s="360">
        <f t="shared" ca="1" si="305"/>
        <v>2682.553409399467</v>
      </c>
      <c r="L660" s="357">
        <f t="shared" ca="1" si="290"/>
        <v>2835.30595414861</v>
      </c>
      <c r="M660" s="359">
        <f t="shared" ca="1" si="306"/>
        <v>0.54809026688864093</v>
      </c>
      <c r="N660" s="357">
        <f t="shared" ca="1" si="307"/>
        <v>31.403259084918016</v>
      </c>
      <c r="O660" s="343"/>
      <c r="P660" s="363">
        <f t="shared" ca="1" si="308"/>
        <v>23</v>
      </c>
      <c r="Q660" s="357">
        <f t="shared" ca="1" si="309"/>
        <v>0</v>
      </c>
      <c r="R660" s="359">
        <f t="shared" ca="1" si="310"/>
        <v>0</v>
      </c>
      <c r="S660" s="360">
        <f t="shared" ca="1" si="311"/>
        <v>9.637999999999975</v>
      </c>
      <c r="T660" s="357">
        <f t="shared" ca="1" si="291"/>
        <v>94.548779999999766</v>
      </c>
      <c r="U660" s="364">
        <f t="shared" ca="1" si="292"/>
        <v>0</v>
      </c>
      <c r="V660" s="359">
        <f t="shared" ca="1" si="293"/>
        <v>0.93525061709740298</v>
      </c>
      <c r="W660" s="357">
        <f t="shared" ca="1" si="294"/>
        <v>4.3501225377227808</v>
      </c>
      <c r="X660" s="343"/>
      <c r="Y660" s="367" t="str">
        <f t="shared" ca="1" si="312"/>
        <v/>
      </c>
      <c r="Z660" s="368" t="str">
        <f t="shared" ca="1" si="313"/>
        <v/>
      </c>
      <c r="AA660" s="369" t="str">
        <f t="shared" ca="1" si="314"/>
        <v/>
      </c>
      <c r="AB660" s="344"/>
      <c r="AC660" s="363" t="e">
        <f t="shared" ca="1" si="315"/>
        <v>#N/A</v>
      </c>
      <c r="AD660" s="376" t="e">
        <f t="shared" ca="1" si="316"/>
        <v>#N/A</v>
      </c>
      <c r="AE660" s="377" t="e">
        <f t="shared" ca="1" si="295"/>
        <v>#N/A</v>
      </c>
      <c r="AF660" s="344"/>
      <c r="AG660" s="359">
        <f t="shared" ca="1" si="317"/>
        <v>-5.7264231523436955</v>
      </c>
      <c r="AH660" s="357">
        <f t="shared" ca="1" si="318"/>
        <v>-0.46278774868228584</v>
      </c>
    </row>
    <row r="661" spans="1:34" x14ac:dyDescent="0.25">
      <c r="A661" s="402">
        <f t="shared" ca="1" si="296"/>
        <v>0.1</v>
      </c>
      <c r="B661" s="357">
        <f t="shared" ca="1" si="297"/>
        <v>20.699999999999964</v>
      </c>
      <c r="C661" s="342"/>
      <c r="D661" s="359">
        <f t="shared" ca="1" si="298"/>
        <v>-0.38523777073198079</v>
      </c>
      <c r="E661" s="360">
        <f t="shared" ca="1" si="299"/>
        <v>-10.045180218202269</v>
      </c>
      <c r="F661" s="357">
        <f t="shared" ca="1" si="300"/>
        <v>10.052564536284297</v>
      </c>
      <c r="G661" s="359">
        <f t="shared" ca="1" si="301"/>
        <v>38.652589586783904</v>
      </c>
      <c r="H661" s="360">
        <f t="shared" ca="1" si="302"/>
        <v>22.615659371769983</v>
      </c>
      <c r="I661" s="357">
        <f t="shared" ca="1" si="303"/>
        <v>44.782705708613484</v>
      </c>
      <c r="J661" s="359">
        <f t="shared" ca="1" si="304"/>
        <v>921.9451008768317</v>
      </c>
      <c r="K661" s="360">
        <f t="shared" ca="1" si="305"/>
        <v>2684.8652012377352</v>
      </c>
      <c r="L661" s="357">
        <f t="shared" ca="1" si="290"/>
        <v>2838.7468921776272</v>
      </c>
      <c r="M661" s="359">
        <f t="shared" ca="1" si="306"/>
        <v>0.52939213249946226</v>
      </c>
      <c r="N661" s="357">
        <f t="shared" ca="1" si="307"/>
        <v>30.331934899649653</v>
      </c>
      <c r="O661" s="343"/>
      <c r="P661" s="363">
        <f t="shared" ca="1" si="308"/>
        <v>23</v>
      </c>
      <c r="Q661" s="357">
        <f t="shared" ca="1" si="309"/>
        <v>0</v>
      </c>
      <c r="R661" s="359">
        <f t="shared" ca="1" si="310"/>
        <v>0</v>
      </c>
      <c r="S661" s="360">
        <f t="shared" ca="1" si="311"/>
        <v>9.637999999999975</v>
      </c>
      <c r="T661" s="357">
        <f t="shared" ca="1" si="291"/>
        <v>94.548779999999766</v>
      </c>
      <c r="U661" s="364">
        <f t="shared" ca="1" si="292"/>
        <v>0</v>
      </c>
      <c r="V661" s="359">
        <f t="shared" ca="1" si="293"/>
        <v>0.9350304681257906</v>
      </c>
      <c r="W661" s="357">
        <f t="shared" ca="1" si="294"/>
        <v>4.2444951291154789</v>
      </c>
      <c r="X661" s="343"/>
      <c r="Y661" s="367" t="str">
        <f t="shared" ca="1" si="312"/>
        <v/>
      </c>
      <c r="Z661" s="368" t="str">
        <f t="shared" ca="1" si="313"/>
        <v/>
      </c>
      <c r="AA661" s="369" t="str">
        <f t="shared" ca="1" si="314"/>
        <v/>
      </c>
      <c r="AB661" s="344"/>
      <c r="AC661" s="363" t="e">
        <f t="shared" ca="1" si="315"/>
        <v>#N/A</v>
      </c>
      <c r="AD661" s="376" t="e">
        <f t="shared" ca="1" si="316"/>
        <v>#N/A</v>
      </c>
      <c r="AE661" s="377" t="e">
        <f t="shared" ca="1" si="295"/>
        <v>#N/A</v>
      </c>
      <c r="AF661" s="344"/>
      <c r="AG661" s="359">
        <f t="shared" ca="1" si="317"/>
        <v>-5.5629319360246594</v>
      </c>
      <c r="AH661" s="357">
        <f t="shared" ca="1" si="318"/>
        <v>-0.45135116598078356</v>
      </c>
    </row>
    <row r="662" spans="1:34" x14ac:dyDescent="0.25">
      <c r="A662" s="402">
        <f t="shared" ca="1" si="296"/>
        <v>0.1</v>
      </c>
      <c r="B662" s="357">
        <f t="shared" ca="1" si="297"/>
        <v>20.799999999999965</v>
      </c>
      <c r="C662" s="342"/>
      <c r="D662" s="359">
        <f t="shared" ca="1" si="298"/>
        <v>-0.38010832676253742</v>
      </c>
      <c r="E662" s="360">
        <f t="shared" ca="1" si="299"/>
        <v>-10.032401669185298</v>
      </c>
      <c r="F662" s="357">
        <f t="shared" ca="1" si="300"/>
        <v>10.039599872103777</v>
      </c>
      <c r="G662" s="359">
        <f t="shared" ca="1" si="301"/>
        <v>38.614578754107647</v>
      </c>
      <c r="H662" s="360">
        <f t="shared" ca="1" si="302"/>
        <v>21.612419204851452</v>
      </c>
      <c r="I662" s="357">
        <f t="shared" ca="1" si="303"/>
        <v>44.251354287110964</v>
      </c>
      <c r="J662" s="359">
        <f t="shared" ca="1" si="304"/>
        <v>925.80845929387624</v>
      </c>
      <c r="K662" s="360">
        <f t="shared" ca="1" si="305"/>
        <v>2687.0766051665664</v>
      </c>
      <c r="L662" s="357">
        <f t="shared" ca="1" si="290"/>
        <v>2842.0946474974371</v>
      </c>
      <c r="M662" s="359">
        <f t="shared" ca="1" si="306"/>
        <v>0.5102567472240348</v>
      </c>
      <c r="N662" s="357">
        <f t="shared" ca="1" si="307"/>
        <v>29.235558084010879</v>
      </c>
      <c r="O662" s="343"/>
      <c r="P662" s="363">
        <f t="shared" ca="1" si="308"/>
        <v>23</v>
      </c>
      <c r="Q662" s="357">
        <f t="shared" ca="1" si="309"/>
        <v>0</v>
      </c>
      <c r="R662" s="359">
        <f t="shared" ca="1" si="310"/>
        <v>0</v>
      </c>
      <c r="S662" s="360">
        <f t="shared" ca="1" si="311"/>
        <v>9.637999999999975</v>
      </c>
      <c r="T662" s="357">
        <f t="shared" ca="1" si="291"/>
        <v>94.548779999999766</v>
      </c>
      <c r="U662" s="364">
        <f t="shared" ca="1" si="292"/>
        <v>0</v>
      </c>
      <c r="V662" s="359">
        <f t="shared" ca="1" si="293"/>
        <v>0.9348199209518756</v>
      </c>
      <c r="W662" s="357">
        <f t="shared" ca="1" si="294"/>
        <v>4.1434367111604935</v>
      </c>
      <c r="X662" s="343"/>
      <c r="Y662" s="367" t="str">
        <f t="shared" ca="1" si="312"/>
        <v/>
      </c>
      <c r="Z662" s="368" t="str">
        <f t="shared" ca="1" si="313"/>
        <v/>
      </c>
      <c r="AA662" s="369" t="str">
        <f t="shared" ca="1" si="314"/>
        <v/>
      </c>
      <c r="AB662" s="344"/>
      <c r="AC662" s="363" t="e">
        <f t="shared" ca="1" si="315"/>
        <v>#N/A</v>
      </c>
      <c r="AD662" s="376" t="e">
        <f t="shared" ca="1" si="316"/>
        <v>#N/A</v>
      </c>
      <c r="AE662" s="377" t="e">
        <f t="shared" ca="1" si="295"/>
        <v>#N/A</v>
      </c>
      <c r="AF662" s="344"/>
      <c r="AG662" s="359">
        <f t="shared" ca="1" si="317"/>
        <v>-5.3945277794476176</v>
      </c>
      <c r="AH662" s="357">
        <f t="shared" ca="1" si="318"/>
        <v>-0.44039169216803176</v>
      </c>
    </row>
    <row r="663" spans="1:34" x14ac:dyDescent="0.25">
      <c r="A663" s="402">
        <f t="shared" ca="1" si="296"/>
        <v>0.1</v>
      </c>
      <c r="B663" s="357">
        <f t="shared" ca="1" si="297"/>
        <v>20.899999999999967</v>
      </c>
      <c r="C663" s="342"/>
      <c r="D663" s="359">
        <f t="shared" ca="1" si="298"/>
        <v>-0.37514444724604096</v>
      </c>
      <c r="E663" s="360">
        <f t="shared" ca="1" si="299"/>
        <v>-10.019966787618815</v>
      </c>
      <c r="F663" s="357">
        <f t="shared" ca="1" si="300"/>
        <v>10.02698697422529</v>
      </c>
      <c r="G663" s="359">
        <f t="shared" ca="1" si="301"/>
        <v>38.57706430938304</v>
      </c>
      <c r="H663" s="360">
        <f t="shared" ca="1" si="302"/>
        <v>20.610422526089572</v>
      </c>
      <c r="I663" s="357">
        <f t="shared" ca="1" si="303"/>
        <v>43.737620047668521</v>
      </c>
      <c r="J663" s="359">
        <f t="shared" ca="1" si="304"/>
        <v>929.66804144705077</v>
      </c>
      <c r="K663" s="360">
        <f t="shared" ca="1" si="305"/>
        <v>2689.1877472531137</v>
      </c>
      <c r="L663" s="357">
        <f t="shared" ca="1" si="290"/>
        <v>2845.3494350016608</v>
      </c>
      <c r="M663" s="359">
        <f t="shared" ca="1" si="306"/>
        <v>0.490683344755871</v>
      </c>
      <c r="N663" s="357">
        <f t="shared" ca="1" si="307"/>
        <v>28.114084731874144</v>
      </c>
      <c r="O663" s="343"/>
      <c r="P663" s="363">
        <f t="shared" ca="1" si="308"/>
        <v>23</v>
      </c>
      <c r="Q663" s="357">
        <f t="shared" ca="1" si="309"/>
        <v>0</v>
      </c>
      <c r="R663" s="359">
        <f t="shared" ca="1" si="310"/>
        <v>0</v>
      </c>
      <c r="S663" s="360">
        <f t="shared" ca="1" si="311"/>
        <v>9.637999999999975</v>
      </c>
      <c r="T663" s="357">
        <f t="shared" ca="1" si="291"/>
        <v>94.548779999999766</v>
      </c>
      <c r="U663" s="364">
        <f t="shared" ca="1" si="292"/>
        <v>0</v>
      </c>
      <c r="V663" s="359">
        <f t="shared" ca="1" si="293"/>
        <v>0.93461895797403471</v>
      </c>
      <c r="W663" s="357">
        <f t="shared" ca="1" si="294"/>
        <v>4.0469188787942487</v>
      </c>
      <c r="X663" s="343"/>
      <c r="Y663" s="367" t="str">
        <f t="shared" ca="1" si="312"/>
        <v/>
      </c>
      <c r="Z663" s="368" t="str">
        <f t="shared" ca="1" si="313"/>
        <v/>
      </c>
      <c r="AA663" s="369" t="str">
        <f t="shared" ca="1" si="314"/>
        <v/>
      </c>
      <c r="AB663" s="344"/>
      <c r="AC663" s="363" t="e">
        <f t="shared" ca="1" si="315"/>
        <v>#N/A</v>
      </c>
      <c r="AD663" s="376" t="e">
        <f t="shared" ca="1" si="316"/>
        <v>#N/A</v>
      </c>
      <c r="AE663" s="377" t="e">
        <f t="shared" ca="1" si="295"/>
        <v>#N/A</v>
      </c>
      <c r="AF663" s="344"/>
      <c r="AG663" s="359">
        <f t="shared" ca="1" si="317"/>
        <v>-5.2211230855447575</v>
      </c>
      <c r="AH663" s="357">
        <f t="shared" ca="1" si="318"/>
        <v>-0.42990627839390999</v>
      </c>
    </row>
    <row r="664" spans="1:34" x14ac:dyDescent="0.25">
      <c r="A664" s="402">
        <f t="shared" ca="1" si="296"/>
        <v>0.1</v>
      </c>
      <c r="B664" s="357">
        <f t="shared" ca="1" si="297"/>
        <v>20.999999999999968</v>
      </c>
      <c r="C664" s="342"/>
      <c r="D664" s="359">
        <f t="shared" ca="1" si="298"/>
        <v>-0.37034936514500871</v>
      </c>
      <c r="E664" s="360">
        <f t="shared" ca="1" si="299"/>
        <v>-10.007865157304131</v>
      </c>
      <c r="F664" s="357">
        <f t="shared" ca="1" si="300"/>
        <v>10.014715355867352</v>
      </c>
      <c r="G664" s="359">
        <f t="shared" ca="1" si="301"/>
        <v>38.540029372868538</v>
      </c>
      <c r="H664" s="360">
        <f t="shared" ca="1" si="302"/>
        <v>19.609636010359157</v>
      </c>
      <c r="I664" s="357">
        <f t="shared" ca="1" si="303"/>
        <v>43.242013002638352</v>
      </c>
      <c r="J664" s="359">
        <f t="shared" ca="1" si="304"/>
        <v>933.52389613116338</v>
      </c>
      <c r="K664" s="360">
        <f t="shared" ca="1" si="305"/>
        <v>2691.1987501799363</v>
      </c>
      <c r="L664" s="357">
        <f t="shared" ca="1" si="290"/>
        <v>2848.5114669977997</v>
      </c>
      <c r="M664" s="359">
        <f t="shared" ca="1" si="306"/>
        <v>0.47067246802318491</v>
      </c>
      <c r="N664" s="357">
        <f t="shared" ca="1" si="307"/>
        <v>26.967545950734692</v>
      </c>
      <c r="O664" s="343"/>
      <c r="P664" s="363">
        <f t="shared" ca="1" si="308"/>
        <v>23</v>
      </c>
      <c r="Q664" s="357">
        <f t="shared" ca="1" si="309"/>
        <v>0</v>
      </c>
      <c r="R664" s="359">
        <f t="shared" ca="1" si="310"/>
        <v>0</v>
      </c>
      <c r="S664" s="360">
        <f t="shared" ca="1" si="311"/>
        <v>9.637999999999975</v>
      </c>
      <c r="T664" s="357">
        <f t="shared" ca="1" si="291"/>
        <v>94.548779999999766</v>
      </c>
      <c r="U664" s="364">
        <f t="shared" ca="1" si="292"/>
        <v>0</v>
      </c>
      <c r="V664" s="359">
        <f t="shared" ca="1" si="293"/>
        <v>0.9344275621781083</v>
      </c>
      <c r="W664" s="357">
        <f t="shared" ca="1" si="294"/>
        <v>3.954914180485654</v>
      </c>
      <c r="X664" s="343"/>
      <c r="Y664" s="367" t="str">
        <f t="shared" ca="1" si="312"/>
        <v/>
      </c>
      <c r="Z664" s="368" t="str">
        <f t="shared" ca="1" si="313"/>
        <v/>
      </c>
      <c r="AA664" s="369" t="str">
        <f t="shared" ca="1" si="314"/>
        <v/>
      </c>
      <c r="AB664" s="344"/>
      <c r="AC664" s="363">
        <f t="shared" ca="1" si="315"/>
        <v>20.999999999999968</v>
      </c>
      <c r="AD664" s="376">
        <f t="shared" ca="1" si="316"/>
        <v>933.52389613116338</v>
      </c>
      <c r="AE664" s="377" t="e">
        <f t="shared" ca="1" si="295"/>
        <v>#N/A</v>
      </c>
      <c r="AF664" s="344"/>
      <c r="AG664" s="359">
        <f t="shared" ca="1" si="317"/>
        <v>-5.0426456792100431</v>
      </c>
      <c r="AH664" s="357">
        <f t="shared" ca="1" si="318"/>
        <v>-0.41989197746360857</v>
      </c>
    </row>
    <row r="665" spans="1:34" x14ac:dyDescent="0.25">
      <c r="A665" s="402">
        <f t="shared" ca="1" si="296"/>
        <v>0.1</v>
      </c>
      <c r="B665" s="357">
        <f t="shared" ca="1" si="297"/>
        <v>21.099999999999969</v>
      </c>
      <c r="C665" s="342"/>
      <c r="D665" s="359">
        <f t="shared" ca="1" si="298"/>
        <v>-0.3657263740872036</v>
      </c>
      <c r="E665" s="360">
        <f t="shared" ca="1" si="299"/>
        <v>-9.996086030341413</v>
      </c>
      <c r="F665" s="357">
        <f t="shared" ca="1" si="300"/>
        <v>10.002774200525058</v>
      </c>
      <c r="G665" s="359">
        <f t="shared" ca="1" si="301"/>
        <v>38.503456735459821</v>
      </c>
      <c r="H665" s="360">
        <f t="shared" ca="1" si="302"/>
        <v>18.610027407325017</v>
      </c>
      <c r="I665" s="357">
        <f t="shared" ca="1" si="303"/>
        <v>42.765047652034887</v>
      </c>
      <c r="J665" s="359">
        <f t="shared" ca="1" si="304"/>
        <v>937.37607043657977</v>
      </c>
      <c r="K665" s="360">
        <f t="shared" ca="1" si="305"/>
        <v>2693.1097333508205</v>
      </c>
      <c r="L665" s="357">
        <f t="shared" ca="1" si="290"/>
        <v>2851.5809533127499</v>
      </c>
      <c r="M665" s="359">
        <f t="shared" ca="1" si="306"/>
        <v>0.45022608719444968</v>
      </c>
      <c r="N665" s="357">
        <f t="shared" ca="1" si="307"/>
        <v>25.796054622930964</v>
      </c>
      <c r="O665" s="343"/>
      <c r="P665" s="363">
        <f t="shared" ca="1" si="308"/>
        <v>23</v>
      </c>
      <c r="Q665" s="357">
        <f t="shared" ca="1" si="309"/>
        <v>0</v>
      </c>
      <c r="R665" s="359">
        <f t="shared" ca="1" si="310"/>
        <v>0</v>
      </c>
      <c r="S665" s="360">
        <f t="shared" ca="1" si="311"/>
        <v>9.637999999999975</v>
      </c>
      <c r="T665" s="357">
        <f t="shared" ca="1" si="291"/>
        <v>94.548779999999766</v>
      </c>
      <c r="U665" s="364">
        <f t="shared" ca="1" si="292"/>
        <v>0</v>
      </c>
      <c r="V665" s="359">
        <f t="shared" ca="1" si="293"/>
        <v>0.93424571712564275</v>
      </c>
      <c r="W665" s="357">
        <f t="shared" ca="1" si="294"/>
        <v>3.8673960918995443</v>
      </c>
      <c r="X665" s="343"/>
      <c r="Y665" s="367" t="str">
        <f t="shared" ca="1" si="312"/>
        <v/>
      </c>
      <c r="Z665" s="368" t="str">
        <f t="shared" ca="1" si="313"/>
        <v/>
      </c>
      <c r="AA665" s="369" t="str">
        <f t="shared" ca="1" si="314"/>
        <v/>
      </c>
      <c r="AB665" s="344"/>
      <c r="AC665" s="363" t="e">
        <f t="shared" ca="1" si="315"/>
        <v>#N/A</v>
      </c>
      <c r="AD665" s="376" t="e">
        <f t="shared" ca="1" si="316"/>
        <v>#N/A</v>
      </c>
      <c r="AE665" s="377" t="e">
        <f t="shared" ca="1" si="295"/>
        <v>#N/A</v>
      </c>
      <c r="AF665" s="344"/>
      <c r="AG665" s="359">
        <f t="shared" ca="1" si="317"/>
        <v>-4.8590409926143989</v>
      </c>
      <c r="AH665" s="357">
        <f t="shared" ca="1" si="318"/>
        <v>-0.4103459411170019</v>
      </c>
    </row>
    <row r="666" spans="1:34" x14ac:dyDescent="0.25">
      <c r="A666" s="402">
        <f t="shared" ca="1" si="296"/>
        <v>0.1</v>
      </c>
      <c r="B666" s="357">
        <f t="shared" ca="1" si="297"/>
        <v>21.199999999999971</v>
      </c>
      <c r="C666" s="342"/>
      <c r="D666" s="359">
        <f t="shared" ca="1" si="298"/>
        <v>-0.36127881254822891</v>
      </c>
      <c r="E666" s="360">
        <f t="shared" ca="1" si="299"/>
        <v>-9.9846183115298448</v>
      </c>
      <c r="F666" s="357">
        <f t="shared" ca="1" si="300"/>
        <v>9.9911523463178842</v>
      </c>
      <c r="G666" s="359">
        <f t="shared" ca="1" si="301"/>
        <v>38.467328854205</v>
      </c>
      <c r="H666" s="360">
        <f t="shared" ca="1" si="302"/>
        <v>17.611565576172033</v>
      </c>
      <c r="I666" s="357">
        <f t="shared" ca="1" si="303"/>
        <v>42.307240884053883</v>
      </c>
      <c r="J666" s="359">
        <f t="shared" ca="1" si="304"/>
        <v>941.22460971606301</v>
      </c>
      <c r="K666" s="360">
        <f t="shared" ca="1" si="305"/>
        <v>2694.9208129999952</v>
      </c>
      <c r="L666" s="357">
        <f t="shared" ca="1" si="290"/>
        <v>2854.5581014012851</v>
      </c>
      <c r="M666" s="359">
        <f t="shared" ca="1" si="306"/>
        <v>0.4293477158697323</v>
      </c>
      <c r="N666" s="357">
        <f t="shared" ca="1" si="307"/>
        <v>24.5998120629177</v>
      </c>
      <c r="O666" s="343"/>
      <c r="P666" s="363">
        <f t="shared" ca="1" si="308"/>
        <v>23</v>
      </c>
      <c r="Q666" s="357">
        <f t="shared" ca="1" si="309"/>
        <v>0</v>
      </c>
      <c r="R666" s="359">
        <f t="shared" ca="1" si="310"/>
        <v>0</v>
      </c>
      <c r="S666" s="360">
        <f t="shared" ca="1" si="311"/>
        <v>9.637999999999975</v>
      </c>
      <c r="T666" s="357">
        <f t="shared" ca="1" si="291"/>
        <v>94.548779999999766</v>
      </c>
      <c r="U666" s="364">
        <f t="shared" ca="1" si="292"/>
        <v>0</v>
      </c>
      <c r="V666" s="359">
        <f t="shared" ca="1" si="293"/>
        <v>0.93407340694187624</v>
      </c>
      <c r="W666" s="357">
        <f t="shared" ca="1" si="294"/>
        <v>3.7843389894058732</v>
      </c>
      <c r="X666" s="343"/>
      <c r="Y666" s="367" t="str">
        <f t="shared" ca="1" si="312"/>
        <v/>
      </c>
      <c r="Z666" s="368" t="str">
        <f t="shared" ca="1" si="313"/>
        <v/>
      </c>
      <c r="AA666" s="369" t="str">
        <f t="shared" ca="1" si="314"/>
        <v/>
      </c>
      <c r="AB666" s="344"/>
      <c r="AC666" s="363" t="e">
        <f t="shared" ca="1" si="315"/>
        <v>#N/A</v>
      </c>
      <c r="AD666" s="376" t="e">
        <f t="shared" ca="1" si="316"/>
        <v>#N/A</v>
      </c>
      <c r="AE666" s="377" t="e">
        <f t="shared" ca="1" si="295"/>
        <v>#N/A</v>
      </c>
      <c r="AF666" s="344"/>
      <c r="AG666" s="359">
        <f t="shared" ca="1" si="317"/>
        <v>-4.6702743133301574</v>
      </c>
      <c r="AH666" s="357">
        <f t="shared" ca="1" si="318"/>
        <v>-0.40126541729607329</v>
      </c>
    </row>
    <row r="667" spans="1:34" x14ac:dyDescent="0.25">
      <c r="A667" s="402">
        <f t="shared" ca="1" si="296"/>
        <v>0.1</v>
      </c>
      <c r="B667" s="357">
        <f t="shared" ca="1" si="297"/>
        <v>21.299999999999972</v>
      </c>
      <c r="C667" s="342"/>
      <c r="D667" s="359">
        <f t="shared" ca="1" si="298"/>
        <v>-0.35701004620820315</v>
      </c>
      <c r="E667" s="360">
        <f t="shared" ca="1" si="299"/>
        <v>-9.9734505443301842</v>
      </c>
      <c r="F667" s="357">
        <f t="shared" ca="1" si="300"/>
        <v>9.9798382719006842</v>
      </c>
      <c r="G667" s="359">
        <f t="shared" ca="1" si="301"/>
        <v>38.431627849584181</v>
      </c>
      <c r="H667" s="360">
        <f t="shared" ca="1" si="302"/>
        <v>16.614220521739014</v>
      </c>
      <c r="I667" s="357">
        <f t="shared" ca="1" si="303"/>
        <v>41.869109647972074</v>
      </c>
      <c r="J667" s="359">
        <f t="shared" ca="1" si="304"/>
        <v>945.0695575512525</v>
      </c>
      <c r="K667" s="360">
        <f t="shared" ca="1" si="305"/>
        <v>2696.6321023048909</v>
      </c>
      <c r="L667" s="357">
        <f t="shared" ca="1" si="290"/>
        <v>2857.4431164576863</v>
      </c>
      <c r="M667" s="359">
        <f t="shared" ca="1" si="306"/>
        <v>0.40804252327920809</v>
      </c>
      <c r="N667" s="357">
        <f t="shared" ca="1" si="307"/>
        <v>23.379114445767268</v>
      </c>
      <c r="O667" s="343"/>
      <c r="P667" s="363">
        <f t="shared" ca="1" si="308"/>
        <v>23</v>
      </c>
      <c r="Q667" s="357">
        <f t="shared" ca="1" si="309"/>
        <v>0</v>
      </c>
      <c r="R667" s="359">
        <f t="shared" ca="1" si="310"/>
        <v>0</v>
      </c>
      <c r="S667" s="360">
        <f t="shared" ca="1" si="311"/>
        <v>9.637999999999975</v>
      </c>
      <c r="T667" s="357">
        <f t="shared" ca="1" si="291"/>
        <v>94.548779999999766</v>
      </c>
      <c r="U667" s="364">
        <f t="shared" ca="1" si="292"/>
        <v>0</v>
      </c>
      <c r="V667" s="359">
        <f t="shared" ca="1" si="293"/>
        <v>0.93391061630346239</v>
      </c>
      <c r="W667" s="357">
        <f t="shared" ca="1" si="294"/>
        <v>3.7057181233982983</v>
      </c>
      <c r="X667" s="343"/>
      <c r="Y667" s="367" t="str">
        <f t="shared" ca="1" si="312"/>
        <v/>
      </c>
      <c r="Z667" s="368" t="str">
        <f t="shared" ca="1" si="313"/>
        <v/>
      </c>
      <c r="AA667" s="369" t="str">
        <f t="shared" ca="1" si="314"/>
        <v/>
      </c>
      <c r="AB667" s="344"/>
      <c r="AC667" s="363" t="e">
        <f t="shared" ca="1" si="315"/>
        <v>#N/A</v>
      </c>
      <c r="AD667" s="376" t="e">
        <f t="shared" ca="1" si="316"/>
        <v>#N/A</v>
      </c>
      <c r="AE667" s="377" t="e">
        <f t="shared" ca="1" si="295"/>
        <v>#N/A</v>
      </c>
      <c r="AF667" s="344"/>
      <c r="AG667" s="359">
        <f t="shared" ca="1" si="317"/>
        <v>-4.4763330620623325</v>
      </c>
      <c r="AH667" s="357">
        <f t="shared" ca="1" si="318"/>
        <v>-0.39264774739633568</v>
      </c>
    </row>
    <row r="668" spans="1:34" x14ac:dyDescent="0.25">
      <c r="A668" s="402">
        <f t="shared" ca="1" si="296"/>
        <v>0.1</v>
      </c>
      <c r="B668" s="357">
        <f t="shared" ca="1" si="297"/>
        <v>21.399999999999974</v>
      </c>
      <c r="C668" s="342"/>
      <c r="D668" s="359">
        <f t="shared" ca="1" si="298"/>
        <v>-0.35292344847940804</v>
      </c>
      <c r="E668" s="360">
        <f t="shared" ca="1" si="299"/>
        <v>-9.9625708987211929</v>
      </c>
      <c r="F668" s="357">
        <f t="shared" ca="1" si="300"/>
        <v>9.9688200842694012</v>
      </c>
      <c r="G668" s="359">
        <f t="shared" ca="1" si="301"/>
        <v>38.396335504736243</v>
      </c>
      <c r="H668" s="360">
        <f t="shared" ca="1" si="302"/>
        <v>15.617963431866896</v>
      </c>
      <c r="I668" s="357">
        <f t="shared" ca="1" si="303"/>
        <v>41.451168402729017</v>
      </c>
      <c r="J668" s="359">
        <f t="shared" ca="1" si="304"/>
        <v>948.91095571896847</v>
      </c>
      <c r="K668" s="360">
        <f t="shared" ca="1" si="305"/>
        <v>2698.2437115025709</v>
      </c>
      <c r="L668" s="357">
        <f t="shared" ca="1" si="290"/>
        <v>2860.2362015306803</v>
      </c>
      <c r="M668" s="359">
        <f t="shared" ca="1" si="306"/>
        <v>0.38631744005480695</v>
      </c>
      <c r="N668" s="357">
        <f t="shared" ca="1" si="307"/>
        <v>22.134358867438618</v>
      </c>
      <c r="O668" s="343"/>
      <c r="P668" s="363">
        <f t="shared" ca="1" si="308"/>
        <v>23</v>
      </c>
      <c r="Q668" s="357">
        <f t="shared" ca="1" si="309"/>
        <v>0</v>
      </c>
      <c r="R668" s="359">
        <f t="shared" ca="1" si="310"/>
        <v>0</v>
      </c>
      <c r="S668" s="360">
        <f t="shared" ca="1" si="311"/>
        <v>9.637999999999975</v>
      </c>
      <c r="T668" s="357">
        <f t="shared" ca="1" si="291"/>
        <v>94.548779999999766</v>
      </c>
      <c r="U668" s="364">
        <f t="shared" ca="1" si="292"/>
        <v>0</v>
      </c>
      <c r="V668" s="359">
        <f t="shared" ca="1" si="293"/>
        <v>0.93375733042591047</v>
      </c>
      <c r="W668" s="357">
        <f t="shared" ca="1" si="294"/>
        <v>3.6315095913888502</v>
      </c>
      <c r="X668" s="343"/>
      <c r="Y668" s="367" t="str">
        <f t="shared" ca="1" si="312"/>
        <v/>
      </c>
      <c r="Z668" s="368" t="str">
        <f t="shared" ca="1" si="313"/>
        <v/>
      </c>
      <c r="AA668" s="369" t="str">
        <f t="shared" ca="1" si="314"/>
        <v/>
      </c>
      <c r="AB668" s="344"/>
      <c r="AC668" s="363" t="e">
        <f t="shared" ca="1" si="315"/>
        <v>#N/A</v>
      </c>
      <c r="AD668" s="376" t="e">
        <f t="shared" ca="1" si="316"/>
        <v>#N/A</v>
      </c>
      <c r="AE668" s="377" t="e">
        <f t="shared" ca="1" si="295"/>
        <v>#N/A</v>
      </c>
      <c r="AF668" s="344"/>
      <c r="AG668" s="359">
        <f t="shared" ca="1" si="317"/>
        <v>-4.2772290600843945</v>
      </c>
      <c r="AH668" s="357">
        <f t="shared" ca="1" si="318"/>
        <v>-0.3844903634984756</v>
      </c>
    </row>
    <row r="669" spans="1:34" x14ac:dyDescent="0.25">
      <c r="A669" s="402">
        <f t="shared" ca="1" si="296"/>
        <v>0.1</v>
      </c>
      <c r="B669" s="357">
        <f t="shared" ca="1" si="297"/>
        <v>21.499999999999975</v>
      </c>
      <c r="C669" s="342"/>
      <c r="D669" s="359">
        <f t="shared" ca="1" si="298"/>
        <v>-0.34902237923759244</v>
      </c>
      <c r="E669" s="360">
        <f t="shared" ca="1" si="299"/>
        <v>-9.9519671612975547</v>
      </c>
      <c r="F669" s="357">
        <f t="shared" ca="1" si="300"/>
        <v>9.9580855088090896</v>
      </c>
      <c r="G669" s="359">
        <f t="shared" ca="1" si="301"/>
        <v>38.361433266812483</v>
      </c>
      <c r="H669" s="360">
        <f t="shared" ca="1" si="302"/>
        <v>14.622766715737139</v>
      </c>
      <c r="I669" s="357">
        <f t="shared" ca="1" si="303"/>
        <v>41.053926349461115</v>
      </c>
      <c r="J669" s="359">
        <f t="shared" ca="1" si="304"/>
        <v>952.74884415754593</v>
      </c>
      <c r="K669" s="360">
        <f t="shared" ca="1" si="305"/>
        <v>2699.7557480099513</v>
      </c>
      <c r="L669" s="357">
        <f t="shared" ca="1" si="290"/>
        <v>2862.9375576418552</v>
      </c>
      <c r="M669" s="359">
        <f t="shared" ca="1" si="306"/>
        <v>0.36418125491717684</v>
      </c>
      <c r="N669" s="357">
        <f t="shared" ca="1" si="307"/>
        <v>20.866048884532191</v>
      </c>
      <c r="O669" s="343"/>
      <c r="P669" s="363">
        <f t="shared" ca="1" si="308"/>
        <v>23</v>
      </c>
      <c r="Q669" s="357">
        <f t="shared" ca="1" si="309"/>
        <v>0</v>
      </c>
      <c r="R669" s="359">
        <f t="shared" ca="1" si="310"/>
        <v>0</v>
      </c>
      <c r="S669" s="360">
        <f t="shared" ca="1" si="311"/>
        <v>9.637999999999975</v>
      </c>
      <c r="T669" s="357">
        <f t="shared" ca="1" si="291"/>
        <v>94.548779999999766</v>
      </c>
      <c r="U669" s="364">
        <f t="shared" ca="1" si="292"/>
        <v>0</v>
      </c>
      <c r="V669" s="359">
        <f t="shared" ca="1" si="293"/>
        <v>0.93361353505073519</v>
      </c>
      <c r="W669" s="357">
        <f t="shared" ca="1" si="294"/>
        <v>3.5616903108491589</v>
      </c>
      <c r="X669" s="343"/>
      <c r="Y669" s="367" t="str">
        <f t="shared" ca="1" si="312"/>
        <v/>
      </c>
      <c r="Z669" s="368" t="str">
        <f t="shared" ca="1" si="313"/>
        <v/>
      </c>
      <c r="AA669" s="369" t="str">
        <f t="shared" ca="1" si="314"/>
        <v/>
      </c>
      <c r="AB669" s="344"/>
      <c r="AC669" s="363" t="e">
        <f t="shared" ca="1" si="315"/>
        <v>#N/A</v>
      </c>
      <c r="AD669" s="376" t="e">
        <f t="shared" ca="1" si="316"/>
        <v>#N/A</v>
      </c>
      <c r="AE669" s="377" t="e">
        <f t="shared" ca="1" si="295"/>
        <v>#N/A</v>
      </c>
      <c r="AF669" s="344"/>
      <c r="AG669" s="359">
        <f t="shared" ca="1" si="317"/>
        <v>-4.07300073985461</v>
      </c>
      <c r="AH669" s="357">
        <f t="shared" ca="1" si="318"/>
        <v>-0.37679078557676488</v>
      </c>
    </row>
    <row r="670" spans="1:34" x14ac:dyDescent="0.25">
      <c r="A670" s="402">
        <f t="shared" ca="1" si="296"/>
        <v>0.1</v>
      </c>
      <c r="B670" s="357">
        <f t="shared" ca="1" si="297"/>
        <v>21.599999999999977</v>
      </c>
      <c r="C670" s="342"/>
      <c r="D670" s="359">
        <f t="shared" ca="1" si="298"/>
        <v>-0.34531016183060381</v>
      </c>
      <c r="E670" s="360">
        <f t="shared" ca="1" si="299"/>
        <v>-9.941626727966673</v>
      </c>
      <c r="F670" s="357">
        <f t="shared" ca="1" si="300"/>
        <v>9.9476218819416751</v>
      </c>
      <c r="G670" s="359">
        <f t="shared" ca="1" si="301"/>
        <v>38.326902250629423</v>
      </c>
      <c r="H670" s="360">
        <f t="shared" ca="1" si="302"/>
        <v>13.628604042940472</v>
      </c>
      <c r="I670" s="357">
        <f t="shared" ca="1" si="303"/>
        <v>40.677884461812368</v>
      </c>
      <c r="J670" s="359">
        <f t="shared" ca="1" si="304"/>
        <v>956.58326093341805</v>
      </c>
      <c r="K670" s="360">
        <f t="shared" ca="1" si="305"/>
        <v>2701.1683165478853</v>
      </c>
      <c r="L670" s="357">
        <f t="shared" ca="1" si="290"/>
        <v>2865.5473839076799</v>
      </c>
      <c r="M670" s="359">
        <f t="shared" ca="1" si="306"/>
        <v>0.34164469944395048</v>
      </c>
      <c r="N670" s="357">
        <f t="shared" ca="1" si="307"/>
        <v>19.574799371153865</v>
      </c>
      <c r="O670" s="343"/>
      <c r="P670" s="363">
        <f t="shared" ca="1" si="308"/>
        <v>23</v>
      </c>
      <c r="Q670" s="357">
        <f t="shared" ca="1" si="309"/>
        <v>0</v>
      </c>
      <c r="R670" s="359">
        <f t="shared" ca="1" si="310"/>
        <v>0</v>
      </c>
      <c r="S670" s="360">
        <f t="shared" ca="1" si="311"/>
        <v>9.637999999999975</v>
      </c>
      <c r="T670" s="357">
        <f t="shared" ca="1" si="291"/>
        <v>94.548779999999766</v>
      </c>
      <c r="U670" s="364">
        <f t="shared" ca="1" si="292"/>
        <v>0</v>
      </c>
      <c r="V670" s="359">
        <f t="shared" ca="1" si="293"/>
        <v>0.93347921643229848</v>
      </c>
      <c r="W670" s="357">
        <f t="shared" ca="1" si="294"/>
        <v>3.4962379917728588</v>
      </c>
      <c r="X670" s="343"/>
      <c r="Y670" s="367" t="str">
        <f t="shared" ca="1" si="312"/>
        <v/>
      </c>
      <c r="Z670" s="368" t="str">
        <f t="shared" ca="1" si="313"/>
        <v/>
      </c>
      <c r="AA670" s="369" t="str">
        <f t="shared" ca="1" si="314"/>
        <v/>
      </c>
      <c r="AB670" s="344"/>
      <c r="AC670" s="363" t="e">
        <f t="shared" ca="1" si="315"/>
        <v>#N/A</v>
      </c>
      <c r="AD670" s="376" t="e">
        <f t="shared" ca="1" si="316"/>
        <v>#N/A</v>
      </c>
      <c r="AE670" s="377" t="e">
        <f t="shared" ca="1" si="295"/>
        <v>#N/A</v>
      </c>
      <c r="AF670" s="344"/>
      <c r="AG670" s="359">
        <f t="shared" ca="1" si="317"/>
        <v>-3.8637152460690976</v>
      </c>
      <c r="AH670" s="357">
        <f t="shared" ca="1" si="318"/>
        <v>-0.36954661868117533</v>
      </c>
    </row>
    <row r="671" spans="1:34" x14ac:dyDescent="0.25">
      <c r="A671" s="402">
        <f t="shared" ca="1" si="296"/>
        <v>0.1</v>
      </c>
      <c r="B671" s="357">
        <f t="shared" ca="1" si="297"/>
        <v>21.699999999999978</v>
      </c>
      <c r="C671" s="342"/>
      <c r="D671" s="359">
        <f t="shared" ca="1" si="298"/>
        <v>-0.34179005848365968</v>
      </c>
      <c r="E671" s="360">
        <f t="shared" ca="1" si="299"/>
        <v>-9.9315365996037617</v>
      </c>
      <c r="F671" s="357">
        <f t="shared" ca="1" si="300"/>
        <v>9.9374161467328772</v>
      </c>
      <c r="G671" s="359">
        <f t="shared" ca="1" si="301"/>
        <v>38.292723244781058</v>
      </c>
      <c r="H671" s="360">
        <f t="shared" ca="1" si="302"/>
        <v>12.635450382980096</v>
      </c>
      <c r="I671" s="357">
        <f t="shared" ca="1" si="303"/>
        <v>40.323532333888451</v>
      </c>
      <c r="J671" s="359">
        <f t="shared" ca="1" si="304"/>
        <v>960.41424220818863</v>
      </c>
      <c r="K671" s="360">
        <f t="shared" ca="1" si="305"/>
        <v>2702.4815192691813</v>
      </c>
      <c r="L671" s="357">
        <f t="shared" ca="1" si="290"/>
        <v>2868.065877665259</v>
      </c>
      <c r="M671" s="359">
        <f t="shared" ca="1" si="306"/>
        <v>0.31872051797354012</v>
      </c>
      <c r="N671" s="357">
        <f t="shared" ca="1" si="307"/>
        <v>18.261340524107347</v>
      </c>
      <c r="O671" s="343"/>
      <c r="P671" s="363">
        <f t="shared" ca="1" si="308"/>
        <v>23</v>
      </c>
      <c r="Q671" s="357">
        <f t="shared" ca="1" si="309"/>
        <v>0</v>
      </c>
      <c r="R671" s="359">
        <f t="shared" ca="1" si="310"/>
        <v>0</v>
      </c>
      <c r="S671" s="360">
        <f t="shared" ca="1" si="311"/>
        <v>9.637999999999975</v>
      </c>
      <c r="T671" s="357">
        <f t="shared" ca="1" si="291"/>
        <v>94.548779999999766</v>
      </c>
      <c r="U671" s="364">
        <f t="shared" ca="1" si="292"/>
        <v>0</v>
      </c>
      <c r="V671" s="359">
        <f t="shared" ca="1" si="293"/>
        <v>0.9333543613243459</v>
      </c>
      <c r="W671" s="357">
        <f t="shared" ca="1" si="294"/>
        <v>3.4351311089387115</v>
      </c>
      <c r="X671" s="343"/>
      <c r="Y671" s="367" t="str">
        <f t="shared" ca="1" si="312"/>
        <v/>
      </c>
      <c r="Z671" s="368" t="str">
        <f t="shared" ca="1" si="313"/>
        <v/>
      </c>
      <c r="AA671" s="369" t="str">
        <f t="shared" ca="1" si="314"/>
        <v/>
      </c>
      <c r="AB671" s="344"/>
      <c r="AC671" s="363" t="e">
        <f t="shared" ca="1" si="315"/>
        <v>#N/A</v>
      </c>
      <c r="AD671" s="376" t="e">
        <f t="shared" ca="1" si="316"/>
        <v>#N/A</v>
      </c>
      <c r="AE671" s="377" t="e">
        <f t="shared" ca="1" si="295"/>
        <v>#N/A</v>
      </c>
      <c r="AF671" s="344"/>
      <c r="AG671" s="359">
        <f t="shared" ca="1" si="317"/>
        <v>-3.6494703689685704</v>
      </c>
      <c r="AH671" s="357">
        <f t="shared" ca="1" si="318"/>
        <v>-0.36275555009056526</v>
      </c>
    </row>
    <row r="672" spans="1:34" x14ac:dyDescent="0.25">
      <c r="A672" s="402">
        <f t="shared" ca="1" si="296"/>
        <v>0.1</v>
      </c>
      <c r="B672" s="357">
        <f t="shared" ca="1" si="297"/>
        <v>21.799999999999979</v>
      </c>
      <c r="C672" s="342"/>
      <c r="D672" s="359">
        <f t="shared" ca="1" si="298"/>
        <v>-0.33846524427005537</v>
      </c>
      <c r="E672" s="360">
        <f t="shared" ca="1" si="299"/>
        <v>-9.9216833810173171</v>
      </c>
      <c r="F672" s="357">
        <f t="shared" ca="1" si="300"/>
        <v>9.927454851810408</v>
      </c>
      <c r="G672" s="359">
        <f t="shared" ca="1" si="301"/>
        <v>38.258876720354053</v>
      </c>
      <c r="H672" s="360">
        <f t="shared" ca="1" si="302"/>
        <v>11.643282044878365</v>
      </c>
      <c r="I672" s="357">
        <f t="shared" ca="1" si="303"/>
        <v>39.991344872107469</v>
      </c>
      <c r="J672" s="359">
        <f t="shared" ca="1" si="304"/>
        <v>964.24182220644536</v>
      </c>
      <c r="K672" s="360">
        <f t="shared" ca="1" si="305"/>
        <v>2703.6954558905741</v>
      </c>
      <c r="L672" s="357">
        <f t="shared" ca="1" si="290"/>
        <v>2870.4932346019118</v>
      </c>
      <c r="M672" s="359">
        <f t="shared" ca="1" si="306"/>
        <v>0.29542351966839947</v>
      </c>
      <c r="N672" s="357">
        <f t="shared" ca="1" si="307"/>
        <v>16.926520845899354</v>
      </c>
      <c r="O672" s="343"/>
      <c r="P672" s="363">
        <f t="shared" ca="1" si="308"/>
        <v>23</v>
      </c>
      <c r="Q672" s="357">
        <f t="shared" ca="1" si="309"/>
        <v>0</v>
      </c>
      <c r="R672" s="359">
        <f t="shared" ca="1" si="310"/>
        <v>0</v>
      </c>
      <c r="S672" s="360">
        <f t="shared" ca="1" si="311"/>
        <v>9.637999999999975</v>
      </c>
      <c r="T672" s="357">
        <f t="shared" ca="1" si="291"/>
        <v>94.548779999999766</v>
      </c>
      <c r="U672" s="364">
        <f t="shared" ca="1" si="292"/>
        <v>0</v>
      </c>
      <c r="V672" s="359">
        <f t="shared" ca="1" si="293"/>
        <v>0.93323895696622083</v>
      </c>
      <c r="W672" s="357">
        <f t="shared" ca="1" si="294"/>
        <v>3.3783488738592258</v>
      </c>
      <c r="X672" s="343"/>
      <c r="Y672" s="367" t="str">
        <f t="shared" ca="1" si="312"/>
        <v/>
      </c>
      <c r="Z672" s="368" t="str">
        <f t="shared" ca="1" si="313"/>
        <v/>
      </c>
      <c r="AA672" s="369" t="str">
        <f t="shared" ca="1" si="314"/>
        <v/>
      </c>
      <c r="AB672" s="344"/>
      <c r="AC672" s="363" t="e">
        <f t="shared" ca="1" si="315"/>
        <v>#N/A</v>
      </c>
      <c r="AD672" s="376" t="e">
        <f t="shared" ca="1" si="316"/>
        <v>#N/A</v>
      </c>
      <c r="AE672" s="377" t="e">
        <f t="shared" ca="1" si="295"/>
        <v>#N/A</v>
      </c>
      <c r="AF672" s="344"/>
      <c r="AG672" s="359">
        <f t="shared" ca="1" si="317"/>
        <v>-3.4303962474795924</v>
      </c>
      <c r="AH672" s="357">
        <f t="shared" ca="1" si="318"/>
        <v>-0.35641534643481226</v>
      </c>
    </row>
    <row r="673" spans="1:34" x14ac:dyDescent="0.25">
      <c r="A673" s="402">
        <f t="shared" ca="1" si="296"/>
        <v>0.1</v>
      </c>
      <c r="B673" s="357">
        <f t="shared" ca="1" si="297"/>
        <v>21.899999999999981</v>
      </c>
      <c r="C673" s="342"/>
      <c r="D673" s="359">
        <f t="shared" ca="1" si="298"/>
        <v>-0.33533877986819999</v>
      </c>
      <c r="E673" s="360">
        <f t="shared" ca="1" si="299"/>
        <v>-9.9120532835589934</v>
      </c>
      <c r="F673" s="357">
        <f t="shared" ca="1" si="300"/>
        <v>9.9177241539274572</v>
      </c>
      <c r="G673" s="359">
        <f t="shared" ca="1" si="301"/>
        <v>38.225342842367233</v>
      </c>
      <c r="H673" s="360">
        <f t="shared" ca="1" si="302"/>
        <v>10.652076716522465</v>
      </c>
      <c r="I673" s="357">
        <f t="shared" ca="1" si="303"/>
        <v>39.681778863745457</v>
      </c>
      <c r="J673" s="359">
        <f t="shared" ca="1" si="304"/>
        <v>968.06603318458144</v>
      </c>
      <c r="K673" s="360">
        <f t="shared" ca="1" si="305"/>
        <v>2704.8102238286442</v>
      </c>
      <c r="L673" s="357">
        <f t="shared" ca="1" si="290"/>
        <v>2872.8296488886513</v>
      </c>
      <c r="M673" s="359">
        <f t="shared" ca="1" si="306"/>
        <v>0.27177060982892515</v>
      </c>
      <c r="N673" s="357">
        <f t="shared" ca="1" si="307"/>
        <v>15.571308938894019</v>
      </c>
      <c r="O673" s="343"/>
      <c r="P673" s="363">
        <f t="shared" ca="1" si="308"/>
        <v>23</v>
      </c>
      <c r="Q673" s="357">
        <f t="shared" ca="1" si="309"/>
        <v>0</v>
      </c>
      <c r="R673" s="359">
        <f t="shared" ca="1" si="310"/>
        <v>0</v>
      </c>
      <c r="S673" s="360">
        <f t="shared" ca="1" si="311"/>
        <v>9.637999999999975</v>
      </c>
      <c r="T673" s="357">
        <f t="shared" ca="1" si="291"/>
        <v>94.548779999999766</v>
      </c>
      <c r="U673" s="364">
        <f t="shared" ca="1" si="292"/>
        <v>0</v>
      </c>
      <c r="V673" s="359">
        <f t="shared" ca="1" si="293"/>
        <v>0.93313299106876557</v>
      </c>
      <c r="W673" s="357">
        <f t="shared" ca="1" si="294"/>
        <v>3.3258712064056168</v>
      </c>
      <c r="X673" s="343"/>
      <c r="Y673" s="367" t="str">
        <f t="shared" ca="1" si="312"/>
        <v/>
      </c>
      <c r="Z673" s="368" t="str">
        <f t="shared" ca="1" si="313"/>
        <v/>
      </c>
      <c r="AA673" s="369" t="str">
        <f t="shared" ca="1" si="314"/>
        <v/>
      </c>
      <c r="AB673" s="344"/>
      <c r="AC673" s="363" t="e">
        <f t="shared" ca="1" si="315"/>
        <v>#N/A</v>
      </c>
      <c r="AD673" s="376" t="e">
        <f t="shared" ca="1" si="316"/>
        <v>#N/A</v>
      </c>
      <c r="AE673" s="377" t="e">
        <f t="shared" ca="1" si="295"/>
        <v>#N/A</v>
      </c>
      <c r="AF673" s="344"/>
      <c r="AG673" s="359">
        <f t="shared" ca="1" si="317"/>
        <v>-3.2066567771846364</v>
      </c>
      <c r="AH673" s="357">
        <f t="shared" ca="1" si="318"/>
        <v>-0.35052385078431569</v>
      </c>
    </row>
    <row r="674" spans="1:34" x14ac:dyDescent="0.25">
      <c r="A674" s="402">
        <f t="shared" ca="1" si="296"/>
        <v>0.1</v>
      </c>
      <c r="B674" s="357">
        <f t="shared" ca="1" si="297"/>
        <v>21.999999999999982</v>
      </c>
      <c r="C674" s="342"/>
      <c r="D674" s="359">
        <f t="shared" ca="1" si="298"/>
        <v>-0.33241358337905696</v>
      </c>
      <c r="E674" s="360">
        <f t="shared" ca="1" si="299"/>
        <v>-9.9026321316821075</v>
      </c>
      <c r="F674" s="357">
        <f t="shared" ca="1" si="300"/>
        <v>9.9082098244757528</v>
      </c>
      <c r="G674" s="359">
        <f t="shared" ca="1" si="301"/>
        <v>38.19210148402933</v>
      </c>
      <c r="H674" s="360">
        <f t="shared" ca="1" si="302"/>
        <v>9.6618135033542547</v>
      </c>
      <c r="I674" s="357">
        <f t="shared" ca="1" si="303"/>
        <v>39.395269461446688</v>
      </c>
      <c r="J674" s="359">
        <f t="shared" ca="1" si="304"/>
        <v>971.88690540090124</v>
      </c>
      <c r="K674" s="360">
        <f t="shared" ca="1" si="305"/>
        <v>2705.8259183396381</v>
      </c>
      <c r="L674" s="357">
        <f t="shared" ca="1" si="290"/>
        <v>2875.0753133175981</v>
      </c>
      <c r="M674" s="359">
        <f t="shared" ca="1" si="306"/>
        <v>0.24778079772766798</v>
      </c>
      <c r="N674" s="357">
        <f t="shared" ca="1" si="307"/>
        <v>14.196793954180114</v>
      </c>
      <c r="O674" s="343"/>
      <c r="P674" s="363">
        <f t="shared" ca="1" si="308"/>
        <v>23</v>
      </c>
      <c r="Q674" s="357">
        <f t="shared" ca="1" si="309"/>
        <v>0</v>
      </c>
      <c r="R674" s="359">
        <f t="shared" ca="1" si="310"/>
        <v>0</v>
      </c>
      <c r="S674" s="360">
        <f t="shared" ca="1" si="311"/>
        <v>9.637999999999975</v>
      </c>
      <c r="T674" s="357">
        <f t="shared" ca="1" si="291"/>
        <v>94.548779999999766</v>
      </c>
      <c r="U674" s="364">
        <f t="shared" ca="1" si="292"/>
        <v>0</v>
      </c>
      <c r="V674" s="359">
        <f t="shared" ca="1" si="293"/>
        <v>0.93303645179990558</v>
      </c>
      <c r="W674" s="357">
        <f t="shared" ca="1" si="294"/>
        <v>3.2776787061062502</v>
      </c>
      <c r="X674" s="343"/>
      <c r="Y674" s="367" t="str">
        <f t="shared" ca="1" si="312"/>
        <v/>
      </c>
      <c r="Z674" s="368" t="str">
        <f t="shared" ca="1" si="313"/>
        <v/>
      </c>
      <c r="AA674" s="369" t="str">
        <f t="shared" ca="1" si="314"/>
        <v/>
      </c>
      <c r="AB674" s="344"/>
      <c r="AC674" s="363">
        <f t="shared" ca="1" si="315"/>
        <v>21.999999999999982</v>
      </c>
      <c r="AD674" s="376">
        <f t="shared" ca="1" si="316"/>
        <v>971.88690540090124</v>
      </c>
      <c r="AE674" s="377" t="e">
        <f t="shared" ca="1" si="295"/>
        <v>#N/A</v>
      </c>
      <c r="AF674" s="344"/>
      <c r="AG674" s="359">
        <f t="shared" ca="1" si="317"/>
        <v>-2.9784506576212206</v>
      </c>
      <c r="AH674" s="357">
        <f t="shared" ca="1" si="318"/>
        <v>-0.34507897970591672</v>
      </c>
    </row>
    <row r="675" spans="1:34" x14ac:dyDescent="0.25">
      <c r="A675" s="402">
        <f t="shared" ca="1" si="296"/>
        <v>0.1</v>
      </c>
      <c r="B675" s="357">
        <f t="shared" ca="1" si="297"/>
        <v>22.099999999999984</v>
      </c>
      <c r="C675" s="342"/>
      <c r="D675" s="359">
        <f t="shared" ca="1" si="298"/>
        <v>-0.32969240153039225</v>
      </c>
      <c r="E675" s="360">
        <f t="shared" ca="1" si="299"/>
        <v>-9.8934053737103653</v>
      </c>
      <c r="F675" s="357">
        <f t="shared" ca="1" si="300"/>
        <v>9.8988972602097451</v>
      </c>
      <c r="G675" s="359">
        <f t="shared" ca="1" si="301"/>
        <v>38.159132243876293</v>
      </c>
      <c r="H675" s="360">
        <f t="shared" ca="1" si="302"/>
        <v>8.6724729659832178</v>
      </c>
      <c r="I675" s="357">
        <f t="shared" ca="1" si="303"/>
        <v>39.132226629101353</v>
      </c>
      <c r="J675" s="359">
        <f t="shared" ca="1" si="304"/>
        <v>975.70446708729651</v>
      </c>
      <c r="K675" s="360">
        <f t="shared" ca="1" si="305"/>
        <v>2706.7426326631048</v>
      </c>
      <c r="L675" s="357">
        <f t="shared" ca="1" si="290"/>
        <v>2877.2304194433405</v>
      </c>
      <c r="M675" s="359">
        <f t="shared" ca="1" si="306"/>
        <v>0.22347517853331955</v>
      </c>
      <c r="N675" s="357">
        <f t="shared" ca="1" si="307"/>
        <v>12.804184555891785</v>
      </c>
      <c r="O675" s="343"/>
      <c r="P675" s="363">
        <f t="shared" ca="1" si="308"/>
        <v>23</v>
      </c>
      <c r="Q675" s="357">
        <f t="shared" ca="1" si="309"/>
        <v>0</v>
      </c>
      <c r="R675" s="359">
        <f t="shared" ca="1" si="310"/>
        <v>0</v>
      </c>
      <c r="S675" s="360">
        <f t="shared" ca="1" si="311"/>
        <v>9.637999999999975</v>
      </c>
      <c r="T675" s="357">
        <f t="shared" ca="1" si="291"/>
        <v>94.548779999999766</v>
      </c>
      <c r="U675" s="364">
        <f t="shared" ca="1" si="292"/>
        <v>0</v>
      </c>
      <c r="V675" s="359">
        <f t="shared" ca="1" si="293"/>
        <v>0.93294932776992334</v>
      </c>
      <c r="W675" s="357">
        <f t="shared" ca="1" si="294"/>
        <v>3.2337526231226192</v>
      </c>
      <c r="X675" s="343"/>
      <c r="Y675" s="367" t="str">
        <f t="shared" ca="1" si="312"/>
        <v/>
      </c>
      <c r="Z675" s="368" t="str">
        <f t="shared" ca="1" si="313"/>
        <v/>
      </c>
      <c r="AA675" s="369" t="str">
        <f t="shared" ca="1" si="314"/>
        <v/>
      </c>
      <c r="AB675" s="344"/>
      <c r="AC675" s="363" t="e">
        <f t="shared" ca="1" si="315"/>
        <v>#N/A</v>
      </c>
      <c r="AD675" s="376" t="e">
        <f t="shared" ca="1" si="316"/>
        <v>#N/A</v>
      </c>
      <c r="AE675" s="377" t="e">
        <f t="shared" ca="1" si="295"/>
        <v>#N/A</v>
      </c>
      <c r="AF675" s="344"/>
      <c r="AG675" s="359">
        <f t="shared" ca="1" si="317"/>
        <v>-2.746012015414752</v>
      </c>
      <c r="AH675" s="357">
        <f t="shared" ca="1" si="318"/>
        <v>-0.34007872028494074</v>
      </c>
    </row>
    <row r="676" spans="1:34" x14ac:dyDescent="0.25">
      <c r="A676" s="402">
        <f t="shared" ca="1" si="296"/>
        <v>0.1</v>
      </c>
      <c r="B676" s="357">
        <f t="shared" ca="1" si="297"/>
        <v>22.199999999999985</v>
      </c>
      <c r="C676" s="342"/>
      <c r="D676" s="359">
        <f t="shared" ca="1" si="298"/>
        <v>-0.32717778064353503</v>
      </c>
      <c r="E676" s="360">
        <f t="shared" ca="1" si="299"/>
        <v>-9.8843580970229432</v>
      </c>
      <c r="F676" s="357">
        <f t="shared" ca="1" si="300"/>
        <v>9.8897714983881126</v>
      </c>
      <c r="G676" s="359">
        <f t="shared" ca="1" si="301"/>
        <v>38.126414465811941</v>
      </c>
      <c r="H676" s="360">
        <f t="shared" ca="1" si="302"/>
        <v>7.6840371562809233</v>
      </c>
      <c r="I676" s="357">
        <f t="shared" ca="1" si="303"/>
        <v>38.893031599992042</v>
      </c>
      <c r="J676" s="359">
        <f t="shared" ca="1" si="304"/>
        <v>979.51874442278097</v>
      </c>
      <c r="K676" s="360">
        <f t="shared" ca="1" si="305"/>
        <v>2707.5604581692182</v>
      </c>
      <c r="L676" s="357">
        <f t="shared" ca="1" si="290"/>
        <v>2879.2951577282047</v>
      </c>
      <c r="M676" s="359">
        <f t="shared" ca="1" si="306"/>
        <v>0.19887688731983691</v>
      </c>
      <c r="N676" s="357">
        <f t="shared" ca="1" si="307"/>
        <v>11.394806286125494</v>
      </c>
      <c r="O676" s="343"/>
      <c r="P676" s="363">
        <f t="shared" ca="1" si="308"/>
        <v>23</v>
      </c>
      <c r="Q676" s="357">
        <f t="shared" ca="1" si="309"/>
        <v>0</v>
      </c>
      <c r="R676" s="359">
        <f t="shared" ca="1" si="310"/>
        <v>0</v>
      </c>
      <c r="S676" s="360">
        <f t="shared" ca="1" si="311"/>
        <v>9.637999999999975</v>
      </c>
      <c r="T676" s="357">
        <f t="shared" ca="1" si="291"/>
        <v>94.548779999999766</v>
      </c>
      <c r="U676" s="364">
        <f t="shared" ca="1" si="292"/>
        <v>0</v>
      </c>
      <c r="V676" s="359">
        <f t="shared" ca="1" si="293"/>
        <v>0.9328716080164341</v>
      </c>
      <c r="W676" s="357">
        <f t="shared" ca="1" si="294"/>
        <v>3.1940748289141649</v>
      </c>
      <c r="X676" s="343"/>
      <c r="Y676" s="367" t="str">
        <f t="shared" ca="1" si="312"/>
        <v/>
      </c>
      <c r="Z676" s="368" t="str">
        <f t="shared" ca="1" si="313"/>
        <v/>
      </c>
      <c r="AA676" s="369" t="str">
        <f t="shared" ca="1" si="314"/>
        <v/>
      </c>
      <c r="AB676" s="344"/>
      <c r="AC676" s="363" t="e">
        <f t="shared" ca="1" si="315"/>
        <v>#N/A</v>
      </c>
      <c r="AD676" s="376" t="e">
        <f t="shared" ca="1" si="316"/>
        <v>#N/A</v>
      </c>
      <c r="AE676" s="377" t="e">
        <f t="shared" ca="1" si="295"/>
        <v>#N/A</v>
      </c>
      <c r="AF676" s="344"/>
      <c r="AG676" s="359">
        <f t="shared" ca="1" si="317"/>
        <v>-2.5096105445819514</v>
      </c>
      <c r="AH676" s="357">
        <f t="shared" ca="1" si="318"/>
        <v>-0.33552112711378168</v>
      </c>
    </row>
    <row r="677" spans="1:34" x14ac:dyDescent="0.25">
      <c r="A677" s="402">
        <f t="shared" ca="1" si="296"/>
        <v>0.1</v>
      </c>
      <c r="B677" s="357">
        <f t="shared" ca="1" si="297"/>
        <v>22.299999999999986</v>
      </c>
      <c r="C677" s="342"/>
      <c r="D677" s="359">
        <f t="shared" ca="1" si="298"/>
        <v>-0.32487203778220775</v>
      </c>
      <c r="E677" s="360">
        <f t="shared" ca="1" si="299"/>
        <v>-9.8754750477937989</v>
      </c>
      <c r="F677" s="357">
        <f t="shared" ca="1" si="300"/>
        <v>9.8808172364704081</v>
      </c>
      <c r="G677" s="359">
        <f t="shared" ca="1" si="301"/>
        <v>38.093927262033716</v>
      </c>
      <c r="H677" s="360">
        <f t="shared" ca="1" si="302"/>
        <v>6.6964896515015431</v>
      </c>
      <c r="I677" s="357">
        <f t="shared" ca="1" si="303"/>
        <v>38.678033402666465</v>
      </c>
      <c r="J677" s="359">
        <f t="shared" ca="1" si="304"/>
        <v>983.3297615091733</v>
      </c>
      <c r="K677" s="360">
        <f t="shared" ca="1" si="305"/>
        <v>2708.2794845096073</v>
      </c>
      <c r="L677" s="357">
        <f t="shared" ca="1" si="290"/>
        <v>2881.2697176913707</v>
      </c>
      <c r="M677" s="359">
        <f t="shared" ca="1" si="306"/>
        <v>0.17401102370640079</v>
      </c>
      <c r="N677" s="357">
        <f t="shared" ca="1" si="307"/>
        <v>9.970097247127681</v>
      </c>
      <c r="O677" s="343"/>
      <c r="P677" s="363">
        <f t="shared" ca="1" si="308"/>
        <v>23</v>
      </c>
      <c r="Q677" s="357">
        <f t="shared" ca="1" si="309"/>
        <v>0</v>
      </c>
      <c r="R677" s="359">
        <f t="shared" ca="1" si="310"/>
        <v>0</v>
      </c>
      <c r="S677" s="360">
        <f t="shared" ca="1" si="311"/>
        <v>9.637999999999975</v>
      </c>
      <c r="T677" s="357">
        <f t="shared" ca="1" si="291"/>
        <v>94.548779999999766</v>
      </c>
      <c r="U677" s="364">
        <f t="shared" ca="1" si="292"/>
        <v>0</v>
      </c>
      <c r="V677" s="359">
        <f t="shared" ca="1" si="293"/>
        <v>0.9328032819890747</v>
      </c>
      <c r="W677" s="357">
        <f t="shared" ca="1" si="294"/>
        <v>3.1586277866106705</v>
      </c>
      <c r="X677" s="343"/>
      <c r="Y677" s="367" t="str">
        <f t="shared" ca="1" si="312"/>
        <v/>
      </c>
      <c r="Z677" s="368" t="str">
        <f t="shared" ca="1" si="313"/>
        <v/>
      </c>
      <c r="AA677" s="369" t="str">
        <f t="shared" ca="1" si="314"/>
        <v/>
      </c>
      <c r="AB677" s="344"/>
      <c r="AC677" s="363" t="e">
        <f t="shared" ca="1" si="315"/>
        <v>#N/A</v>
      </c>
      <c r="AD677" s="376" t="e">
        <f t="shared" ca="1" si="316"/>
        <v>#N/A</v>
      </c>
      <c r="AE677" s="377" t="e">
        <f t="shared" ca="1" si="295"/>
        <v>#N/A</v>
      </c>
      <c r="AF677" s="344"/>
      <c r="AG677" s="359">
        <f t="shared" ca="1" si="317"/>
        <v>-2.2695511132135069</v>
      </c>
      <c r="AH677" s="357">
        <f t="shared" ca="1" si="318"/>
        <v>-0.33140431924820224</v>
      </c>
    </row>
    <row r="678" spans="1:34" x14ac:dyDescent="0.25">
      <c r="A678" s="402">
        <f t="shared" ca="1" si="296"/>
        <v>0.1</v>
      </c>
      <c r="B678" s="357">
        <f t="shared" ca="1" si="297"/>
        <v>22.399999999999988</v>
      </c>
      <c r="C678" s="342"/>
      <c r="D678" s="359">
        <f t="shared" ca="1" si="298"/>
        <v>-0.32277723253885882</v>
      </c>
      <c r="E678" s="360">
        <f t="shared" ca="1" si="299"/>
        <v>-9.8667406553430119</v>
      </c>
      <c r="F678" s="357">
        <f t="shared" ca="1" si="300"/>
        <v>9.8720188564266884</v>
      </c>
      <c r="G678" s="359">
        <f t="shared" ca="1" si="301"/>
        <v>38.061649538779832</v>
      </c>
      <c r="H678" s="360">
        <f t="shared" ca="1" si="302"/>
        <v>5.7098155859672417</v>
      </c>
      <c r="I678" s="357">
        <f t="shared" ca="1" si="303"/>
        <v>38.487545513304084</v>
      </c>
      <c r="J678" s="359">
        <f t="shared" ca="1" si="304"/>
        <v>987.13754034921396</v>
      </c>
      <c r="K678" s="360">
        <f t="shared" ca="1" si="305"/>
        <v>2708.899799771481</v>
      </c>
      <c r="L678" s="357">
        <f t="shared" ca="1" si="290"/>
        <v>2883.1542880617167</v>
      </c>
      <c r="M678" s="359">
        <f t="shared" ca="1" si="306"/>
        <v>0.14890454633941608</v>
      </c>
      <c r="N678" s="357">
        <f t="shared" ca="1" si="307"/>
        <v>8.5316020555587322</v>
      </c>
      <c r="O678" s="343"/>
      <c r="P678" s="363">
        <f t="shared" ca="1" si="308"/>
        <v>23</v>
      </c>
      <c r="Q678" s="357">
        <f t="shared" ca="1" si="309"/>
        <v>0</v>
      </c>
      <c r="R678" s="359">
        <f t="shared" ca="1" si="310"/>
        <v>0</v>
      </c>
      <c r="S678" s="360">
        <f t="shared" ca="1" si="311"/>
        <v>9.637999999999975</v>
      </c>
      <c r="T678" s="357">
        <f t="shared" ca="1" si="291"/>
        <v>94.548779999999766</v>
      </c>
      <c r="U678" s="364">
        <f t="shared" ca="1" si="292"/>
        <v>0</v>
      </c>
      <c r="V678" s="359">
        <f t="shared" ca="1" si="293"/>
        <v>0.93274433953392533</v>
      </c>
      <c r="W678" s="357">
        <f t="shared" ca="1" si="294"/>
        <v>3.1273945211186356</v>
      </c>
      <c r="X678" s="343"/>
      <c r="Y678" s="367" t="str">
        <f t="shared" ca="1" si="312"/>
        <v/>
      </c>
      <c r="Z678" s="368" t="str">
        <f t="shared" ca="1" si="313"/>
        <v/>
      </c>
      <c r="AA678" s="369" t="str">
        <f t="shared" ca="1" si="314"/>
        <v/>
      </c>
      <c r="AB678" s="344"/>
      <c r="AC678" s="363" t="e">
        <f t="shared" ca="1" si="315"/>
        <v>#N/A</v>
      </c>
      <c r="AD678" s="376" t="e">
        <f t="shared" ca="1" si="316"/>
        <v>#N/A</v>
      </c>
      <c r="AE678" s="377" t="e">
        <f t="shared" ca="1" si="295"/>
        <v>#N/A</v>
      </c>
      <c r="AF678" s="344"/>
      <c r="AG678" s="359">
        <f t="shared" ca="1" si="317"/>
        <v>-2.0261727967101644</v>
      </c>
      <c r="AH678" s="357">
        <f t="shared" ca="1" si="318"/>
        <v>-0.32772647713329306</v>
      </c>
    </row>
    <row r="679" spans="1:34" x14ac:dyDescent="0.25">
      <c r="A679" s="402">
        <f t="shared" ca="1" si="296"/>
        <v>0.1</v>
      </c>
      <c r="B679" s="357">
        <f t="shared" ca="1" si="297"/>
        <v>22.499999999999989</v>
      </c>
      <c r="C679" s="342"/>
      <c r="D679" s="359">
        <f t="shared" ca="1" si="298"/>
        <v>-0.32089513993939212</v>
      </c>
      <c r="E679" s="360">
        <f t="shared" ca="1" si="299"/>
        <v>-9.8581390610677619</v>
      </c>
      <c r="F679" s="357">
        <f t="shared" ca="1" si="300"/>
        <v>9.8633604536276938</v>
      </c>
      <c r="G679" s="359">
        <f t="shared" ca="1" si="301"/>
        <v>38.029560024785894</v>
      </c>
      <c r="H679" s="360">
        <f t="shared" ca="1" si="302"/>
        <v>4.7240016798604652</v>
      </c>
      <c r="I679" s="357">
        <f t="shared" ca="1" si="303"/>
        <v>38.321842695127771</v>
      </c>
      <c r="J679" s="359">
        <f t="shared" ca="1" si="304"/>
        <v>990.94210082739221</v>
      </c>
      <c r="K679" s="360">
        <f t="shared" ca="1" si="305"/>
        <v>2709.4214906347725</v>
      </c>
      <c r="L679" s="357">
        <f t="shared" ca="1" si="290"/>
        <v>2884.9490569342397</v>
      </c>
      <c r="M679" s="359">
        <f t="shared" ca="1" si="306"/>
        <v>0.12358613719112083</v>
      </c>
      <c r="N679" s="357">
        <f t="shared" ca="1" si="307"/>
        <v>7.0809640673760024</v>
      </c>
      <c r="O679" s="343"/>
      <c r="P679" s="363">
        <f t="shared" ca="1" si="308"/>
        <v>23</v>
      </c>
      <c r="Q679" s="357">
        <f t="shared" ca="1" si="309"/>
        <v>0</v>
      </c>
      <c r="R679" s="359">
        <f t="shared" ca="1" si="310"/>
        <v>0</v>
      </c>
      <c r="S679" s="360">
        <f t="shared" ca="1" si="311"/>
        <v>9.637999999999975</v>
      </c>
      <c r="T679" s="357">
        <f t="shared" ca="1" si="291"/>
        <v>94.548779999999766</v>
      </c>
      <c r="U679" s="364">
        <f t="shared" ca="1" si="292"/>
        <v>0</v>
      </c>
      <c r="V679" s="359">
        <f t="shared" ca="1" si="293"/>
        <v>0.93269477087768626</v>
      </c>
      <c r="W679" s="357">
        <f t="shared" ca="1" si="294"/>
        <v>3.1003585889956553</v>
      </c>
      <c r="X679" s="343"/>
      <c r="Y679" s="367" t="str">
        <f t="shared" ca="1" si="312"/>
        <v/>
      </c>
      <c r="Z679" s="368" t="str">
        <f t="shared" ca="1" si="313"/>
        <v/>
      </c>
      <c r="AA679" s="369" t="str">
        <f t="shared" ca="1" si="314"/>
        <v/>
      </c>
      <c r="AB679" s="344"/>
      <c r="AC679" s="363" t="e">
        <f t="shared" ca="1" si="315"/>
        <v>#N/A</v>
      </c>
      <c r="AD679" s="376" t="e">
        <f t="shared" ca="1" si="316"/>
        <v>#N/A</v>
      </c>
      <c r="AE679" s="377" t="e">
        <f t="shared" ca="1" si="295"/>
        <v>#N/A</v>
      </c>
      <c r="AF679" s="344"/>
      <c r="AG679" s="359">
        <f t="shared" ca="1" si="317"/>
        <v>-1.7798473116688822</v>
      </c>
      <c r="AH679" s="357">
        <f t="shared" ca="1" si="318"/>
        <v>-0.32448583950183063</v>
      </c>
    </row>
    <row r="680" spans="1:34" x14ac:dyDescent="0.25">
      <c r="A680" s="402">
        <f t="shared" ca="1" si="296"/>
        <v>0.1</v>
      </c>
      <c r="B680" s="357">
        <f t="shared" ca="1" si="297"/>
        <v>22.599999999999991</v>
      </c>
      <c r="C680" s="342"/>
      <c r="D680" s="359">
        <f t="shared" ca="1" si="298"/>
        <v>-0.31922722495996481</v>
      </c>
      <c r="E680" s="360">
        <f t="shared" ca="1" si="299"/>
        <v>-9.8496541518225627</v>
      </c>
      <c r="F680" s="357">
        <f t="shared" ca="1" si="300"/>
        <v>9.854825870185179</v>
      </c>
      <c r="G680" s="359">
        <f t="shared" ca="1" si="301"/>
        <v>37.997637302289895</v>
      </c>
      <c r="H680" s="360">
        <f t="shared" ca="1" si="302"/>
        <v>3.7390362646782087</v>
      </c>
      <c r="I680" s="357">
        <f t="shared" ca="1" si="303"/>
        <v>38.181158085434639</v>
      </c>
      <c r="J680" s="359">
        <f t="shared" ca="1" si="304"/>
        <v>994.74346069374599</v>
      </c>
      <c r="K680" s="360">
        <f t="shared" ca="1" si="305"/>
        <v>2709.8446425319994</v>
      </c>
      <c r="L680" s="357">
        <f t="shared" ca="1" si="290"/>
        <v>2886.654211929851</v>
      </c>
      <c r="M680" s="359">
        <f t="shared" ca="1" si="306"/>
        <v>9.8086036485130396E-2</v>
      </c>
      <c r="N680" s="357">
        <f t="shared" ca="1" si="307"/>
        <v>5.6199159197641793</v>
      </c>
      <c r="O680" s="343"/>
      <c r="P680" s="363">
        <f t="shared" ca="1" si="308"/>
        <v>23</v>
      </c>
      <c r="Q680" s="357">
        <f t="shared" ca="1" si="309"/>
        <v>0</v>
      </c>
      <c r="R680" s="359">
        <f t="shared" ca="1" si="310"/>
        <v>0</v>
      </c>
      <c r="S680" s="360">
        <f t="shared" ca="1" si="311"/>
        <v>9.637999999999975</v>
      </c>
      <c r="T680" s="357">
        <f t="shared" ca="1" si="291"/>
        <v>94.548779999999766</v>
      </c>
      <c r="U680" s="364">
        <f t="shared" ca="1" si="292"/>
        <v>0</v>
      </c>
      <c r="V680" s="359">
        <f t="shared" ca="1" si="293"/>
        <v>0.93265456661163759</v>
      </c>
      <c r="W680" s="357">
        <f t="shared" ca="1" si="294"/>
        <v>3.0775040481343106</v>
      </c>
      <c r="X680" s="343"/>
      <c r="Y680" s="367" t="str">
        <f t="shared" ca="1" si="312"/>
        <v/>
      </c>
      <c r="Z680" s="368" t="str">
        <f t="shared" ca="1" si="313"/>
        <v/>
      </c>
      <c r="AA680" s="369" t="str">
        <f t="shared" ca="1" si="314"/>
        <v/>
      </c>
      <c r="AB680" s="344"/>
      <c r="AC680" s="363" t="e">
        <f t="shared" ca="1" si="315"/>
        <v>#N/A</v>
      </c>
      <c r="AD680" s="376" t="e">
        <f t="shared" ca="1" si="316"/>
        <v>#N/A</v>
      </c>
      <c r="AE680" s="377" t="e">
        <f t="shared" ca="1" si="295"/>
        <v>#N/A</v>
      </c>
      <c r="AF680" s="344"/>
      <c r="AG680" s="359">
        <f t="shared" ca="1" si="317"/>
        <v>-1.5309768410451323</v>
      </c>
      <c r="AH680" s="357">
        <f t="shared" ca="1" si="318"/>
        <v>-0.32168070024856438</v>
      </c>
    </row>
    <row r="681" spans="1:34" x14ac:dyDescent="0.25">
      <c r="A681" s="402">
        <f t="shared" ca="1" si="296"/>
        <v>0.1</v>
      </c>
      <c r="B681" s="357">
        <f t="shared" ca="1" si="297"/>
        <v>22.699999999999992</v>
      </c>
      <c r="C681" s="342"/>
      <c r="D681" s="359">
        <f t="shared" ca="1" si="298"/>
        <v>-0.31777461914776017</v>
      </c>
      <c r="E681" s="360">
        <f t="shared" ca="1" si="299"/>
        <v>-9.8412695975156375</v>
      </c>
      <c r="F681" s="357">
        <f t="shared" ca="1" si="300"/>
        <v>9.8463987325092681</v>
      </c>
      <c r="G681" s="359">
        <f t="shared" ca="1" si="301"/>
        <v>37.965859840375117</v>
      </c>
      <c r="H681" s="360">
        <f t="shared" ca="1" si="302"/>
        <v>2.7549093049266449</v>
      </c>
      <c r="I681" s="357">
        <f t="shared" ca="1" si="303"/>
        <v>38.065680588916045</v>
      </c>
      <c r="J681" s="359">
        <f t="shared" ca="1" si="304"/>
        <v>998.54163555087928</v>
      </c>
      <c r="K681" s="360">
        <f t="shared" ca="1" si="305"/>
        <v>2710.1693398104794</v>
      </c>
      <c r="L681" s="357">
        <f t="shared" ca="1" si="290"/>
        <v>2888.2699403583097</v>
      </c>
      <c r="M681" s="359">
        <f t="shared" ca="1" si="306"/>
        <v>7.2435849934668353E-2</v>
      </c>
      <c r="N681" s="357">
        <f t="shared" ca="1" si="307"/>
        <v>4.1502684866994768</v>
      </c>
      <c r="O681" s="343"/>
      <c r="P681" s="363">
        <f t="shared" ca="1" si="308"/>
        <v>23</v>
      </c>
      <c r="Q681" s="357">
        <f t="shared" ca="1" si="309"/>
        <v>0</v>
      </c>
      <c r="R681" s="359">
        <f t="shared" ca="1" si="310"/>
        <v>0</v>
      </c>
      <c r="S681" s="360">
        <f t="shared" ca="1" si="311"/>
        <v>9.637999999999975</v>
      </c>
      <c r="T681" s="357">
        <f t="shared" ca="1" si="291"/>
        <v>94.548779999999766</v>
      </c>
      <c r="U681" s="364">
        <f t="shared" ca="1" si="292"/>
        <v>0</v>
      </c>
      <c r="V681" s="359">
        <f t="shared" ca="1" si="293"/>
        <v>0.93262371767541008</v>
      </c>
      <c r="W681" s="357">
        <f t="shared" ca="1" si="294"/>
        <v>3.0588154273042263</v>
      </c>
      <c r="X681" s="343"/>
      <c r="Y681" s="367" t="str">
        <f t="shared" ca="1" si="312"/>
        <v/>
      </c>
      <c r="Z681" s="368" t="str">
        <f t="shared" ca="1" si="313"/>
        <v/>
      </c>
      <c r="AA681" s="369" t="str">
        <f t="shared" ca="1" si="314"/>
        <v/>
      </c>
      <c r="AB681" s="344"/>
      <c r="AC681" s="363" t="e">
        <f t="shared" ca="1" si="315"/>
        <v>#N/A</v>
      </c>
      <c r="AD681" s="376" t="e">
        <f t="shared" ca="1" si="316"/>
        <v>#N/A</v>
      </c>
      <c r="AE681" s="377" t="e">
        <f t="shared" ca="1" si="295"/>
        <v>#N/A</v>
      </c>
      <c r="AF681" s="344"/>
      <c r="AG681" s="359">
        <f t="shared" ca="1" si="317"/>
        <v>-1.2799912597852685</v>
      </c>
      <c r="AH681" s="357">
        <f t="shared" ca="1" si="318"/>
        <v>-0.31930940528473944</v>
      </c>
    </row>
    <row r="682" spans="1:34" x14ac:dyDescent="0.25">
      <c r="A682" s="402">
        <f t="shared" ca="1" si="296"/>
        <v>0.1</v>
      </c>
      <c r="B682" s="357">
        <f t="shared" ca="1" si="297"/>
        <v>22.799999999999994</v>
      </c>
      <c r="C682" s="342"/>
      <c r="D682" s="359">
        <f t="shared" ca="1" si="298"/>
        <v>-0.31653809982004794</v>
      </c>
      <c r="E682" s="360">
        <f t="shared" ca="1" si="299"/>
        <v>-9.8329688925846668</v>
      </c>
      <c r="F682" s="357">
        <f t="shared" ca="1" si="300"/>
        <v>9.8380624927459888</v>
      </c>
      <c r="G682" s="359">
        <f t="shared" ca="1" si="301"/>
        <v>37.934206030393113</v>
      </c>
      <c r="H682" s="360">
        <f t="shared" ca="1" si="302"/>
        <v>1.7716124156681783</v>
      </c>
      <c r="I682" s="357">
        <f t="shared" ca="1" si="303"/>
        <v>37.975552632024495</v>
      </c>
      <c r="J682" s="359">
        <f t="shared" ca="1" si="304"/>
        <v>1002.3366388444177</v>
      </c>
      <c r="K682" s="360">
        <f t="shared" ca="1" si="305"/>
        <v>2710.3956658965089</v>
      </c>
      <c r="L682" s="357">
        <f t="shared" ca="1" si="290"/>
        <v>2889.7964293839982</v>
      </c>
      <c r="M682" s="359">
        <f t="shared" ca="1" si="306"/>
        <v>4.6668330855743893E-2</v>
      </c>
      <c r="N682" s="357">
        <f t="shared" ca="1" si="307"/>
        <v>2.6738983949542785</v>
      </c>
      <c r="O682" s="343"/>
      <c r="P682" s="363">
        <f t="shared" ca="1" si="308"/>
        <v>23</v>
      </c>
      <c r="Q682" s="357">
        <f t="shared" ca="1" si="309"/>
        <v>0</v>
      </c>
      <c r="R682" s="359">
        <f t="shared" ca="1" si="310"/>
        <v>0</v>
      </c>
      <c r="S682" s="360">
        <f t="shared" ca="1" si="311"/>
        <v>9.637999999999975</v>
      </c>
      <c r="T682" s="357">
        <f t="shared" ca="1" si="291"/>
        <v>94.548779999999766</v>
      </c>
      <c r="U682" s="364">
        <f t="shared" ca="1" si="292"/>
        <v>0</v>
      </c>
      <c r="V682" s="359">
        <f t="shared" ca="1" si="293"/>
        <v>0.93260221534060572</v>
      </c>
      <c r="W682" s="357">
        <f t="shared" ca="1" si="294"/>
        <v>3.0442776956076507</v>
      </c>
      <c r="X682" s="343"/>
      <c r="Y682" s="367" t="str">
        <f t="shared" ca="1" si="312"/>
        <v/>
      </c>
      <c r="Z682" s="368" t="str">
        <f t="shared" ca="1" si="313"/>
        <v/>
      </c>
      <c r="AA682" s="369" t="str">
        <f t="shared" ca="1" si="314"/>
        <v/>
      </c>
      <c r="AB682" s="344"/>
      <c r="AC682" s="363" t="e">
        <f t="shared" ca="1" si="315"/>
        <v>#N/A</v>
      </c>
      <c r="AD682" s="376" t="e">
        <f t="shared" ca="1" si="316"/>
        <v>#N/A</v>
      </c>
      <c r="AE682" s="377" t="e">
        <f t="shared" ca="1" si="295"/>
        <v>#N/A</v>
      </c>
      <c r="AF682" s="344"/>
      <c r="AG682" s="359">
        <f t="shared" ca="1" si="317"/>
        <v>-1.0273447899557429</v>
      </c>
      <c r="AH682" s="357">
        <f t="shared" ca="1" si="318"/>
        <v>-0.31737034937790354</v>
      </c>
    </row>
    <row r="683" spans="1:34" x14ac:dyDescent="0.25">
      <c r="A683" s="402">
        <f t="shared" ca="1" si="296"/>
        <v>0.1</v>
      </c>
      <c r="B683" s="357">
        <f t="shared" ca="1" si="297"/>
        <v>22.899999999999995</v>
      </c>
      <c r="C683" s="342"/>
      <c r="D683" s="359">
        <f t="shared" ca="1" si="298"/>
        <v>-0.31551807228183576</v>
      </c>
      <c r="E683" s="360">
        <f t="shared" ca="1" si="299"/>
        <v>-9.8247354009142658</v>
      </c>
      <c r="F683" s="357">
        <f t="shared" ca="1" si="300"/>
        <v>9.8298004736573592</v>
      </c>
      <c r="G683" s="359">
        <f t="shared" ca="1" si="301"/>
        <v>37.90265422316493</v>
      </c>
      <c r="H683" s="360">
        <f t="shared" ca="1" si="302"/>
        <v>0.78913887557675166</v>
      </c>
      <c r="I683" s="357">
        <f t="shared" ca="1" si="303"/>
        <v>37.910868327245538</v>
      </c>
      <c r="J683" s="359">
        <f t="shared" ca="1" si="304"/>
        <v>1006.1284818570956</v>
      </c>
      <c r="K683" s="360">
        <f t="shared" ca="1" si="305"/>
        <v>2710.5237034610714</v>
      </c>
      <c r="L683" s="357">
        <f t="shared" ca="1" si="290"/>
        <v>2891.2338661942217</v>
      </c>
      <c r="M683" s="359">
        <f t="shared" ca="1" si="306"/>
        <v>2.0817140552963482E-2</v>
      </c>
      <c r="N683" s="357">
        <f t="shared" ca="1" si="307"/>
        <v>1.1927342952154403</v>
      </c>
      <c r="O683" s="343"/>
      <c r="P683" s="363">
        <f t="shared" ca="1" si="308"/>
        <v>23</v>
      </c>
      <c r="Q683" s="357">
        <f t="shared" ca="1" si="309"/>
        <v>0</v>
      </c>
      <c r="R683" s="359">
        <f t="shared" ca="1" si="310"/>
        <v>0</v>
      </c>
      <c r="S683" s="360">
        <f t="shared" ca="1" si="311"/>
        <v>9.637999999999975</v>
      </c>
      <c r="T683" s="357">
        <f t="shared" ca="1" si="291"/>
        <v>94.548779999999766</v>
      </c>
      <c r="U683" s="364">
        <f t="shared" ca="1" si="292"/>
        <v>0</v>
      </c>
      <c r="V683" s="359">
        <f t="shared" ca="1" si="293"/>
        <v>0.93259005119430283</v>
      </c>
      <c r="W683" s="357">
        <f t="shared" ca="1" si="294"/>
        <v>3.0338762319099684</v>
      </c>
      <c r="X683" s="343"/>
      <c r="Y683" s="367" t="str">
        <f t="shared" ca="1" si="312"/>
        <v>Apogée</v>
      </c>
      <c r="Z683" s="368" t="str">
        <f t="shared" ca="1" si="313"/>
        <v/>
      </c>
      <c r="AA683" s="369" t="str">
        <f t="shared" ca="1" si="314"/>
        <v/>
      </c>
      <c r="AB683" s="344"/>
      <c r="AC683" s="363" t="e">
        <f t="shared" ca="1" si="315"/>
        <v>#N/A</v>
      </c>
      <c r="AD683" s="376" t="e">
        <f t="shared" ca="1" si="316"/>
        <v>#N/A</v>
      </c>
      <c r="AE683" s="377" t="e">
        <f t="shared" ca="1" si="295"/>
        <v>#N/A</v>
      </c>
      <c r="AF683" s="344"/>
      <c r="AG683" s="359">
        <f t="shared" ca="1" si="317"/>
        <v>-0.77351213455139245</v>
      </c>
      <c r="AH683" s="357">
        <f t="shared" ca="1" si="318"/>
        <v>-0.3158619729827411</v>
      </c>
    </row>
    <row r="684" spans="1:34" x14ac:dyDescent="0.25">
      <c r="A684" s="402">
        <f t="shared" ca="1" si="296"/>
        <v>0.1</v>
      </c>
      <c r="B684" s="357">
        <f t="shared" ca="1" si="297"/>
        <v>22.999999999999996</v>
      </c>
      <c r="C684" s="342"/>
      <c r="D684" s="359">
        <f t="shared" ca="1" si="298"/>
        <v>-0.31471455545224725</v>
      </c>
      <c r="E684" s="360">
        <f t="shared" ca="1" si="299"/>
        <v>-9.8165524036642644</v>
      </c>
      <c r="F684" s="357">
        <f t="shared" ca="1" si="300"/>
        <v>9.8215959164129814</v>
      </c>
      <c r="G684" s="359">
        <f t="shared" ca="1" si="301"/>
        <v>37.871182767619707</v>
      </c>
      <c r="H684" s="360">
        <f t="shared" ca="1" si="302"/>
        <v>-0.19251636478967482</v>
      </c>
      <c r="I684" s="357">
        <f t="shared" ca="1" si="303"/>
        <v>37.871672088371909</v>
      </c>
      <c r="J684" s="359">
        <f t="shared" ca="1" si="304"/>
        <v>1009.9171737066348</v>
      </c>
      <c r="K684" s="360">
        <f t="shared" ca="1" si="305"/>
        <v>2710.5535345866106</v>
      </c>
      <c r="L684" s="357">
        <f t="shared" ca="1" si="290"/>
        <v>2892.5824381696652</v>
      </c>
      <c r="M684" s="359">
        <f t="shared" ca="1" si="306"/>
        <v>-5.0834088730043305E-3</v>
      </c>
      <c r="N684" s="357">
        <f t="shared" ca="1" si="307"/>
        <v>-0.29125787396250241</v>
      </c>
      <c r="O684" s="343"/>
      <c r="P684" s="363">
        <f t="shared" ca="1" si="308"/>
        <v>23</v>
      </c>
      <c r="Q684" s="357">
        <f t="shared" ca="1" si="309"/>
        <v>0</v>
      </c>
      <c r="R684" s="359">
        <f t="shared" ca="1" si="310"/>
        <v>0</v>
      </c>
      <c r="S684" s="360">
        <f t="shared" ca="1" si="311"/>
        <v>9.637999999999975</v>
      </c>
      <c r="T684" s="357">
        <f t="shared" ca="1" si="291"/>
        <v>94.548779999999766</v>
      </c>
      <c r="U684" s="364">
        <f t="shared" ca="1" si="292"/>
        <v>0</v>
      </c>
      <c r="V684" s="359">
        <f t="shared" ca="1" si="293"/>
        <v>0.9325872171224876</v>
      </c>
      <c r="W684" s="357">
        <f t="shared" ca="1" si="294"/>
        <v>3.0275967943117226</v>
      </c>
      <c r="X684" s="343"/>
      <c r="Y684" s="367" t="str">
        <f t="shared" ca="1" si="312"/>
        <v/>
      </c>
      <c r="Z684" s="368" t="str">
        <f t="shared" ca="1" si="313"/>
        <v/>
      </c>
      <c r="AA684" s="369" t="str">
        <f t="shared" ca="1" si="314"/>
        <v/>
      </c>
      <c r="AB684" s="344"/>
      <c r="AC684" s="363">
        <f t="shared" ca="1" si="315"/>
        <v>22.999999999999996</v>
      </c>
      <c r="AD684" s="376">
        <f t="shared" ca="1" si="316"/>
        <v>1009.9171737066348</v>
      </c>
      <c r="AE684" s="377" t="e">
        <f t="shared" ca="1" si="295"/>
        <v>#N/A</v>
      </c>
      <c r="AF684" s="344"/>
      <c r="AG684" s="359">
        <f t="shared" ca="1" si="317"/>
        <v>-0.51898415858840852</v>
      </c>
      <c r="AH684" s="357">
        <f t="shared" ca="1" si="318"/>
        <v>-0.31478275906930653</v>
      </c>
    </row>
    <row r="685" spans="1:34" x14ac:dyDescent="0.25">
      <c r="A685" s="402">
        <f t="shared" ca="1" si="296"/>
        <v>0.1</v>
      </c>
      <c r="B685" s="357">
        <f t="shared" ca="1" si="297"/>
        <v>23.099999999999998</v>
      </c>
      <c r="C685" s="342"/>
      <c r="D685" s="359">
        <f t="shared" ca="1" si="298"/>
        <v>-0.31412717122455908</v>
      </c>
      <c r="E685" s="360">
        <f t="shared" ca="1" si="299"/>
        <v>-9.8084031493957582</v>
      </c>
      <c r="F685" s="357">
        <f t="shared" ca="1" si="300"/>
        <v>9.8134320306801008</v>
      </c>
      <c r="G685" s="359">
        <f t="shared" ca="1" si="301"/>
        <v>37.839770050497251</v>
      </c>
      <c r="H685" s="360">
        <f t="shared" ca="1" si="302"/>
        <v>-1.1733566797292507</v>
      </c>
      <c r="I685" s="357">
        <f t="shared" ca="1" si="303"/>
        <v>37.857957728493147</v>
      </c>
      <c r="J685" s="359">
        <f t="shared" ca="1" si="304"/>
        <v>1013.7027213475407</v>
      </c>
      <c r="K685" s="360">
        <f t="shared" ca="1" si="305"/>
        <v>2710.4852409343848</v>
      </c>
      <c r="L685" s="357">
        <f t="shared" ca="1" si="290"/>
        <v>2893.8423330566129</v>
      </c>
      <c r="M685" s="359">
        <f t="shared" ca="1" si="306"/>
        <v>-3.0998624520785962E-2</v>
      </c>
      <c r="N685" s="357">
        <f t="shared" ca="1" si="307"/>
        <v>-1.7760903557517798</v>
      </c>
      <c r="O685" s="343"/>
      <c r="P685" s="363">
        <f t="shared" ca="1" si="308"/>
        <v>23</v>
      </c>
      <c r="Q685" s="357">
        <f t="shared" ca="1" si="309"/>
        <v>0</v>
      </c>
      <c r="R685" s="359">
        <f t="shared" ca="1" si="310"/>
        <v>0</v>
      </c>
      <c r="S685" s="360">
        <f t="shared" ca="1" si="311"/>
        <v>9.637999999999975</v>
      </c>
      <c r="T685" s="357">
        <f t="shared" ca="1" si="291"/>
        <v>94.548779999999766</v>
      </c>
      <c r="U685" s="364">
        <f t="shared" ca="1" si="292"/>
        <v>0</v>
      </c>
      <c r="V685" s="359">
        <f t="shared" ca="1" si="293"/>
        <v>0.93259370529345775</v>
      </c>
      <c r="W685" s="357">
        <f t="shared" ca="1" si="294"/>
        <v>3.0254254897331183</v>
      </c>
      <c r="X685" s="343"/>
      <c r="Y685" s="367" t="str">
        <f t="shared" ca="1" si="312"/>
        <v/>
      </c>
      <c r="Z685" s="368" t="str">
        <f t="shared" ca="1" si="313"/>
        <v/>
      </c>
      <c r="AA685" s="369" t="str">
        <f t="shared" ca="1" si="314"/>
        <v/>
      </c>
      <c r="AB685" s="344"/>
      <c r="AC685" s="363" t="e">
        <f t="shared" ca="1" si="315"/>
        <v>#N/A</v>
      </c>
      <c r="AD685" s="376" t="e">
        <f t="shared" ca="1" si="316"/>
        <v>#N/A</v>
      </c>
      <c r="AE685" s="377" t="e">
        <f t="shared" ca="1" si="295"/>
        <v>#N/A</v>
      </c>
      <c r="AF685" s="344"/>
      <c r="AG685" s="359">
        <f t="shared" ca="1" si="317"/>
        <v>-0.26426320368569772</v>
      </c>
      <c r="AH685" s="357">
        <f t="shared" ca="1" si="318"/>
        <v>-0.31413122995556447</v>
      </c>
    </row>
    <row r="686" spans="1:34" x14ac:dyDescent="0.25">
      <c r="A686" s="402">
        <f t="shared" ca="1" si="296"/>
        <v>0.1</v>
      </c>
      <c r="B686" s="357">
        <f t="shared" ca="1" si="297"/>
        <v>23.2</v>
      </c>
      <c r="C686" s="342"/>
      <c r="D686" s="359">
        <f t="shared" ca="1" si="298"/>
        <v>-0.31375513780662623</v>
      </c>
      <c r="E686" s="360">
        <f t="shared" ca="1" si="299"/>
        <v>-9.8002709058154043</v>
      </c>
      <c r="F686" s="357">
        <f t="shared" ca="1" si="300"/>
        <v>9.8052920463325286</v>
      </c>
      <c r="G686" s="359">
        <f t="shared" ca="1" si="301"/>
        <v>37.808394536716591</v>
      </c>
      <c r="H686" s="360">
        <f t="shared" ca="1" si="302"/>
        <v>-2.153383770310791</v>
      </c>
      <c r="I686" s="357">
        <f t="shared" ca="1" si="303"/>
        <v>37.869668061738523</v>
      </c>
      <c r="J686" s="359">
        <f t="shared" ca="1" si="304"/>
        <v>1017.4851295769014</v>
      </c>
      <c r="K686" s="360">
        <f t="shared" ca="1" si="305"/>
        <v>2710.3189039118829</v>
      </c>
      <c r="L686" s="357">
        <f t="shared" ca="1" si="290"/>
        <v>2895.0137391404955</v>
      </c>
      <c r="M686" s="359">
        <f t="shared" ca="1" si="306"/>
        <v>-5.6893710244586511E-2</v>
      </c>
      <c r="N686" s="357">
        <f t="shared" ca="1" si="307"/>
        <v>-3.2597694778550217</v>
      </c>
      <c r="O686" s="343"/>
      <c r="P686" s="363">
        <f t="shared" ca="1" si="308"/>
        <v>23</v>
      </c>
      <c r="Q686" s="357">
        <f t="shared" ca="1" si="309"/>
        <v>0</v>
      </c>
      <c r="R686" s="359">
        <f t="shared" ca="1" si="310"/>
        <v>0</v>
      </c>
      <c r="S686" s="360">
        <f t="shared" ca="1" si="311"/>
        <v>9.637999999999975</v>
      </c>
      <c r="T686" s="357">
        <f t="shared" ca="1" si="291"/>
        <v>94.548779999999766</v>
      </c>
      <c r="U686" s="364">
        <f t="shared" ca="1" si="292"/>
        <v>0</v>
      </c>
      <c r="V686" s="359">
        <f t="shared" ca="1" si="293"/>
        <v>0.932609508141239</v>
      </c>
      <c r="W686" s="357">
        <f t="shared" ca="1" si="294"/>
        <v>3.0273487436851236</v>
      </c>
      <c r="X686" s="343"/>
      <c r="Y686" s="367" t="str">
        <f t="shared" ca="1" si="312"/>
        <v/>
      </c>
      <c r="Z686" s="368" t="str">
        <f t="shared" ca="1" si="313"/>
        <v/>
      </c>
      <c r="AA686" s="369" t="str">
        <f t="shared" ca="1" si="314"/>
        <v/>
      </c>
      <c r="AB686" s="344"/>
      <c r="AC686" s="363" t="e">
        <f t="shared" ca="1" si="315"/>
        <v>#N/A</v>
      </c>
      <c r="AD686" s="376" t="e">
        <f t="shared" ca="1" si="316"/>
        <v>#N/A</v>
      </c>
      <c r="AE686" s="377" t="e">
        <f t="shared" ca="1" si="295"/>
        <v>#N/A</v>
      </c>
      <c r="AF686" s="344"/>
      <c r="AG686" s="359">
        <f t="shared" ca="1" si="317"/>
        <v>-9.8581370645143274E-3</v>
      </c>
      <c r="AH686" s="357">
        <f t="shared" ca="1" si="318"/>
        <v>-0.31390594415160056</v>
      </c>
    </row>
    <row r="687" spans="1:34" x14ac:dyDescent="0.25">
      <c r="A687" s="402">
        <f t="shared" ca="1" si="296"/>
        <v>0.1</v>
      </c>
      <c r="B687" s="357">
        <f t="shared" ca="1" si="297"/>
        <v>23.3</v>
      </c>
      <c r="C687" s="342"/>
      <c r="D687" s="359">
        <f t="shared" ca="1" si="298"/>
        <v>-0.31359726720000286</v>
      </c>
      <c r="E687" s="360">
        <f t="shared" ca="1" si="299"/>
        <v>-9.7921390124104182</v>
      </c>
      <c r="F687" s="357">
        <f t="shared" ca="1" si="300"/>
        <v>9.7971592660508175</v>
      </c>
      <c r="G687" s="359">
        <f t="shared" ca="1" si="301"/>
        <v>37.777034809996593</v>
      </c>
      <c r="H687" s="360">
        <f t="shared" ca="1" si="302"/>
        <v>-3.1325976715518329</v>
      </c>
      <c r="I687" s="357">
        <f t="shared" ca="1" si="303"/>
        <v>37.906695018261701</v>
      </c>
      <c r="J687" s="359">
        <f t="shared" ca="1" si="304"/>
        <v>1021.264401044237</v>
      </c>
      <c r="K687" s="360">
        <f t="shared" ca="1" si="305"/>
        <v>2710.0546048397896</v>
      </c>
      <c r="L687" s="357">
        <f t="shared" ca="1" si="290"/>
        <v>2896.0968454203312</v>
      </c>
      <c r="M687" s="359">
        <f t="shared" ca="1" si="306"/>
        <v>-8.2734046250286103E-2</v>
      </c>
      <c r="N687" s="357">
        <f t="shared" ca="1" si="307"/>
        <v>-4.7403116721815479</v>
      </c>
      <c r="O687" s="343"/>
      <c r="P687" s="363">
        <f t="shared" ca="1" si="308"/>
        <v>23</v>
      </c>
      <c r="Q687" s="357">
        <f t="shared" ca="1" si="309"/>
        <v>0</v>
      </c>
      <c r="R687" s="359">
        <f t="shared" ca="1" si="310"/>
        <v>0</v>
      </c>
      <c r="S687" s="360">
        <f t="shared" ca="1" si="311"/>
        <v>9.637999999999975</v>
      </c>
      <c r="T687" s="357">
        <f t="shared" ca="1" si="291"/>
        <v>94.548779999999766</v>
      </c>
      <c r="U687" s="364">
        <f t="shared" ca="1" si="292"/>
        <v>0</v>
      </c>
      <c r="V687" s="359">
        <f t="shared" ca="1" si="293"/>
        <v>0.93263461834906858</v>
      </c>
      <c r="W687" s="357">
        <f t="shared" ca="1" si="294"/>
        <v>3.0333532703034263</v>
      </c>
      <c r="X687" s="343"/>
      <c r="Y687" s="367" t="str">
        <f t="shared" ca="1" si="312"/>
        <v/>
      </c>
      <c r="Z687" s="368" t="str">
        <f t="shared" ca="1" si="313"/>
        <v/>
      </c>
      <c r="AA687" s="369" t="str">
        <f t="shared" ca="1" si="314"/>
        <v/>
      </c>
      <c r="AB687" s="344"/>
      <c r="AC687" s="363" t="e">
        <f t="shared" ca="1" si="315"/>
        <v>#N/A</v>
      </c>
      <c r="AD687" s="376" t="e">
        <f t="shared" ca="1" si="316"/>
        <v>#N/A</v>
      </c>
      <c r="AE687" s="377" t="e">
        <f t="shared" ca="1" si="295"/>
        <v>#N/A</v>
      </c>
      <c r="AF687" s="344"/>
      <c r="AG687" s="359">
        <f t="shared" ca="1" si="317"/>
        <v>0.24372075316242359</v>
      </c>
      <c r="AH687" s="357">
        <f t="shared" ca="1" si="318"/>
        <v>-0.3141054932231927</v>
      </c>
    </row>
    <row r="688" spans="1:34" x14ac:dyDescent="0.25">
      <c r="A688" s="402">
        <f t="shared" ca="1" si="296"/>
        <v>0.1</v>
      </c>
      <c r="B688" s="357">
        <f t="shared" ca="1" si="297"/>
        <v>23.400000000000002</v>
      </c>
      <c r="C688" s="342"/>
      <c r="D688" s="359">
        <f t="shared" ca="1" si="298"/>
        <v>-0.3136519668809119</v>
      </c>
      <c r="E688" s="360">
        <f t="shared" ca="1" si="299"/>
        <v>-9.7839909332198634</v>
      </c>
      <c r="F688" s="357">
        <f t="shared" ca="1" si="300"/>
        <v>9.7890171180592365</v>
      </c>
      <c r="G688" s="359">
        <f t="shared" ca="1" si="301"/>
        <v>37.7456696133085</v>
      </c>
      <c r="H688" s="360">
        <f t="shared" ca="1" si="302"/>
        <v>-4.1109967648738195</v>
      </c>
      <c r="I688" s="357">
        <f t="shared" ca="1" si="303"/>
        <v>37.968880270003275</v>
      </c>
      <c r="J688" s="359">
        <f t="shared" ca="1" si="304"/>
        <v>1025.0405362654024</v>
      </c>
      <c r="K688" s="360">
        <f t="shared" ca="1" si="305"/>
        <v>2709.6924251179685</v>
      </c>
      <c r="L688" s="357">
        <f t="shared" ca="1" si="290"/>
        <v>2897.0918417835774</v>
      </c>
      <c r="M688" s="359">
        <f t="shared" ca="1" si="306"/>
        <v>-0.10848546513462452</v>
      </c>
      <c r="N688" s="357">
        <f t="shared" ca="1" si="307"/>
        <v>-6.2157592907276262</v>
      </c>
      <c r="O688" s="343"/>
      <c r="P688" s="363">
        <f t="shared" ca="1" si="308"/>
        <v>23</v>
      </c>
      <c r="Q688" s="357">
        <f t="shared" ca="1" si="309"/>
        <v>0</v>
      </c>
      <c r="R688" s="359">
        <f t="shared" ca="1" si="310"/>
        <v>0</v>
      </c>
      <c r="S688" s="360">
        <f t="shared" ca="1" si="311"/>
        <v>9.637999999999975</v>
      </c>
      <c r="T688" s="357">
        <f t="shared" ca="1" si="291"/>
        <v>94.548779999999766</v>
      </c>
      <c r="U688" s="364">
        <f t="shared" ca="1" si="292"/>
        <v>0</v>
      </c>
      <c r="V688" s="359">
        <f t="shared" ca="1" si="293"/>
        <v>0.93266902883298131</v>
      </c>
      <c r="W688" s="357">
        <f t="shared" ca="1" si="294"/>
        <v>3.0434260427223423</v>
      </c>
      <c r="X688" s="343"/>
      <c r="Y688" s="367" t="str">
        <f t="shared" ca="1" si="312"/>
        <v/>
      </c>
      <c r="Z688" s="368" t="str">
        <f t="shared" ca="1" si="313"/>
        <v/>
      </c>
      <c r="AA688" s="369" t="str">
        <f t="shared" ca="1" si="314"/>
        <v/>
      </c>
      <c r="AB688" s="344"/>
      <c r="AC688" s="363" t="e">
        <f t="shared" ca="1" si="315"/>
        <v>#N/A</v>
      </c>
      <c r="AD688" s="376" t="e">
        <f t="shared" ca="1" si="316"/>
        <v>#N/A</v>
      </c>
      <c r="AE688" s="377" t="e">
        <f t="shared" ca="1" si="295"/>
        <v>#N/A</v>
      </c>
      <c r="AF688" s="344"/>
      <c r="AG688" s="359">
        <f t="shared" ca="1" si="317"/>
        <v>0.49596689808350419</v>
      </c>
      <c r="AH688" s="357">
        <f t="shared" ca="1" si="318"/>
        <v>-0.31472849868265557</v>
      </c>
    </row>
    <row r="689" spans="1:34" x14ac:dyDescent="0.25">
      <c r="A689" s="402">
        <f t="shared" ca="1" si="296"/>
        <v>0.1</v>
      </c>
      <c r="B689" s="357">
        <f t="shared" ca="1" si="297"/>
        <v>23.500000000000004</v>
      </c>
      <c r="C689" s="342"/>
      <c r="D689" s="359">
        <f t="shared" ca="1" si="298"/>
        <v>-0.3139172456482085</v>
      </c>
      <c r="E689" s="360">
        <f t="shared" ca="1" si="299"/>
        <v>-9.7758103089832886</v>
      </c>
      <c r="F689" s="357">
        <f t="shared" ca="1" si="300"/>
        <v>9.7808492082405252</v>
      </c>
      <c r="G689" s="359">
        <f t="shared" ca="1" si="301"/>
        <v>37.71427788874368</v>
      </c>
      <c r="H689" s="360">
        <f t="shared" ca="1" si="302"/>
        <v>-5.0885777957721485</v>
      </c>
      <c r="I689" s="357">
        <f t="shared" ca="1" si="303"/>
        <v>38.056016352910689</v>
      </c>
      <c r="J689" s="359">
        <f t="shared" ca="1" si="304"/>
        <v>1028.8135336405051</v>
      </c>
      <c r="K689" s="360">
        <f t="shared" ca="1" si="305"/>
        <v>2709.2324463899363</v>
      </c>
      <c r="L689" s="357">
        <f t="shared" ca="1" si="290"/>
        <v>2897.9989191809341</v>
      </c>
      <c r="M689" s="359">
        <f t="shared" ca="1" si="306"/>
        <v>-0.13411451890323542</v>
      </c>
      <c r="N689" s="357">
        <f t="shared" ca="1" si="307"/>
        <v>-7.6841959045828876</v>
      </c>
      <c r="O689" s="343"/>
      <c r="P689" s="363">
        <f t="shared" ca="1" si="308"/>
        <v>23</v>
      </c>
      <c r="Q689" s="357">
        <f t="shared" ca="1" si="309"/>
        <v>0</v>
      </c>
      <c r="R689" s="359">
        <f t="shared" ca="1" si="310"/>
        <v>0</v>
      </c>
      <c r="S689" s="360">
        <f t="shared" ca="1" si="311"/>
        <v>9.637999999999975</v>
      </c>
      <c r="T689" s="357">
        <f t="shared" ca="1" si="291"/>
        <v>94.548779999999766</v>
      </c>
      <c r="U689" s="364">
        <f t="shared" ca="1" si="292"/>
        <v>0</v>
      </c>
      <c r="V689" s="359">
        <f t="shared" ca="1" si="293"/>
        <v>0.93271273272556099</v>
      </c>
      <c r="W689" s="357">
        <f t="shared" ca="1" si="294"/>
        <v>3.0575542638655064</v>
      </c>
      <c r="X689" s="343"/>
      <c r="Y689" s="367" t="str">
        <f t="shared" ca="1" si="312"/>
        <v/>
      </c>
      <c r="Z689" s="368" t="str">
        <f t="shared" ca="1" si="313"/>
        <v/>
      </c>
      <c r="AA689" s="369" t="str">
        <f t="shared" ca="1" si="314"/>
        <v/>
      </c>
      <c r="AB689" s="344"/>
      <c r="AC689" s="363" t="e">
        <f t="shared" ca="1" si="315"/>
        <v>#N/A</v>
      </c>
      <c r="AD689" s="376" t="e">
        <f t="shared" ca="1" si="316"/>
        <v>#N/A</v>
      </c>
      <c r="AE689" s="377" t="e">
        <f t="shared" ca="1" si="295"/>
        <v>#N/A</v>
      </c>
      <c r="AF689" s="344"/>
      <c r="AG689" s="359">
        <f t="shared" ca="1" si="317"/>
        <v>0.74638250358102842</v>
      </c>
      <c r="AH689" s="357">
        <f t="shared" ca="1" si="318"/>
        <v>-0.31577360891495643</v>
      </c>
    </row>
    <row r="690" spans="1:34" x14ac:dyDescent="0.25">
      <c r="A690" s="402">
        <f t="shared" ca="1" si="296"/>
        <v>0.1</v>
      </c>
      <c r="B690" s="357">
        <f t="shared" ca="1" si="297"/>
        <v>23.600000000000005</v>
      </c>
      <c r="C690" s="342"/>
      <c r="D690" s="359">
        <f t="shared" ca="1" si="298"/>
        <v>-0.31439072350673786</v>
      </c>
      <c r="E690" s="360">
        <f t="shared" ca="1" si="299"/>
        <v>-9.7675810079261627</v>
      </c>
      <c r="F690" s="357">
        <f t="shared" ca="1" si="300"/>
        <v>9.7726393708878341</v>
      </c>
      <c r="G690" s="359">
        <f t="shared" ca="1" si="301"/>
        <v>37.682838816393009</v>
      </c>
      <c r="H690" s="360">
        <f t="shared" ca="1" si="302"/>
        <v>-6.0653358965647648</v>
      </c>
      <c r="I690" s="357">
        <f t="shared" ca="1" si="303"/>
        <v>38.16784826002656</v>
      </c>
      <c r="J690" s="359">
        <f t="shared" ca="1" si="304"/>
        <v>1032.5833894757618</v>
      </c>
      <c r="K690" s="360">
        <f t="shared" ca="1" si="305"/>
        <v>2708.6747507053196</v>
      </c>
      <c r="L690" s="357">
        <f t="shared" ca="1" si="290"/>
        <v>2898.8182698006062</v>
      </c>
      <c r="M690" s="359">
        <f t="shared" ca="1" si="306"/>
        <v>-0.15958873183600261</v>
      </c>
      <c r="N690" s="357">
        <f t="shared" ca="1" si="307"/>
        <v>-9.1437607920480275</v>
      </c>
      <c r="O690" s="343"/>
      <c r="P690" s="363">
        <f t="shared" ca="1" si="308"/>
        <v>23</v>
      </c>
      <c r="Q690" s="357">
        <f t="shared" ca="1" si="309"/>
        <v>0</v>
      </c>
      <c r="R690" s="359">
        <f t="shared" ca="1" si="310"/>
        <v>0</v>
      </c>
      <c r="S690" s="360">
        <f t="shared" ca="1" si="311"/>
        <v>9.637999999999975</v>
      </c>
      <c r="T690" s="357">
        <f t="shared" ca="1" si="291"/>
        <v>94.548779999999766</v>
      </c>
      <c r="U690" s="364">
        <f t="shared" ca="1" si="292"/>
        <v>0</v>
      </c>
      <c r="V690" s="359">
        <f t="shared" ca="1" si="293"/>
        <v>0.93276572335988428</v>
      </c>
      <c r="W690" s="357">
        <f t="shared" ca="1" si="294"/>
        <v>3.0757253377285028</v>
      </c>
      <c r="X690" s="343"/>
      <c r="Y690" s="367" t="str">
        <f t="shared" ca="1" si="312"/>
        <v/>
      </c>
      <c r="Z690" s="368" t="str">
        <f t="shared" ca="1" si="313"/>
        <v/>
      </c>
      <c r="AA690" s="369" t="str">
        <f t="shared" ca="1" si="314"/>
        <v/>
      </c>
      <c r="AB690" s="344"/>
      <c r="AC690" s="363" t="e">
        <f t="shared" ca="1" si="315"/>
        <v>#N/A</v>
      </c>
      <c r="AD690" s="376" t="e">
        <f t="shared" ca="1" si="316"/>
        <v>#N/A</v>
      </c>
      <c r="AE690" s="377" t="e">
        <f t="shared" ca="1" si="295"/>
        <v>#N/A</v>
      </c>
      <c r="AF690" s="344"/>
      <c r="AG690" s="359">
        <f t="shared" ca="1" si="317"/>
        <v>0.99448340499958554</v>
      </c>
      <c r="AH690" s="357">
        <f t="shared" ca="1" si="318"/>
        <v>-0.31723949614707558</v>
      </c>
    </row>
    <row r="691" spans="1:34" x14ac:dyDescent="0.25">
      <c r="A691" s="402">
        <f t="shared" ca="1" si="296"/>
        <v>0.1</v>
      </c>
      <c r="B691" s="357">
        <f t="shared" ca="1" si="297"/>
        <v>23.700000000000006</v>
      </c>
      <c r="C691" s="342"/>
      <c r="D691" s="359">
        <f t="shared" ca="1" si="298"/>
        <v>-0.31506964536299126</v>
      </c>
      <c r="E691" s="360">
        <f t="shared" ca="1" si="299"/>
        <v>-9.7592871744814857</v>
      </c>
      <c r="F691" s="357">
        <f t="shared" ca="1" si="300"/>
        <v>9.7643717173931872</v>
      </c>
      <c r="G691" s="359">
        <f t="shared" ca="1" si="301"/>
        <v>37.65133185185671</v>
      </c>
      <c r="H691" s="360">
        <f t="shared" ca="1" si="302"/>
        <v>-7.0412646140129134</v>
      </c>
      <c r="I691" s="357">
        <f t="shared" ca="1" si="303"/>
        <v>38.304075469631037</v>
      </c>
      <c r="J691" s="359">
        <f t="shared" ca="1" si="304"/>
        <v>1036.3500980091742</v>
      </c>
      <c r="K691" s="360">
        <f t="shared" ca="1" si="305"/>
        <v>2708.0194206797905</v>
      </c>
      <c r="L691" s="357">
        <f t="shared" ca="1" si="290"/>
        <v>2899.5500872415591</v>
      </c>
      <c r="M691" s="359">
        <f t="shared" ca="1" si="306"/>
        <v>-0.18487683458159804</v>
      </c>
      <c r="N691" s="357">
        <f t="shared" ca="1" si="307"/>
        <v>-10.592662351263835</v>
      </c>
      <c r="O691" s="343"/>
      <c r="P691" s="363">
        <f t="shared" ca="1" si="308"/>
        <v>23</v>
      </c>
      <c r="Q691" s="357">
        <f t="shared" ca="1" si="309"/>
        <v>0</v>
      </c>
      <c r="R691" s="359">
        <f t="shared" ca="1" si="310"/>
        <v>0</v>
      </c>
      <c r="S691" s="360">
        <f t="shared" ca="1" si="311"/>
        <v>9.637999999999975</v>
      </c>
      <c r="T691" s="357">
        <f t="shared" ca="1" si="291"/>
        <v>94.548779999999766</v>
      </c>
      <c r="U691" s="364">
        <f t="shared" ca="1" si="292"/>
        <v>0</v>
      </c>
      <c r="V691" s="359">
        <f t="shared" ca="1" si="293"/>
        <v>0.93282799425372054</v>
      </c>
      <c r="W691" s="357">
        <f t="shared" ca="1" si="294"/>
        <v>3.0979268412260081</v>
      </c>
      <c r="X691" s="343"/>
      <c r="Y691" s="367" t="str">
        <f t="shared" ca="1" si="312"/>
        <v/>
      </c>
      <c r="Z691" s="368" t="str">
        <f t="shared" ca="1" si="313"/>
        <v/>
      </c>
      <c r="AA691" s="369" t="str">
        <f t="shared" ca="1" si="314"/>
        <v/>
      </c>
      <c r="AB691" s="344"/>
      <c r="AC691" s="363" t="e">
        <f t="shared" ca="1" si="315"/>
        <v>#N/A</v>
      </c>
      <c r="AD691" s="376" t="e">
        <f t="shared" ca="1" si="316"/>
        <v>#N/A</v>
      </c>
      <c r="AE691" s="377" t="e">
        <f t="shared" ca="1" si="295"/>
        <v>#N/A</v>
      </c>
      <c r="AF691" s="344"/>
      <c r="AG691" s="359">
        <f t="shared" ca="1" si="317"/>
        <v>1.2398036127091339</v>
      </c>
      <c r="AH691" s="357">
        <f t="shared" ca="1" si="318"/>
        <v>-0.31912485346840741</v>
      </c>
    </row>
    <row r="692" spans="1:34" x14ac:dyDescent="0.25">
      <c r="A692" s="402">
        <f t="shared" ca="1" si="296"/>
        <v>0.1</v>
      </c>
      <c r="B692" s="357">
        <f t="shared" ca="1" si="297"/>
        <v>23.800000000000008</v>
      </c>
      <c r="C692" s="342"/>
      <c r="D692" s="359">
        <f t="shared" ca="1" si="298"/>
        <v>-0.31595089822745237</v>
      </c>
      <c r="E692" s="360">
        <f t="shared" ca="1" si="299"/>
        <v>-9.750913275307024</v>
      </c>
      <c r="F692" s="357">
        <f t="shared" ca="1" si="300"/>
        <v>9.7560306822318612</v>
      </c>
      <c r="G692" s="359">
        <f t="shared" ca="1" si="301"/>
        <v>37.619736762033966</v>
      </c>
      <c r="H692" s="360">
        <f t="shared" ca="1" si="302"/>
        <v>-8.0163559415436154</v>
      </c>
      <c r="I692" s="357">
        <f t="shared" ca="1" si="303"/>
        <v>38.464354363829528</v>
      </c>
      <c r="J692" s="359">
        <f t="shared" ca="1" si="304"/>
        <v>1040.1136514398688</v>
      </c>
      <c r="K692" s="360">
        <f t="shared" ca="1" si="305"/>
        <v>2707.2665396520129</v>
      </c>
      <c r="L692" s="357">
        <f t="shared" ca="1" si="290"/>
        <v>2900.1945666853044</v>
      </c>
      <c r="M692" s="359">
        <f t="shared" ca="1" si="306"/>
        <v>-0.20994897552756883</v>
      </c>
      <c r="N692" s="357">
        <f t="shared" ca="1" si="307"/>
        <v>-12.029190210825099</v>
      </c>
      <c r="O692" s="343"/>
      <c r="P692" s="363">
        <f t="shared" ca="1" si="308"/>
        <v>23</v>
      </c>
      <c r="Q692" s="357">
        <f t="shared" ca="1" si="309"/>
        <v>0</v>
      </c>
      <c r="R692" s="359">
        <f t="shared" ca="1" si="310"/>
        <v>0</v>
      </c>
      <c r="S692" s="360">
        <f t="shared" ca="1" si="311"/>
        <v>9.637999999999975</v>
      </c>
      <c r="T692" s="357">
        <f t="shared" ca="1" si="291"/>
        <v>94.548779999999766</v>
      </c>
      <c r="U692" s="364">
        <f t="shared" ca="1" si="292"/>
        <v>0</v>
      </c>
      <c r="V692" s="359">
        <f t="shared" ca="1" si="293"/>
        <v>0.9328995390940138</v>
      </c>
      <c r="W692" s="357">
        <f t="shared" ca="1" si="294"/>
        <v>3.1241464966721355</v>
      </c>
      <c r="X692" s="343"/>
      <c r="Y692" s="367" t="str">
        <f t="shared" ca="1" si="312"/>
        <v/>
      </c>
      <c r="Z692" s="368" t="str">
        <f t="shared" ca="1" si="313"/>
        <v/>
      </c>
      <c r="AA692" s="369" t="str">
        <f t="shared" ca="1" si="314"/>
        <v/>
      </c>
      <c r="AB692" s="344"/>
      <c r="AC692" s="363" t="e">
        <f t="shared" ca="1" si="315"/>
        <v>#N/A</v>
      </c>
      <c r="AD692" s="376" t="e">
        <f t="shared" ca="1" si="316"/>
        <v>#N/A</v>
      </c>
      <c r="AE692" s="377" t="e">
        <f t="shared" ca="1" si="295"/>
        <v>#N/A</v>
      </c>
      <c r="AF692" s="344"/>
      <c r="AG692" s="359">
        <f t="shared" ca="1" si="317"/>
        <v>1.4818994528840106</v>
      </c>
      <c r="AH692" s="357">
        <f t="shared" ca="1" si="318"/>
        <v>-0.32142839190973399</v>
      </c>
    </row>
    <row r="693" spans="1:34" x14ac:dyDescent="0.25">
      <c r="A693" s="402">
        <f t="shared" ca="1" si="296"/>
        <v>0.1</v>
      </c>
      <c r="B693" s="357">
        <f t="shared" ca="1" si="297"/>
        <v>23.900000000000009</v>
      </c>
      <c r="C693" s="342"/>
      <c r="D693" s="359">
        <f t="shared" ca="1" si="298"/>
        <v>-0.31703103154756496</v>
      </c>
      <c r="E693" s="360">
        <f t="shared" ca="1" si="299"/>
        <v>-9.7424441420343797</v>
      </c>
      <c r="F693" s="357">
        <f t="shared" ca="1" si="300"/>
        <v>9.7476010656788841</v>
      </c>
      <c r="G693" s="359">
        <f t="shared" ca="1" si="301"/>
        <v>37.588033658879212</v>
      </c>
      <c r="H693" s="360">
        <f t="shared" ca="1" si="302"/>
        <v>-8.9906003557470537</v>
      </c>
      <c r="I693" s="357">
        <f t="shared" ca="1" si="303"/>
        <v>38.648300985913927</v>
      </c>
      <c r="J693" s="359">
        <f t="shared" ca="1" si="304"/>
        <v>1043.8740399609144</v>
      </c>
      <c r="K693" s="360">
        <f t="shared" ca="1" si="305"/>
        <v>2706.4161918371483</v>
      </c>
      <c r="L693" s="357">
        <f t="shared" ca="1" si="290"/>
        <v>2900.7519050657561</v>
      </c>
      <c r="M693" s="359">
        <f t="shared" ca="1" si="306"/>
        <v>-0.23477690627086195</v>
      </c>
      <c r="N693" s="357">
        <f t="shared" ca="1" si="307"/>
        <v>-13.451725856458902</v>
      </c>
      <c r="O693" s="343"/>
      <c r="P693" s="363">
        <f t="shared" ca="1" si="308"/>
        <v>23</v>
      </c>
      <c r="Q693" s="357">
        <f t="shared" ca="1" si="309"/>
        <v>0</v>
      </c>
      <c r="R693" s="359">
        <f t="shared" ca="1" si="310"/>
        <v>0</v>
      </c>
      <c r="S693" s="360">
        <f t="shared" ca="1" si="311"/>
        <v>9.637999999999975</v>
      </c>
      <c r="T693" s="357">
        <f t="shared" ca="1" si="291"/>
        <v>94.548779999999766</v>
      </c>
      <c r="U693" s="364">
        <f t="shared" ca="1" si="292"/>
        <v>0</v>
      </c>
      <c r="V693" s="359">
        <f t="shared" ca="1" si="293"/>
        <v>0.9329803517216988</v>
      </c>
      <c r="W693" s="357">
        <f t="shared" ca="1" si="294"/>
        <v>3.1543721449580135</v>
      </c>
      <c r="X693" s="343"/>
      <c r="Y693" s="367" t="str">
        <f t="shared" ca="1" si="312"/>
        <v/>
      </c>
      <c r="Z693" s="368" t="str">
        <f t="shared" ca="1" si="313"/>
        <v/>
      </c>
      <c r="AA693" s="369" t="str">
        <f t="shared" ca="1" si="314"/>
        <v/>
      </c>
      <c r="AB693" s="344"/>
      <c r="AC693" s="363" t="e">
        <f t="shared" ca="1" si="315"/>
        <v>#N/A</v>
      </c>
      <c r="AD693" s="376" t="e">
        <f t="shared" ca="1" si="316"/>
        <v>#N/A</v>
      </c>
      <c r="AE693" s="377" t="e">
        <f t="shared" ca="1" si="295"/>
        <v>#N/A</v>
      </c>
      <c r="AF693" s="344"/>
      <c r="AG693" s="359">
        <f t="shared" ca="1" si="317"/>
        <v>1.7203532237932115</v>
      </c>
      <c r="AH693" s="357">
        <f t="shared" ca="1" si="318"/>
        <v>-0.3241488375878962</v>
      </c>
    </row>
    <row r="694" spans="1:34" x14ac:dyDescent="0.25">
      <c r="A694" s="402">
        <f t="shared" ca="1" si="296"/>
        <v>0.1</v>
      </c>
      <c r="B694" s="357">
        <f t="shared" ca="1" si="297"/>
        <v>24.000000000000011</v>
      </c>
      <c r="C694" s="342"/>
      <c r="D694" s="359">
        <f t="shared" ca="1" si="298"/>
        <v>-0.31830628023928076</v>
      </c>
      <c r="E694" s="360">
        <f t="shared" ca="1" si="299"/>
        <v>-9.7338650102762223</v>
      </c>
      <c r="F694" s="357">
        <f t="shared" ca="1" si="300"/>
        <v>9.7390680727839403</v>
      </c>
      <c r="G694" s="359">
        <f t="shared" ca="1" si="301"/>
        <v>37.556203030855286</v>
      </c>
      <c r="H694" s="360">
        <f t="shared" ca="1" si="302"/>
        <v>-9.9639868567746763</v>
      </c>
      <c r="I694" s="357">
        <f t="shared" ca="1" si="303"/>
        <v>38.855494079689713</v>
      </c>
      <c r="J694" s="359">
        <f t="shared" ca="1" si="304"/>
        <v>1047.6312517954011</v>
      </c>
      <c r="K694" s="360">
        <f t="shared" ca="1" si="305"/>
        <v>2705.4684624765223</v>
      </c>
      <c r="L694" s="357">
        <f t="shared" ca="1" si="290"/>
        <v>2901.2223012367522</v>
      </c>
      <c r="M694" s="359">
        <f t="shared" ca="1" si="306"/>
        <v>-0.25933413886453666</v>
      </c>
      <c r="N694" s="357">
        <f t="shared" ca="1" si="307"/>
        <v>-14.858751640597566</v>
      </c>
      <c r="O694" s="343"/>
      <c r="P694" s="363">
        <f t="shared" ca="1" si="308"/>
        <v>23</v>
      </c>
      <c r="Q694" s="357">
        <f t="shared" ca="1" si="309"/>
        <v>0</v>
      </c>
      <c r="R694" s="359">
        <f t="shared" ca="1" si="310"/>
        <v>0</v>
      </c>
      <c r="S694" s="360">
        <f t="shared" ca="1" si="311"/>
        <v>9.637999999999975</v>
      </c>
      <c r="T694" s="357">
        <f t="shared" ca="1" si="291"/>
        <v>94.548779999999766</v>
      </c>
      <c r="U694" s="364">
        <f t="shared" ca="1" si="292"/>
        <v>0</v>
      </c>
      <c r="V694" s="359">
        <f t="shared" ca="1" si="293"/>
        <v>0.93307042611687618</v>
      </c>
      <c r="W694" s="357">
        <f t="shared" ca="1" si="294"/>
        <v>3.1885917194849855</v>
      </c>
      <c r="X694" s="343"/>
      <c r="Y694" s="367" t="str">
        <f t="shared" ca="1" si="312"/>
        <v/>
      </c>
      <c r="Z694" s="368" t="str">
        <f t="shared" ca="1" si="313"/>
        <v/>
      </c>
      <c r="AA694" s="369" t="str">
        <f t="shared" ca="1" si="314"/>
        <v/>
      </c>
      <c r="AB694" s="344"/>
      <c r="AC694" s="363">
        <f t="shared" ca="1" si="315"/>
        <v>24.000000000000011</v>
      </c>
      <c r="AD694" s="376">
        <f t="shared" ca="1" si="316"/>
        <v>1047.6312517954011</v>
      </c>
      <c r="AE694" s="377" t="e">
        <f t="shared" ca="1" si="295"/>
        <v>#N/A</v>
      </c>
      <c r="AF694" s="344"/>
      <c r="AG694" s="359">
        <f t="shared" ca="1" si="317"/>
        <v>1.9547763063698866</v>
      </c>
      <c r="AH694" s="357">
        <f t="shared" ca="1" si="318"/>
        <v>-0.32728492892280781</v>
      </c>
    </row>
    <row r="695" spans="1:34" x14ac:dyDescent="0.25">
      <c r="A695" s="402">
        <f t="shared" ca="1" si="296"/>
        <v>0.1</v>
      </c>
      <c r="B695" s="357">
        <f t="shared" ca="1" si="297"/>
        <v>24.100000000000012</v>
      </c>
      <c r="C695" s="342"/>
      <c r="D695" s="359">
        <f t="shared" ca="1" si="298"/>
        <v>-0.31977258994512592</v>
      </c>
      <c r="E695" s="360">
        <f t="shared" ca="1" si="299"/>
        <v>-9.7251615545173102</v>
      </c>
      <c r="F695" s="357">
        <f t="shared" ca="1" si="300"/>
        <v>9.7304173482303291</v>
      </c>
      <c r="G695" s="359">
        <f t="shared" ca="1" si="301"/>
        <v>37.52422577186077</v>
      </c>
      <c r="H695" s="360">
        <f t="shared" ca="1" si="302"/>
        <v>-10.936503012226407</v>
      </c>
      <c r="I695" s="357">
        <f t="shared" ca="1" si="303"/>
        <v>39.085478350840447</v>
      </c>
      <c r="J695" s="359">
        <f t="shared" ca="1" si="304"/>
        <v>1051.3852732355369</v>
      </c>
      <c r="K695" s="360">
        <f t="shared" ca="1" si="305"/>
        <v>2704.4234379830723</v>
      </c>
      <c r="L695" s="357">
        <f t="shared" ca="1" si="290"/>
        <v>2901.6059561368329</v>
      </c>
      <c r="M695" s="359">
        <f t="shared" ca="1" si="306"/>
        <v>-0.28359607339654169</v>
      </c>
      <c r="N695" s="357">
        <f t="shared" ca="1" si="307"/>
        <v>-16.248858092104165</v>
      </c>
      <c r="O695" s="343"/>
      <c r="P695" s="363">
        <f t="shared" ca="1" si="308"/>
        <v>23</v>
      </c>
      <c r="Q695" s="357">
        <f t="shared" ca="1" si="309"/>
        <v>0</v>
      </c>
      <c r="R695" s="359">
        <f t="shared" ca="1" si="310"/>
        <v>0</v>
      </c>
      <c r="S695" s="360">
        <f t="shared" ca="1" si="311"/>
        <v>9.637999999999975</v>
      </c>
      <c r="T695" s="357">
        <f t="shared" ca="1" si="291"/>
        <v>94.548779999999766</v>
      </c>
      <c r="U695" s="364">
        <f t="shared" ca="1" si="292"/>
        <v>0</v>
      </c>
      <c r="V695" s="359">
        <f t="shared" ca="1" si="293"/>
        <v>0.9331697563843917</v>
      </c>
      <c r="W695" s="357">
        <f t="shared" ca="1" si="294"/>
        <v>3.2267932209056753</v>
      </c>
      <c r="X695" s="343"/>
      <c r="Y695" s="367" t="str">
        <f t="shared" ca="1" si="312"/>
        <v/>
      </c>
      <c r="Z695" s="368" t="str">
        <f t="shared" ca="1" si="313"/>
        <v/>
      </c>
      <c r="AA695" s="369" t="str">
        <f t="shared" ca="1" si="314"/>
        <v/>
      </c>
      <c r="AB695" s="344"/>
      <c r="AC695" s="363" t="e">
        <f t="shared" ca="1" si="315"/>
        <v>#N/A</v>
      </c>
      <c r="AD695" s="376" t="e">
        <f t="shared" ca="1" si="316"/>
        <v>#N/A</v>
      </c>
      <c r="AE695" s="377" t="e">
        <f t="shared" ca="1" si="295"/>
        <v>#N/A</v>
      </c>
      <c r="AF695" s="344"/>
      <c r="AG695" s="359">
        <f t="shared" ca="1" si="317"/>
        <v>2.1848116877225205</v>
      </c>
      <c r="AH695" s="357">
        <f t="shared" ca="1" si="318"/>
        <v>-0.33083541393286925</v>
      </c>
    </row>
    <row r="696" spans="1:34" x14ac:dyDescent="0.25">
      <c r="A696" s="402">
        <f t="shared" ca="1" si="296"/>
        <v>0.1</v>
      </c>
      <c r="B696" s="357">
        <f t="shared" ca="1" si="297"/>
        <v>24.200000000000014</v>
      </c>
      <c r="C696" s="342"/>
      <c r="D696" s="359">
        <f t="shared" ca="1" si="298"/>
        <v>-0.32142564402334239</v>
      </c>
      <c r="E696" s="360">
        <f t="shared" ca="1" si="299"/>
        <v>-9.7163199186189697</v>
      </c>
      <c r="F696" s="357">
        <f t="shared" ca="1" si="300"/>
        <v>9.7216350068076292</v>
      </c>
      <c r="G696" s="359">
        <f t="shared" ca="1" si="301"/>
        <v>37.492083207458435</v>
      </c>
      <c r="H696" s="360">
        <f t="shared" ca="1" si="302"/>
        <v>-11.908135004088304</v>
      </c>
      <c r="I696" s="357">
        <f t="shared" ca="1" si="303"/>
        <v>39.337767889276329</v>
      </c>
      <c r="J696" s="359">
        <f t="shared" ca="1" si="304"/>
        <v>1055.136088684503</v>
      </c>
      <c r="K696" s="360">
        <f t="shared" ca="1" si="305"/>
        <v>2703.2812060822566</v>
      </c>
      <c r="L696" s="357">
        <f t="shared" ca="1" si="290"/>
        <v>2901.9030729509163</v>
      </c>
      <c r="M696" s="359">
        <f t="shared" ca="1" si="306"/>
        <v>-0.30754009532439436</v>
      </c>
      <c r="N696" s="357">
        <f t="shared" ca="1" si="307"/>
        <v>-17.62074949313882</v>
      </c>
      <c r="O696" s="343"/>
      <c r="P696" s="363">
        <f t="shared" ca="1" si="308"/>
        <v>23</v>
      </c>
      <c r="Q696" s="357">
        <f t="shared" ca="1" si="309"/>
        <v>0</v>
      </c>
      <c r="R696" s="359">
        <f t="shared" ca="1" si="310"/>
        <v>0</v>
      </c>
      <c r="S696" s="360">
        <f t="shared" ca="1" si="311"/>
        <v>9.637999999999975</v>
      </c>
      <c r="T696" s="357">
        <f t="shared" ca="1" si="291"/>
        <v>94.548779999999766</v>
      </c>
      <c r="U696" s="364">
        <f t="shared" ca="1" si="292"/>
        <v>0</v>
      </c>
      <c r="V696" s="359">
        <f t="shared" ca="1" si="293"/>
        <v>0.93327833673983629</v>
      </c>
      <c r="W696" s="357">
        <f t="shared" ca="1" si="294"/>
        <v>3.2689646927183911</v>
      </c>
      <c r="X696" s="343"/>
      <c r="Y696" s="367" t="str">
        <f t="shared" ca="1" si="312"/>
        <v/>
      </c>
      <c r="Z696" s="368" t="str">
        <f t="shared" ca="1" si="313"/>
        <v/>
      </c>
      <c r="AA696" s="369" t="str">
        <f t="shared" ca="1" si="314"/>
        <v/>
      </c>
      <c r="AB696" s="344"/>
      <c r="AC696" s="363" t="e">
        <f t="shared" ca="1" si="315"/>
        <v>#N/A</v>
      </c>
      <c r="AD696" s="376" t="e">
        <f t="shared" ca="1" si="316"/>
        <v>#N/A</v>
      </c>
      <c r="AE696" s="377" t="e">
        <f t="shared" ca="1" si="295"/>
        <v>#N/A</v>
      </c>
      <c r="AF696" s="344"/>
      <c r="AG696" s="359">
        <f t="shared" ca="1" si="317"/>
        <v>2.4101358764746585</v>
      </c>
      <c r="AH696" s="357">
        <f t="shared" ca="1" si="318"/>
        <v>-0.33479904761420248</v>
      </c>
    </row>
    <row r="697" spans="1:34" x14ac:dyDescent="0.25">
      <c r="A697" s="402">
        <f t="shared" ca="1" si="296"/>
        <v>0.1</v>
      </c>
      <c r="B697" s="357">
        <f t="shared" ca="1" si="297"/>
        <v>24.300000000000015</v>
      </c>
      <c r="C697" s="342"/>
      <c r="D697" s="359">
        <f t="shared" ca="1" si="298"/>
        <v>-0.3232608917656144</v>
      </c>
      <c r="E697" s="360">
        <f t="shared" ca="1" si="299"/>
        <v>-9.7073267417714177</v>
      </c>
      <c r="F697" s="357">
        <f t="shared" ca="1" si="300"/>
        <v>9.7127076593324677</v>
      </c>
      <c r="G697" s="359">
        <f t="shared" ca="1" si="301"/>
        <v>37.459757118281871</v>
      </c>
      <c r="H697" s="360">
        <f t="shared" ca="1" si="302"/>
        <v>-12.878867678265447</v>
      </c>
      <c r="I697" s="357">
        <f t="shared" ca="1" si="303"/>
        <v>39.611849692168377</v>
      </c>
      <c r="J697" s="359">
        <f t="shared" ca="1" si="304"/>
        <v>1058.8836807007899</v>
      </c>
      <c r="K697" s="360">
        <f t="shared" ca="1" si="305"/>
        <v>2702.0418559481391</v>
      </c>
      <c r="L697" s="357">
        <f t="shared" ca="1" si="290"/>
        <v>2902.1138572685459</v>
      </c>
      <c r="M697" s="359">
        <f t="shared" ca="1" si="306"/>
        <v>-0.33114564280824305</v>
      </c>
      <c r="N697" s="357">
        <f t="shared" ca="1" si="307"/>
        <v>-18.973247737059008</v>
      </c>
      <c r="O697" s="343"/>
      <c r="P697" s="363">
        <f t="shared" ca="1" si="308"/>
        <v>23</v>
      </c>
      <c r="Q697" s="357">
        <f t="shared" ca="1" si="309"/>
        <v>0</v>
      </c>
      <c r="R697" s="359">
        <f t="shared" ca="1" si="310"/>
        <v>0</v>
      </c>
      <c r="S697" s="360">
        <f t="shared" ca="1" si="311"/>
        <v>9.637999999999975</v>
      </c>
      <c r="T697" s="357">
        <f t="shared" ca="1" si="291"/>
        <v>94.548779999999766</v>
      </c>
      <c r="U697" s="364">
        <f t="shared" ca="1" si="292"/>
        <v>0</v>
      </c>
      <c r="V697" s="359">
        <f t="shared" ca="1" si="293"/>
        <v>0.93339616149600035</v>
      </c>
      <c r="W697" s="357">
        <f t="shared" ca="1" si="294"/>
        <v>3.3150941977532962</v>
      </c>
      <c r="X697" s="343"/>
      <c r="Y697" s="367" t="str">
        <f t="shared" ca="1" si="312"/>
        <v/>
      </c>
      <c r="Z697" s="368" t="str">
        <f t="shared" ca="1" si="313"/>
        <v/>
      </c>
      <c r="AA697" s="369" t="str">
        <f t="shared" ca="1" si="314"/>
        <v/>
      </c>
      <c r="AB697" s="344"/>
      <c r="AC697" s="363" t="e">
        <f t="shared" ca="1" si="315"/>
        <v>#N/A</v>
      </c>
      <c r="AD697" s="376" t="e">
        <f t="shared" ca="1" si="316"/>
        <v>#N/A</v>
      </c>
      <c r="AE697" s="377" t="e">
        <f t="shared" ca="1" si="295"/>
        <v>#N/A</v>
      </c>
      <c r="AF697" s="344"/>
      <c r="AG697" s="359">
        <f t="shared" ca="1" si="317"/>
        <v>2.6304602083491684</v>
      </c>
      <c r="AH697" s="357">
        <f t="shared" ca="1" si="318"/>
        <v>-0.33917458940842493</v>
      </c>
    </row>
    <row r="698" spans="1:34" x14ac:dyDescent="0.25">
      <c r="A698" s="402">
        <f t="shared" ca="1" si="296"/>
        <v>0.1</v>
      </c>
      <c r="B698" s="357">
        <f t="shared" ca="1" si="297"/>
        <v>24.400000000000016</v>
      </c>
      <c r="C698" s="342"/>
      <c r="D698" s="359">
        <f t="shared" ca="1" si="298"/>
        <v>-0.32527357734918499</v>
      </c>
      <c r="E698" s="360">
        <f t="shared" ca="1" si="299"/>
        <v>-9.6981691798297405</v>
      </c>
      <c r="F698" s="357">
        <f t="shared" ca="1" si="300"/>
        <v>9.7036224339532602</v>
      </c>
      <c r="G698" s="359">
        <f t="shared" ca="1" si="301"/>
        <v>37.42722976054695</v>
      </c>
      <c r="H698" s="360">
        <f t="shared" ca="1" si="302"/>
        <v>-13.848684596248422</v>
      </c>
      <c r="I698" s="357">
        <f t="shared" ca="1" si="303"/>
        <v>39.907187229810368</v>
      </c>
      <c r="J698" s="359">
        <f t="shared" ca="1" si="304"/>
        <v>1062.6280300447313</v>
      </c>
      <c r="K698" s="360">
        <f t="shared" ca="1" si="305"/>
        <v>2700.7054783344133</v>
      </c>
      <c r="L698" s="357">
        <f t="shared" ca="1" si="290"/>
        <v>2902.2385172384193</v>
      </c>
      <c r="M698" s="359">
        <f t="shared" ca="1" si="306"/>
        <v>-0.35439424502327416</v>
      </c>
      <c r="N698" s="357">
        <f t="shared" ca="1" si="307"/>
        <v>-20.305294523558789</v>
      </c>
      <c r="O698" s="343"/>
      <c r="P698" s="363">
        <f t="shared" ca="1" si="308"/>
        <v>23</v>
      </c>
      <c r="Q698" s="357">
        <f t="shared" ca="1" si="309"/>
        <v>0</v>
      </c>
      <c r="R698" s="359">
        <f t="shared" ca="1" si="310"/>
        <v>0</v>
      </c>
      <c r="S698" s="360">
        <f t="shared" ca="1" si="311"/>
        <v>9.637999999999975</v>
      </c>
      <c r="T698" s="357">
        <f t="shared" ca="1" si="291"/>
        <v>94.548779999999766</v>
      </c>
      <c r="U698" s="364">
        <f t="shared" ca="1" si="292"/>
        <v>0</v>
      </c>
      <c r="V698" s="359">
        <f t="shared" ca="1" si="293"/>
        <v>0.93352322504979734</v>
      </c>
      <c r="W698" s="357">
        <f t="shared" ca="1" si="294"/>
        <v>3.3651697955815818</v>
      </c>
      <c r="X698" s="343"/>
      <c r="Y698" s="367" t="str">
        <f t="shared" ca="1" si="312"/>
        <v/>
      </c>
      <c r="Z698" s="368" t="str">
        <f t="shared" ca="1" si="313"/>
        <v/>
      </c>
      <c r="AA698" s="369" t="str">
        <f t="shared" ca="1" si="314"/>
        <v/>
      </c>
      <c r="AB698" s="344"/>
      <c r="AC698" s="363" t="e">
        <f t="shared" ca="1" si="315"/>
        <v>#N/A</v>
      </c>
      <c r="AD698" s="376" t="e">
        <f t="shared" ca="1" si="316"/>
        <v>#N/A</v>
      </c>
      <c r="AE698" s="377" t="e">
        <f t="shared" ca="1" si="295"/>
        <v>#N/A</v>
      </c>
      <c r="AF698" s="344"/>
      <c r="AG698" s="359">
        <f t="shared" ca="1" si="317"/>
        <v>2.8455315583571288</v>
      </c>
      <c r="AH698" s="357">
        <f t="shared" ca="1" si="318"/>
        <v>-0.34396080076294921</v>
      </c>
    </row>
    <row r="699" spans="1:34" x14ac:dyDescent="0.25">
      <c r="A699" s="402">
        <f t="shared" ca="1" si="296"/>
        <v>0.1</v>
      </c>
      <c r="B699" s="357">
        <f t="shared" ca="1" si="297"/>
        <v>24.500000000000018</v>
      </c>
      <c r="C699" s="342"/>
      <c r="D699" s="359">
        <f t="shared" ca="1" si="298"/>
        <v>-0.32745876905111798</v>
      </c>
      <c r="E699" s="360">
        <f t="shared" ca="1" si="299"/>
        <v>-9.6888349220640162</v>
      </c>
      <c r="F699" s="357">
        <f t="shared" ca="1" si="300"/>
        <v>9.6943669928694014</v>
      </c>
      <c r="G699" s="359">
        <f t="shared" ca="1" si="301"/>
        <v>37.39448388364184</v>
      </c>
      <c r="H699" s="360">
        <f t="shared" ca="1" si="302"/>
        <v>-14.817568088454824</v>
      </c>
      <c r="I699" s="357">
        <f t="shared" ca="1" si="303"/>
        <v>40.223224000320315</v>
      </c>
      <c r="J699" s="359">
        <f t="shared" ca="1" si="304"/>
        <v>1066.3691157269407</v>
      </c>
      <c r="K699" s="360">
        <f t="shared" ca="1" si="305"/>
        <v>2699.272165700178</v>
      </c>
      <c r="L699" s="357">
        <f t="shared" ca="1" si="290"/>
        <v>2902.2772637189551</v>
      </c>
      <c r="M699" s="359">
        <f t="shared" ca="1" si="306"/>
        <v>-0.37726953306750244</v>
      </c>
      <c r="N699" s="357">
        <f t="shared" ca="1" si="307"/>
        <v>-21.615951983639139</v>
      </c>
      <c r="O699" s="343"/>
      <c r="P699" s="363">
        <f t="shared" ca="1" si="308"/>
        <v>23</v>
      </c>
      <c r="Q699" s="357">
        <f t="shared" ca="1" si="309"/>
        <v>0</v>
      </c>
      <c r="R699" s="359">
        <f t="shared" ca="1" si="310"/>
        <v>0</v>
      </c>
      <c r="S699" s="360">
        <f t="shared" ca="1" si="311"/>
        <v>9.637999999999975</v>
      </c>
      <c r="T699" s="357">
        <f t="shared" ca="1" si="291"/>
        <v>94.548779999999766</v>
      </c>
      <c r="U699" s="364">
        <f t="shared" ca="1" si="292"/>
        <v>0</v>
      </c>
      <c r="V699" s="359">
        <f t="shared" ca="1" si="293"/>
        <v>0.93365952186967638</v>
      </c>
      <c r="W699" s="357">
        <f t="shared" ca="1" si="294"/>
        <v>3.4191795208716624</v>
      </c>
      <c r="X699" s="343"/>
      <c r="Y699" s="367" t="str">
        <f t="shared" ca="1" si="312"/>
        <v/>
      </c>
      <c r="Z699" s="368" t="str">
        <f t="shared" ca="1" si="313"/>
        <v/>
      </c>
      <c r="AA699" s="369" t="str">
        <f t="shared" ca="1" si="314"/>
        <v/>
      </c>
      <c r="AB699" s="344"/>
      <c r="AC699" s="363" t="e">
        <f t="shared" ca="1" si="315"/>
        <v>#N/A</v>
      </c>
      <c r="AD699" s="376" t="e">
        <f t="shared" ca="1" si="316"/>
        <v>#N/A</v>
      </c>
      <c r="AE699" s="377" t="e">
        <f t="shared" ca="1" si="295"/>
        <v>#N/A</v>
      </c>
      <c r="AF699" s="344"/>
      <c r="AG699" s="359">
        <f t="shared" ca="1" si="317"/>
        <v>3.0551324916060483</v>
      </c>
      <c r="AH699" s="357">
        <f t="shared" ca="1" si="318"/>
        <v>-0.34915644278705027</v>
      </c>
    </row>
    <row r="700" spans="1:34" x14ac:dyDescent="0.25">
      <c r="A700" s="402">
        <f t="shared" ca="1" si="296"/>
        <v>0.1</v>
      </c>
      <c r="B700" s="357">
        <f t="shared" ca="1" si="297"/>
        <v>24.600000000000019</v>
      </c>
      <c r="C700" s="342"/>
      <c r="D700" s="359">
        <f t="shared" ca="1" si="298"/>
        <v>-0.32981138828591261</v>
      </c>
      <c r="E700" s="360">
        <f t="shared" ca="1" si="299"/>
        <v>-9.6793122034393928</v>
      </c>
      <c r="F700" s="357">
        <f t="shared" ca="1" si="300"/>
        <v>9.6849295445807879</v>
      </c>
      <c r="G700" s="359">
        <f t="shared" ca="1" si="301"/>
        <v>37.361502744813251</v>
      </c>
      <c r="H700" s="360">
        <f t="shared" ca="1" si="302"/>
        <v>-15.785499308798762</v>
      </c>
      <c r="I700" s="357">
        <f t="shared" ca="1" si="303"/>
        <v>40.559387024199147</v>
      </c>
      <c r="J700" s="359">
        <f t="shared" ca="1" si="304"/>
        <v>1070.1069150583635</v>
      </c>
      <c r="K700" s="360">
        <f t="shared" ca="1" si="305"/>
        <v>2697.7420123303154</v>
      </c>
      <c r="L700" s="357">
        <f t="shared" ca="1" si="290"/>
        <v>2902.2303104246821</v>
      </c>
      <c r="M700" s="359">
        <f t="shared" ca="1" si="306"/>
        <v>-0.39975722559756438</v>
      </c>
      <c r="N700" s="357">
        <f t="shared" ca="1" si="307"/>
        <v>-22.904401856599559</v>
      </c>
      <c r="O700" s="343"/>
      <c r="P700" s="363">
        <f t="shared" ca="1" si="308"/>
        <v>23</v>
      </c>
      <c r="Q700" s="357">
        <f t="shared" ca="1" si="309"/>
        <v>0</v>
      </c>
      <c r="R700" s="359">
        <f t="shared" ca="1" si="310"/>
        <v>0</v>
      </c>
      <c r="S700" s="360">
        <f t="shared" ca="1" si="311"/>
        <v>9.637999999999975</v>
      </c>
      <c r="T700" s="357">
        <f t="shared" ca="1" si="291"/>
        <v>94.548779999999766</v>
      </c>
      <c r="U700" s="364">
        <f t="shared" ca="1" si="292"/>
        <v>0</v>
      </c>
      <c r="V700" s="359">
        <f t="shared" ca="1" si="293"/>
        <v>0.93380504648353357</v>
      </c>
      <c r="W700" s="357">
        <f t="shared" ca="1" si="294"/>
        <v>3.4771113627092909</v>
      </c>
      <c r="X700" s="343"/>
      <c r="Y700" s="367" t="str">
        <f t="shared" ca="1" si="312"/>
        <v/>
      </c>
      <c r="Z700" s="368" t="str">
        <f t="shared" ca="1" si="313"/>
        <v/>
      </c>
      <c r="AA700" s="369" t="str">
        <f t="shared" ca="1" si="314"/>
        <v/>
      </c>
      <c r="AB700" s="344"/>
      <c r="AC700" s="363" t="e">
        <f t="shared" ca="1" si="315"/>
        <v>#N/A</v>
      </c>
      <c r="AD700" s="376" t="e">
        <f t="shared" ca="1" si="316"/>
        <v>#N/A</v>
      </c>
      <c r="AE700" s="377" t="e">
        <f t="shared" ca="1" si="295"/>
        <v>#N/A</v>
      </c>
      <c r="AF700" s="344"/>
      <c r="AG700" s="359">
        <f t="shared" ca="1" si="317"/>
        <v>3.259080897616061</v>
      </c>
      <c r="AH700" s="357">
        <f t="shared" ca="1" si="318"/>
        <v>-0.35476027400619126</v>
      </c>
    </row>
    <row r="701" spans="1:34" x14ac:dyDescent="0.25">
      <c r="A701" s="402">
        <f t="shared" ca="1" si="296"/>
        <v>0.1</v>
      </c>
      <c r="B701" s="357">
        <f t="shared" ca="1" si="297"/>
        <v>24.700000000000021</v>
      </c>
      <c r="C701" s="342"/>
      <c r="D701" s="359">
        <f t="shared" ca="1" si="298"/>
        <v>-0.33232623807018485</v>
      </c>
      <c r="E701" s="360">
        <f t="shared" ca="1" si="299"/>
        <v>-9.6695898126158522</v>
      </c>
      <c r="F701" s="357">
        <f t="shared" ca="1" si="300"/>
        <v>9.6752988518574536</v>
      </c>
      <c r="G701" s="359">
        <f t="shared" ca="1" si="301"/>
        <v>37.328270121006234</v>
      </c>
      <c r="H701" s="360">
        <f t="shared" ca="1" si="302"/>
        <v>-16.752458290060346</v>
      </c>
      <c r="I701" s="357">
        <f t="shared" ca="1" si="303"/>
        <v>40.915090235596672</v>
      </c>
      <c r="J701" s="359">
        <f t="shared" ca="1" si="304"/>
        <v>1073.8414037016544</v>
      </c>
      <c r="K701" s="360">
        <f t="shared" ca="1" si="305"/>
        <v>2696.1151144503724</v>
      </c>
      <c r="L701" s="357">
        <f t="shared" ca="1" si="290"/>
        <v>2902.0978740682895</v>
      </c>
      <c r="M701" s="359">
        <f t="shared" ca="1" si="306"/>
        <v>-0.42184509171615842</v>
      </c>
      <c r="N701" s="357">
        <f t="shared" ca="1" si="307"/>
        <v>-24.169943363645004</v>
      </c>
      <c r="O701" s="343"/>
      <c r="P701" s="363">
        <f t="shared" ca="1" si="308"/>
        <v>23</v>
      </c>
      <c r="Q701" s="357">
        <f t="shared" ca="1" si="309"/>
        <v>0</v>
      </c>
      <c r="R701" s="359">
        <f t="shared" ca="1" si="310"/>
        <v>0</v>
      </c>
      <c r="S701" s="360">
        <f t="shared" ca="1" si="311"/>
        <v>9.637999999999975</v>
      </c>
      <c r="T701" s="357">
        <f t="shared" ca="1" si="291"/>
        <v>94.548779999999766</v>
      </c>
      <c r="U701" s="364">
        <f t="shared" ca="1" si="292"/>
        <v>0</v>
      </c>
      <c r="V701" s="359">
        <f t="shared" ca="1" si="293"/>
        <v>0.93395979346713087</v>
      </c>
      <c r="W701" s="357">
        <f t="shared" ca="1" si="294"/>
        <v>3.5389532448917471</v>
      </c>
      <c r="X701" s="343"/>
      <c r="Y701" s="367" t="str">
        <f t="shared" ca="1" si="312"/>
        <v/>
      </c>
      <c r="Z701" s="368" t="str">
        <f t="shared" ca="1" si="313"/>
        <v/>
      </c>
      <c r="AA701" s="369" t="str">
        <f t="shared" ca="1" si="314"/>
        <v/>
      </c>
      <c r="AB701" s="344"/>
      <c r="AC701" s="363" t="e">
        <f t="shared" ca="1" si="315"/>
        <v>#N/A</v>
      </c>
      <c r="AD701" s="376" t="e">
        <f t="shared" ca="1" si="316"/>
        <v>#N/A</v>
      </c>
      <c r="AE701" s="377" t="e">
        <f t="shared" ca="1" si="295"/>
        <v>#N/A</v>
      </c>
      <c r="AF701" s="344"/>
      <c r="AG701" s="359">
        <f t="shared" ca="1" si="317"/>
        <v>3.4572291628549623</v>
      </c>
      <c r="AH701" s="357">
        <f t="shared" ca="1" si="318"/>
        <v>-0.3607710482163623</v>
      </c>
    </row>
    <row r="702" spans="1:34" x14ac:dyDescent="0.25">
      <c r="A702" s="402">
        <f t="shared" ca="1" si="296"/>
        <v>0.1</v>
      </c>
      <c r="B702" s="357">
        <f t="shared" ca="1" si="297"/>
        <v>24.800000000000022</v>
      </c>
      <c r="C702" s="342"/>
      <c r="D702" s="359">
        <f t="shared" ca="1" si="298"/>
        <v>-0.33499803056713329</v>
      </c>
      <c r="E702" s="360">
        <f t="shared" ca="1" si="299"/>
        <v>-9.6596570959185684</v>
      </c>
      <c r="F702" s="357">
        <f t="shared" ca="1" si="300"/>
        <v>9.6654642356802398</v>
      </c>
      <c r="G702" s="359">
        <f t="shared" ca="1" si="301"/>
        <v>37.294770317949521</v>
      </c>
      <c r="H702" s="360">
        <f t="shared" ca="1" si="302"/>
        <v>-17.718423999652202</v>
      </c>
      <c r="I702" s="357">
        <f t="shared" ca="1" si="303"/>
        <v>41.289737733486028</v>
      </c>
      <c r="J702" s="359">
        <f t="shared" ca="1" si="304"/>
        <v>1077.5725557236021</v>
      </c>
      <c r="K702" s="360">
        <f t="shared" ca="1" si="305"/>
        <v>2694.3915703358866</v>
      </c>
      <c r="L702" s="357">
        <f t="shared" ca="1" si="290"/>
        <v>2901.8801744982134</v>
      </c>
      <c r="M702" s="359">
        <f t="shared" ca="1" si="306"/>
        <v>-0.44352289390044614</v>
      </c>
      <c r="N702" s="357">
        <f t="shared" ca="1" si="307"/>
        <v>-25.411989937924165</v>
      </c>
      <c r="O702" s="343"/>
      <c r="P702" s="363">
        <f t="shared" ca="1" si="308"/>
        <v>23</v>
      </c>
      <c r="Q702" s="357">
        <f t="shared" ca="1" si="309"/>
        <v>0</v>
      </c>
      <c r="R702" s="359">
        <f t="shared" ca="1" si="310"/>
        <v>0</v>
      </c>
      <c r="S702" s="360">
        <f t="shared" ca="1" si="311"/>
        <v>9.637999999999975</v>
      </c>
      <c r="T702" s="357">
        <f t="shared" ca="1" si="291"/>
        <v>94.548779999999766</v>
      </c>
      <c r="U702" s="364">
        <f t="shared" ca="1" si="292"/>
        <v>0</v>
      </c>
      <c r="V702" s="359">
        <f t="shared" ca="1" si="293"/>
        <v>0.93412375743302556</v>
      </c>
      <c r="W702" s="357">
        <f t="shared" ca="1" si="294"/>
        <v>3.6046930071997463</v>
      </c>
      <c r="X702" s="343"/>
      <c r="Y702" s="367" t="str">
        <f t="shared" ca="1" si="312"/>
        <v/>
      </c>
      <c r="Z702" s="368" t="str">
        <f t="shared" ca="1" si="313"/>
        <v/>
      </c>
      <c r="AA702" s="369" t="str">
        <f t="shared" ca="1" si="314"/>
        <v/>
      </c>
      <c r="AB702" s="344"/>
      <c r="AC702" s="363" t="e">
        <f t="shared" ca="1" si="315"/>
        <v>#N/A</v>
      </c>
      <c r="AD702" s="376" t="e">
        <f t="shared" ca="1" si="316"/>
        <v>#N/A</v>
      </c>
      <c r="AE702" s="377" t="e">
        <f t="shared" ca="1" si="295"/>
        <v>#N/A</v>
      </c>
      <c r="AF702" s="344"/>
      <c r="AG702" s="359">
        <f t="shared" ca="1" si="317"/>
        <v>3.6494629429104242</v>
      </c>
      <c r="AH702" s="357">
        <f t="shared" ca="1" si="318"/>
        <v>-0.367187512439485</v>
      </c>
    </row>
    <row r="703" spans="1:34" x14ac:dyDescent="0.25">
      <c r="A703" s="402">
        <f t="shared" ca="1" si="296"/>
        <v>0.1</v>
      </c>
      <c r="B703" s="357">
        <f t="shared" ca="1" si="297"/>
        <v>24.900000000000023</v>
      </c>
      <c r="C703" s="342"/>
      <c r="D703" s="359">
        <f t="shared" ca="1" si="298"/>
        <v>-0.33782141341646704</v>
      </c>
      <c r="E703" s="360">
        <f t="shared" ca="1" si="299"/>
        <v>-9.6495039575778296</v>
      </c>
      <c r="F703" s="357">
        <f t="shared" ca="1" si="300"/>
        <v>9.6554155754515776</v>
      </c>
      <c r="G703" s="359">
        <f t="shared" ca="1" si="301"/>
        <v>37.260988176607874</v>
      </c>
      <c r="H703" s="360">
        <f t="shared" ca="1" si="302"/>
        <v>-18.683374395409984</v>
      </c>
      <c r="I703" s="357">
        <f t="shared" ca="1" si="303"/>
        <v>41.682726862531119</v>
      </c>
      <c r="J703" s="359">
        <f t="shared" ca="1" si="304"/>
        <v>1081.30034364833</v>
      </c>
      <c r="K703" s="360">
        <f t="shared" ca="1" si="305"/>
        <v>2692.5714804161335</v>
      </c>
      <c r="L703" s="357">
        <f t="shared" ca="1" si="290"/>
        <v>2901.5774348316686</v>
      </c>
      <c r="M703" s="359">
        <f t="shared" ca="1" si="306"/>
        <v>-0.46478231390746377</v>
      </c>
      <c r="N703" s="357">
        <f t="shared" ca="1" si="307"/>
        <v>-26.630064979222261</v>
      </c>
      <c r="O703" s="343"/>
      <c r="P703" s="363">
        <f t="shared" ca="1" si="308"/>
        <v>23</v>
      </c>
      <c r="Q703" s="357">
        <f t="shared" ca="1" si="309"/>
        <v>0</v>
      </c>
      <c r="R703" s="359">
        <f t="shared" ca="1" si="310"/>
        <v>0</v>
      </c>
      <c r="S703" s="360">
        <f t="shared" ca="1" si="311"/>
        <v>9.637999999999975</v>
      </c>
      <c r="T703" s="357">
        <f t="shared" ca="1" si="291"/>
        <v>94.548779999999766</v>
      </c>
      <c r="U703" s="364">
        <f t="shared" ca="1" si="292"/>
        <v>0</v>
      </c>
      <c r="V703" s="359">
        <f t="shared" ca="1" si="293"/>
        <v>0.93429693302001426</v>
      </c>
      <c r="W703" s="357">
        <f t="shared" ca="1" si="294"/>
        <v>3.6743183876447829</v>
      </c>
      <c r="X703" s="343"/>
      <c r="Y703" s="367" t="str">
        <f t="shared" ca="1" si="312"/>
        <v/>
      </c>
      <c r="Z703" s="368" t="str">
        <f t="shared" ca="1" si="313"/>
        <v/>
      </c>
      <c r="AA703" s="369" t="str">
        <f t="shared" ca="1" si="314"/>
        <v/>
      </c>
      <c r="AB703" s="344"/>
      <c r="AC703" s="363" t="e">
        <f t="shared" ca="1" si="315"/>
        <v>#N/A</v>
      </c>
      <c r="AD703" s="376" t="e">
        <f t="shared" ca="1" si="316"/>
        <v>#N/A</v>
      </c>
      <c r="AE703" s="377" t="e">
        <f t="shared" ca="1" si="295"/>
        <v>#N/A</v>
      </c>
      <c r="AF703" s="344"/>
      <c r="AG703" s="359">
        <f t="shared" ca="1" si="317"/>
        <v>3.8356995994283443</v>
      </c>
      <c r="AH703" s="357">
        <f t="shared" ca="1" si="318"/>
        <v>-0.374008404980261</v>
      </c>
    </row>
    <row r="704" spans="1:34" x14ac:dyDescent="0.25">
      <c r="A704" s="402">
        <f t="shared" ca="1" si="296"/>
        <v>0.1</v>
      </c>
      <c r="B704" s="357">
        <f t="shared" ca="1" si="297"/>
        <v>25.000000000000025</v>
      </c>
      <c r="C704" s="342"/>
      <c r="D704" s="359">
        <f t="shared" ca="1" si="298"/>
        <v>-0.34079099461005274</v>
      </c>
      <c r="E704" s="360">
        <f t="shared" ca="1" si="299"/>
        <v>-9.6391208565724256</v>
      </c>
      <c r="F704" s="357">
        <f t="shared" ca="1" si="300"/>
        <v>9.6451433058102793</v>
      </c>
      <c r="G704" s="359">
        <f t="shared" ca="1" si="301"/>
        <v>37.226909077146871</v>
      </c>
      <c r="H704" s="360">
        <f t="shared" ca="1" si="302"/>
        <v>-19.647286481067226</v>
      </c>
      <c r="I704" s="357">
        <f t="shared" ca="1" si="303"/>
        <v>42.093451099990446</v>
      </c>
      <c r="J704" s="359">
        <f t="shared" ca="1" si="304"/>
        <v>1085.0247385110176</v>
      </c>
      <c r="K704" s="360">
        <f t="shared" ca="1" si="305"/>
        <v>2690.6549473723094</v>
      </c>
      <c r="L704" s="357">
        <f t="shared" ca="1" si="290"/>
        <v>2901.18988158307</v>
      </c>
      <c r="M704" s="359">
        <f t="shared" ca="1" si="306"/>
        <v>-0.48561686463156389</v>
      </c>
      <c r="N704" s="357">
        <f t="shared" ca="1" si="307"/>
        <v>-27.823796803764431</v>
      </c>
      <c r="O704" s="343"/>
      <c r="P704" s="363">
        <f t="shared" ca="1" si="308"/>
        <v>23</v>
      </c>
      <c r="Q704" s="357">
        <f t="shared" ca="1" si="309"/>
        <v>0</v>
      </c>
      <c r="R704" s="359">
        <f t="shared" ca="1" si="310"/>
        <v>0</v>
      </c>
      <c r="S704" s="360">
        <f t="shared" ca="1" si="311"/>
        <v>9.637999999999975</v>
      </c>
      <c r="T704" s="357">
        <f t="shared" ca="1" si="291"/>
        <v>94.548779999999766</v>
      </c>
      <c r="U704" s="364">
        <f t="shared" ca="1" si="292"/>
        <v>0</v>
      </c>
      <c r="V704" s="359">
        <f t="shared" ca="1" si="293"/>
        <v>0.93447931488308333</v>
      </c>
      <c r="W704" s="357">
        <f t="shared" ca="1" si="294"/>
        <v>3.7478170056841136</v>
      </c>
      <c r="X704" s="343"/>
      <c r="Y704" s="367" t="str">
        <f t="shared" ca="1" si="312"/>
        <v/>
      </c>
      <c r="Z704" s="368" t="str">
        <f t="shared" ca="1" si="313"/>
        <v/>
      </c>
      <c r="AA704" s="369" t="str">
        <f t="shared" ca="1" si="314"/>
        <v/>
      </c>
      <c r="AB704" s="344"/>
      <c r="AC704" s="363">
        <f t="shared" ca="1" si="315"/>
        <v>25.000000000000025</v>
      </c>
      <c r="AD704" s="376">
        <f t="shared" ca="1" si="316"/>
        <v>1085.0247385110176</v>
      </c>
      <c r="AE704" s="377" t="e">
        <f t="shared" ca="1" si="295"/>
        <v>#N/A</v>
      </c>
      <c r="AF704" s="344"/>
      <c r="AG704" s="359">
        <f t="shared" ca="1" si="317"/>
        <v>4.0158863679227945</v>
      </c>
      <c r="AH704" s="357">
        <f t="shared" ca="1" si="318"/>
        <v>-0.3812324535842283</v>
      </c>
    </row>
    <row r="705" spans="1:34" x14ac:dyDescent="0.25">
      <c r="A705" s="402">
        <f t="shared" ca="1" si="296"/>
        <v>0.1</v>
      </c>
      <c r="B705" s="357">
        <f t="shared" ca="1" si="297"/>
        <v>25.100000000000026</v>
      </c>
      <c r="C705" s="342"/>
      <c r="D705" s="359">
        <f t="shared" ca="1" si="298"/>
        <v>-0.34390136572763674</v>
      </c>
      <c r="E705" s="360">
        <f t="shared" ca="1" si="299"/>
        <v>-9.6284988004328032</v>
      </c>
      <c r="F705" s="357">
        <f t="shared" ca="1" si="300"/>
        <v>9.6346384104067582</v>
      </c>
      <c r="G705" s="359">
        <f t="shared" ca="1" si="301"/>
        <v>37.192518940574111</v>
      </c>
      <c r="H705" s="360">
        <f t="shared" ca="1" si="302"/>
        <v>-20.610136361110506</v>
      </c>
      <c r="I705" s="357">
        <f t="shared" ca="1" si="303"/>
        <v>42.521302731319665</v>
      </c>
      <c r="J705" s="359">
        <f t="shared" ca="1" si="304"/>
        <v>1088.7457099119038</v>
      </c>
      <c r="K705" s="360">
        <f t="shared" ca="1" si="305"/>
        <v>2688.6420762302005</v>
      </c>
      <c r="L705" s="357">
        <f t="shared" ca="1" si="290"/>
        <v>2900.7177447878339</v>
      </c>
      <c r="M705" s="359">
        <f t="shared" ca="1" si="306"/>
        <v>-0.50602179083464438</v>
      </c>
      <c r="N705" s="357">
        <f t="shared" ca="1" si="307"/>
        <v>-28.992912956476847</v>
      </c>
      <c r="O705" s="343"/>
      <c r="P705" s="363">
        <f t="shared" ca="1" si="308"/>
        <v>23</v>
      </c>
      <c r="Q705" s="357">
        <f t="shared" ca="1" si="309"/>
        <v>0</v>
      </c>
      <c r="R705" s="359">
        <f t="shared" ca="1" si="310"/>
        <v>0</v>
      </c>
      <c r="S705" s="360">
        <f t="shared" ca="1" si="311"/>
        <v>9.637999999999975</v>
      </c>
      <c r="T705" s="357">
        <f t="shared" ca="1" si="291"/>
        <v>94.548779999999766</v>
      </c>
      <c r="U705" s="364">
        <f t="shared" ca="1" si="292"/>
        <v>0</v>
      </c>
      <c r="V705" s="359">
        <f t="shared" ca="1" si="293"/>
        <v>0.93467089768386569</v>
      </c>
      <c r="W705" s="357">
        <f t="shared" ca="1" si="294"/>
        <v>3.82517634639072</v>
      </c>
      <c r="X705" s="343"/>
      <c r="Y705" s="367" t="str">
        <f t="shared" ca="1" si="312"/>
        <v/>
      </c>
      <c r="Z705" s="368" t="str">
        <f t="shared" ca="1" si="313"/>
        <v/>
      </c>
      <c r="AA705" s="369" t="str">
        <f t="shared" ca="1" si="314"/>
        <v/>
      </c>
      <c r="AB705" s="344"/>
      <c r="AC705" s="363" t="e">
        <f t="shared" ca="1" si="315"/>
        <v>#N/A</v>
      </c>
      <c r="AD705" s="376" t="e">
        <f t="shared" ca="1" si="316"/>
        <v>#N/A</v>
      </c>
      <c r="AE705" s="377" t="e">
        <f t="shared" ca="1" si="295"/>
        <v>#N/A</v>
      </c>
      <c r="AF705" s="344"/>
      <c r="AG705" s="359">
        <f t="shared" ca="1" si="317"/>
        <v>4.1899983211712977</v>
      </c>
      <c r="AH705" s="357">
        <f t="shared" ca="1" si="318"/>
        <v>-0.38885837369621534</v>
      </c>
    </row>
    <row r="706" spans="1:34" x14ac:dyDescent="0.25">
      <c r="A706" s="402">
        <f t="shared" ca="1" si="296"/>
        <v>0.1</v>
      </c>
      <c r="B706" s="357">
        <f t="shared" ca="1" si="297"/>
        <v>25.200000000000028</v>
      </c>
      <c r="C706" s="342"/>
      <c r="D706" s="359">
        <f t="shared" ca="1" si="298"/>
        <v>-0.34714712339889608</v>
      </c>
      <c r="E706" s="360">
        <f t="shared" ca="1" si="299"/>
        <v>-9.6176293363713743</v>
      </c>
      <c r="F706" s="357">
        <f t="shared" ca="1" si="300"/>
        <v>9.6238924130060504</v>
      </c>
      <c r="G706" s="359">
        <f t="shared" ca="1" si="301"/>
        <v>37.15780422823422</v>
      </c>
      <c r="H706" s="360">
        <f t="shared" ca="1" si="302"/>
        <v>-21.571899294747642</v>
      </c>
      <c r="I706" s="357">
        <f t="shared" ca="1" si="303"/>
        <v>42.965675303042943</v>
      </c>
      <c r="J706" s="359">
        <f t="shared" ca="1" si="304"/>
        <v>1092.4632260703443</v>
      </c>
      <c r="K706" s="360">
        <f t="shared" ca="1" si="305"/>
        <v>2686.5329744474075</v>
      </c>
      <c r="L706" s="357">
        <f t="shared" ca="1" si="290"/>
        <v>2900.161258121565</v>
      </c>
      <c r="M706" s="359">
        <f t="shared" ca="1" si="306"/>
        <v>-0.52599396153885503</v>
      </c>
      <c r="N706" s="357">
        <f t="shared" ca="1" si="307"/>
        <v>-30.137234045542939</v>
      </c>
      <c r="O706" s="343"/>
      <c r="P706" s="363">
        <f t="shared" ca="1" si="308"/>
        <v>23</v>
      </c>
      <c r="Q706" s="357">
        <f t="shared" ca="1" si="309"/>
        <v>0</v>
      </c>
      <c r="R706" s="359">
        <f t="shared" ca="1" si="310"/>
        <v>0</v>
      </c>
      <c r="S706" s="360">
        <f t="shared" ca="1" si="311"/>
        <v>9.637999999999975</v>
      </c>
      <c r="T706" s="357">
        <f t="shared" ca="1" si="291"/>
        <v>94.548779999999766</v>
      </c>
      <c r="U706" s="364">
        <f t="shared" ca="1" si="292"/>
        <v>0</v>
      </c>
      <c r="V706" s="359">
        <f t="shared" ca="1" si="293"/>
        <v>0.93487167608159083</v>
      </c>
      <c r="W706" s="357">
        <f t="shared" ca="1" si="294"/>
        <v>3.9063837455612158</v>
      </c>
      <c r="X706" s="343"/>
      <c r="Y706" s="367" t="str">
        <f t="shared" ca="1" si="312"/>
        <v/>
      </c>
      <c r="Z706" s="368" t="str">
        <f t="shared" ca="1" si="313"/>
        <v/>
      </c>
      <c r="AA706" s="369" t="str">
        <f t="shared" ca="1" si="314"/>
        <v/>
      </c>
      <c r="AB706" s="344"/>
      <c r="AC706" s="363" t="e">
        <f t="shared" ca="1" si="315"/>
        <v>#N/A</v>
      </c>
      <c r="AD706" s="376" t="e">
        <f t="shared" ca="1" si="316"/>
        <v>#N/A</v>
      </c>
      <c r="AE706" s="377" t="e">
        <f t="shared" ca="1" si="295"/>
        <v>#N/A</v>
      </c>
      <c r="AF706" s="344"/>
      <c r="AG706" s="359">
        <f t="shared" ca="1" si="317"/>
        <v>4.3580361895770245</v>
      </c>
      <c r="AH706" s="357">
        <f t="shared" ca="1" si="318"/>
        <v>-0.39688486681788027</v>
      </c>
    </row>
    <row r="707" spans="1:34" x14ac:dyDescent="0.25">
      <c r="A707" s="402">
        <f t="shared" ca="1" si="296"/>
        <v>0.1</v>
      </c>
      <c r="B707" s="357">
        <f t="shared" ca="1" si="297"/>
        <v>25.300000000000029</v>
      </c>
      <c r="C707" s="342"/>
      <c r="D707" s="359">
        <f t="shared" ca="1" si="298"/>
        <v>-0.35052288890636607</v>
      </c>
      <c r="E707" s="360">
        <f t="shared" ca="1" si="299"/>
        <v>-9.6065045401082507</v>
      </c>
      <c r="F707" s="357">
        <f t="shared" ca="1" si="300"/>
        <v>9.6128973662870081</v>
      </c>
      <c r="G707" s="359">
        <f t="shared" ca="1" si="301"/>
        <v>37.12275193934358</v>
      </c>
      <c r="H707" s="360">
        <f t="shared" ca="1" si="302"/>
        <v>-22.532549748758466</v>
      </c>
      <c r="I707" s="357">
        <f t="shared" ca="1" si="303"/>
        <v>43.425965846833073</v>
      </c>
      <c r="J707" s="359">
        <f t="shared" ca="1" si="304"/>
        <v>1096.1772538787231</v>
      </c>
      <c r="K707" s="360">
        <f t="shared" ca="1" si="305"/>
        <v>2684.3277519952321</v>
      </c>
      <c r="L707" s="357">
        <f t="shared" ca="1" si="290"/>
        <v>2899.5206590146713</v>
      </c>
      <c r="M707" s="359">
        <f t="shared" ca="1" si="306"/>
        <v>-0.54553175668068554</v>
      </c>
      <c r="N707" s="357">
        <f t="shared" ca="1" si="307"/>
        <v>-31.256667248161033</v>
      </c>
      <c r="O707" s="343"/>
      <c r="P707" s="363">
        <f t="shared" ca="1" si="308"/>
        <v>23</v>
      </c>
      <c r="Q707" s="357">
        <f t="shared" ca="1" si="309"/>
        <v>0</v>
      </c>
      <c r="R707" s="359">
        <f t="shared" ca="1" si="310"/>
        <v>0</v>
      </c>
      <c r="S707" s="360">
        <f t="shared" ca="1" si="311"/>
        <v>9.637999999999975</v>
      </c>
      <c r="T707" s="357">
        <f t="shared" ca="1" si="291"/>
        <v>94.548779999999766</v>
      </c>
      <c r="U707" s="364">
        <f t="shared" ca="1" si="292"/>
        <v>0</v>
      </c>
      <c r="V707" s="359">
        <f t="shared" ca="1" si="293"/>
        <v>0.93508164472452293</v>
      </c>
      <c r="W707" s="357">
        <f t="shared" ca="1" si="294"/>
        <v>3.9914263757410491</v>
      </c>
      <c r="X707" s="343"/>
      <c r="Y707" s="367" t="str">
        <f t="shared" ca="1" si="312"/>
        <v/>
      </c>
      <c r="Z707" s="368" t="str">
        <f t="shared" ca="1" si="313"/>
        <v/>
      </c>
      <c r="AA707" s="369" t="str">
        <f t="shared" ca="1" si="314"/>
        <v/>
      </c>
      <c r="AB707" s="344"/>
      <c r="AC707" s="363" t="e">
        <f t="shared" ca="1" si="315"/>
        <v>#N/A</v>
      </c>
      <c r="AD707" s="376" t="e">
        <f t="shared" ca="1" si="316"/>
        <v>#N/A</v>
      </c>
      <c r="AE707" s="377" t="e">
        <f t="shared" ca="1" si="295"/>
        <v>#N/A</v>
      </c>
      <c r="AF707" s="344"/>
      <c r="AG707" s="359">
        <f t="shared" ca="1" si="317"/>
        <v>4.5200240950594157</v>
      </c>
      <c r="AH707" s="357">
        <f t="shared" ca="1" si="318"/>
        <v>-0.40531061896256754</v>
      </c>
    </row>
    <row r="708" spans="1:34" x14ac:dyDescent="0.25">
      <c r="A708" s="402">
        <f t="shared" ca="1" si="296"/>
        <v>0.1</v>
      </c>
      <c r="B708" s="357">
        <f t="shared" ca="1" si="297"/>
        <v>25.400000000000031</v>
      </c>
      <c r="C708" s="342"/>
      <c r="D708" s="359">
        <f t="shared" ca="1" si="298"/>
        <v>-0.35402332588752006</v>
      </c>
      <c r="E708" s="360">
        <f t="shared" ca="1" si="299"/>
        <v>-9.5951170027530424</v>
      </c>
      <c r="F708" s="357">
        <f t="shared" ca="1" si="300"/>
        <v>9.6016458386983317</v>
      </c>
      <c r="G708" s="359">
        <f t="shared" ca="1" si="301"/>
        <v>37.087349606754827</v>
      </c>
      <c r="H708" s="360">
        <f t="shared" ca="1" si="302"/>
        <v>-23.49206144903377</v>
      </c>
      <c r="I708" s="357">
        <f t="shared" ca="1" si="303"/>
        <v>43.901576873488679</v>
      </c>
      <c r="J708" s="359">
        <f t="shared" ca="1" si="304"/>
        <v>1099.8877589560282</v>
      </c>
      <c r="K708" s="360">
        <f t="shared" ca="1" si="305"/>
        <v>2682.0265214353426</v>
      </c>
      <c r="L708" s="357">
        <f t="shared" ref="L708:L771" ca="1" si="319">SQRT(pos_x^2+pos_z^2)</f>
        <v>2898.7961887624797</v>
      </c>
      <c r="M708" s="359">
        <f t="shared" ca="1" si="306"/>
        <v>-0.56463495039150957</v>
      </c>
      <c r="N708" s="357">
        <f t="shared" ca="1" si="307"/>
        <v>-32.351199623012107</v>
      </c>
      <c r="O708" s="343"/>
      <c r="P708" s="363">
        <f t="shared" ca="1" si="308"/>
        <v>23</v>
      </c>
      <c r="Q708" s="357">
        <f t="shared" ca="1" si="309"/>
        <v>0</v>
      </c>
      <c r="R708" s="359">
        <f t="shared" ca="1" si="310"/>
        <v>0</v>
      </c>
      <c r="S708" s="360">
        <f t="shared" ca="1" si="311"/>
        <v>9.637999999999975</v>
      </c>
      <c r="T708" s="357">
        <f t="shared" ref="T708:T771" ca="1" si="320">m*g</f>
        <v>94.548779999999766</v>
      </c>
      <c r="U708" s="364">
        <f t="shared" ref="U708:U771" ca="1" si="321">IF(pos_xz&lt;L_rampe,Poids*COS(Beta),0)</f>
        <v>0</v>
      </c>
      <c r="V708" s="359">
        <f t="shared" ref="V708:V771" ca="1" si="322">Rho_moyen*(20000-Alt_rampe-pos_z)/(20000+Alt_rampe+pos_z)</f>
        <v>0.93530079824186863</v>
      </c>
      <c r="W708" s="357">
        <f t="shared" ref="W708:W771" ca="1" si="323">1/2*Rho*Sref*Cx*vit_xz^2</f>
        <v>4.0802912331430505</v>
      </c>
      <c r="X708" s="343"/>
      <c r="Y708" s="367" t="str">
        <f t="shared" ca="1" si="312"/>
        <v/>
      </c>
      <c r="Z708" s="368" t="str">
        <f t="shared" ca="1" si="313"/>
        <v/>
      </c>
      <c r="AA708" s="369" t="str">
        <f t="shared" ca="1" si="314"/>
        <v/>
      </c>
      <c r="AB708" s="344"/>
      <c r="AC708" s="363" t="e">
        <f t="shared" ca="1" si="315"/>
        <v>#N/A</v>
      </c>
      <c r="AD708" s="376" t="e">
        <f t="shared" ca="1" si="316"/>
        <v>#N/A</v>
      </c>
      <c r="AE708" s="377" t="e">
        <f t="shared" ref="AE708:AE771" ca="1" si="324">IF(t&lt;T_para, pos_z, NA())</f>
        <v>#N/A</v>
      </c>
      <c r="AF708" s="344"/>
      <c r="AG708" s="359">
        <f t="shared" ca="1" si="317"/>
        <v>4.676007249170623</v>
      </c>
      <c r="AH708" s="357">
        <f t="shared" ca="1" si="318"/>
        <v>-0.41413429920533923</v>
      </c>
    </row>
    <row r="709" spans="1:34" x14ac:dyDescent="0.25">
      <c r="A709" s="402">
        <f t="shared" ref="A709:A772" ca="1" si="325">IF(B708+0.01&lt;=T_ini+ROUNDUP(Temps_fin_propu,0), 0.01, IF(K708&gt;0, 0.1, 0.0001))</f>
        <v>0.1</v>
      </c>
      <c r="B709" s="357">
        <f t="shared" ref="B709:B772" ca="1" si="326">B708+pas</f>
        <v>25.500000000000032</v>
      </c>
      <c r="C709" s="342"/>
      <c r="D709" s="359">
        <f t="shared" ref="D709:D772" ca="1" si="327">IF(AND(L708&lt;L_rampe,Poussee&lt;Poids*SIN(M708)),0,(-W708+Poussee)/m*COS(M708)-U708/m*SIN(M708))</f>
        <v>-0.3576431561327349</v>
      </c>
      <c r="E709" s="360">
        <f t="shared" ref="E709:E772" ca="1" si="328">IF(AND(L708&lt;L_rampe,Poussee&lt;Poids*SIN(M708)),0,(-W708+Poussee)/m*SIN(M708)+U708/m*COS(M708)-Poids/m)</f>
        <v>-9.583459816088709</v>
      </c>
      <c r="F709" s="357">
        <f t="shared" ref="F709:F772" ca="1" si="329">SQRT(acc_x^2+acc_z^2)</f>
        <v>9.5901308997174599</v>
      </c>
      <c r="G709" s="359">
        <f t="shared" ref="G709:G772" ca="1" si="330">G708+acc_x*pas</f>
        <v>37.051585291141556</v>
      </c>
      <c r="H709" s="360">
        <f t="shared" ref="H709:H772" ca="1" si="331">H708+acc_z*pas</f>
        <v>-24.450407430642642</v>
      </c>
      <c r="I709" s="357">
        <f t="shared" ref="I709:I772" ca="1" si="332">SQRT(vit_x^2+vit_z^2)</f>
        <v>44.391918139579893</v>
      </c>
      <c r="J709" s="359">
        <f t="shared" ref="J709:J772" ca="1" si="333">J708+0.5*(vit_x+G708)*pas*(K708&gt;=0)</f>
        <v>1103.594705700923</v>
      </c>
      <c r="K709" s="360">
        <f t="shared" ref="K709:K772" ca="1" si="334">K708+0.5*(vit_z+H708)*pas</f>
        <v>2679.6293979913589</v>
      </c>
      <c r="L709" s="357">
        <f t="shared" ca="1" si="319"/>
        <v>2897.9880926309274</v>
      </c>
      <c r="M709" s="359">
        <f t="shared" ref="M709:M772" ca="1" si="335">IF(AND(L708&gt;L_rampe,G709&gt;0),ATAN2(G709,H709),$M$4)</f>
        <v>-0.58330459300825399</v>
      </c>
      <c r="N709" s="357">
        <f t="shared" ref="N709:N772" ca="1" si="336">DEGREES(Beta)</f>
        <v>-33.420891349969139</v>
      </c>
      <c r="O709" s="343"/>
      <c r="P709" s="363">
        <f t="shared" ref="P709:P772" ca="1" si="337">MATCH(t-pas/2-T_ini,CdP_t)</f>
        <v>23</v>
      </c>
      <c r="Q709" s="357">
        <f t="shared" ref="Q709:Q772" ca="1" si="338">(INDEX(CdP,2,i_P+1)-INDEX(CdP,2,i_P+0))/(INDEX(CdP,1,i_P+1)-INDEX(CdP,1,i_P+0))*(t-pas/2-T_ini-INDEX(CdP,1,i_P+0))+INDEX(CdP,2,i_P+0)</f>
        <v>0</v>
      </c>
      <c r="R709" s="359">
        <f t="shared" ref="R709:R772" ca="1" si="339">Poussee/(g*ISP)</f>
        <v>0</v>
      </c>
      <c r="S709" s="360">
        <f t="shared" ref="S709:S772" ca="1" si="340">S708-Débit*pas</f>
        <v>9.637999999999975</v>
      </c>
      <c r="T709" s="357">
        <f t="shared" ca="1" si="320"/>
        <v>94.548779999999766</v>
      </c>
      <c r="U709" s="364">
        <f t="shared" ca="1" si="321"/>
        <v>0</v>
      </c>
      <c r="V709" s="359">
        <f t="shared" ca="1" si="322"/>
        <v>0.93552913123614467</v>
      </c>
      <c r="W709" s="357">
        <f t="shared" ca="1" si="323"/>
        <v>4.1729651254329623</v>
      </c>
      <c r="X709" s="343"/>
      <c r="Y709" s="367" t="str">
        <f t="shared" ref="Y709:Y772" ca="1" si="341">IF(AND(pos_z&lt;=0,K708&gt;0),"Impact balistique","") &amp; IF(AND(H710&lt;0,vit_z&gt;=0),"Apogée","") &amp; IF(AND(Poussee=0,Q708&gt;0),"Fin de propulsion","") &amp; IF(AND(L710&gt;L_rampe,pos_xz&lt;=L_rampe),"Sortie de rampe","")</f>
        <v/>
      </c>
      <c r="Z709" s="368" t="str">
        <f t="shared" ref="Z709:Z772" ca="1" si="342">IF(ABS(t-T_para)&lt;pas/2,"Para","")</f>
        <v/>
      </c>
      <c r="AA709" s="369" t="str">
        <f t="shared" ref="AA709:AA772" ca="1" si="343">IF(ABS(t-T_satellite)&lt;pas/2,"Satellite","")</f>
        <v/>
      </c>
      <c r="AB709" s="344"/>
      <c r="AC709" s="363" t="e">
        <f t="shared" ref="AC709:AC772" ca="1" si="344">IF(ABS(t-ROUND(t,0))&lt;0.001,t,NA())</f>
        <v>#N/A</v>
      </c>
      <c r="AD709" s="376" t="e">
        <f t="shared" ref="AD709:AD772" ca="1" si="345">IF(ABS(t-ROUND(t,0))&lt;0.001,pos_x,NA())</f>
        <v>#N/A</v>
      </c>
      <c r="AE709" s="377" t="e">
        <f t="shared" ca="1" si="324"/>
        <v>#N/A</v>
      </c>
      <c r="AF709" s="344"/>
      <c r="AG709" s="359">
        <f t="shared" ref="AG709:AG772" ca="1" si="346">IF(AND(L708&lt;L_rampe,Poussee&lt;Poids*SIN(M708)),0,(-W708+Poussee)/m-Poids*SIN(M708)/m)</f>
        <v>4.8260496596396472</v>
      </c>
      <c r="AH709" s="357">
        <f t="shared" ref="AH709:AH772" ca="1" si="347">IF(AND(L708&lt;L_rampe,Poussee&lt;Poids*SIN(M708)), g*SIN(M708), (-W708+Poussee)/m)</f>
        <v>-0.4233545583256963</v>
      </c>
    </row>
    <row r="710" spans="1:34" x14ac:dyDescent="0.25">
      <c r="A710" s="402">
        <f t="shared" ca="1" si="325"/>
        <v>0.1</v>
      </c>
      <c r="B710" s="357">
        <f t="shared" ca="1" si="326"/>
        <v>25.600000000000033</v>
      </c>
      <c r="C710" s="342"/>
      <c r="D710" s="359">
        <f t="shared" ca="1" si="327"/>
        <v>-0.36137717350880544</v>
      </c>
      <c r="E710" s="360">
        <f t="shared" ca="1" si="328"/>
        <v>-9.5715265565833469</v>
      </c>
      <c r="F710" s="357">
        <f t="shared" ca="1" si="329"/>
        <v>9.5783461038382551</v>
      </c>
      <c r="G710" s="359">
        <f t="shared" ca="1" si="330"/>
        <v>37.015447573790674</v>
      </c>
      <c r="H710" s="360">
        <f t="shared" ca="1" si="331"/>
        <v>-25.407560086300975</v>
      </c>
      <c r="I710" s="357">
        <f t="shared" ca="1" si="332"/>
        <v>44.896408192939447</v>
      </c>
      <c r="J710" s="359">
        <f t="shared" ca="1" si="333"/>
        <v>1107.2980573441696</v>
      </c>
      <c r="K710" s="360">
        <f t="shared" ca="1" si="334"/>
        <v>2677.1364996155116</v>
      </c>
      <c r="L710" s="357">
        <f t="shared" ca="1" si="319"/>
        <v>2897.096619957948</v>
      </c>
      <c r="M710" s="359">
        <f t="shared" ca="1" si="335"/>
        <v>-0.60154289364258196</v>
      </c>
      <c r="N710" s="357">
        <f t="shared" ca="1" si="336"/>
        <v>-34.465869001806908</v>
      </c>
      <c r="O710" s="343"/>
      <c r="P710" s="363">
        <f t="shared" ca="1" si="337"/>
        <v>23</v>
      </c>
      <c r="Q710" s="357">
        <f t="shared" ca="1" si="338"/>
        <v>0</v>
      </c>
      <c r="R710" s="359">
        <f t="shared" ca="1" si="339"/>
        <v>0</v>
      </c>
      <c r="S710" s="360">
        <f t="shared" ca="1" si="340"/>
        <v>9.637999999999975</v>
      </c>
      <c r="T710" s="357">
        <f t="shared" ca="1" si="320"/>
        <v>94.548779999999766</v>
      </c>
      <c r="U710" s="364">
        <f t="shared" ca="1" si="321"/>
        <v>0</v>
      </c>
      <c r="V710" s="359">
        <f t="shared" ca="1" si="322"/>
        <v>0.93576663827599194</v>
      </c>
      <c r="W710" s="357">
        <f t="shared" ca="1" si="323"/>
        <v>4.2694346603534479</v>
      </c>
      <c r="X710" s="343"/>
      <c r="Y710" s="367" t="str">
        <f t="shared" ca="1" si="341"/>
        <v/>
      </c>
      <c r="Z710" s="368" t="str">
        <f t="shared" ca="1" si="342"/>
        <v/>
      </c>
      <c r="AA710" s="369" t="str">
        <f t="shared" ca="1" si="343"/>
        <v/>
      </c>
      <c r="AB710" s="344"/>
      <c r="AC710" s="363" t="e">
        <f t="shared" ca="1" si="344"/>
        <v>#N/A</v>
      </c>
      <c r="AD710" s="376" t="e">
        <f t="shared" ca="1" si="345"/>
        <v>#N/A</v>
      </c>
      <c r="AE710" s="377" t="e">
        <f t="shared" ca="1" si="324"/>
        <v>#N/A</v>
      </c>
      <c r="AF710" s="344"/>
      <c r="AG710" s="359">
        <f t="shared" ca="1" si="346"/>
        <v>4.970231882781035</v>
      </c>
      <c r="AH710" s="357">
        <f t="shared" ca="1" si="347"/>
        <v>-0.43297002754025454</v>
      </c>
    </row>
    <row r="711" spans="1:34" x14ac:dyDescent="0.25">
      <c r="A711" s="402">
        <f t="shared" ca="1" si="325"/>
        <v>0.1</v>
      </c>
      <c r="B711" s="357">
        <f t="shared" ca="1" si="326"/>
        <v>25.700000000000035</v>
      </c>
      <c r="C711" s="342"/>
      <c r="D711" s="359">
        <f t="shared" ca="1" si="327"/>
        <v>-0.36522025606494246</v>
      </c>
      <c r="E711" s="360">
        <f t="shared" ca="1" si="328"/>
        <v>-9.5593112684317614</v>
      </c>
      <c r="F711" s="357">
        <f t="shared" ca="1" si="329"/>
        <v>9.5662854735893479</v>
      </c>
      <c r="G711" s="359">
        <f t="shared" ca="1" si="330"/>
        <v>36.978925548184179</v>
      </c>
      <c r="H711" s="360">
        <f t="shared" ca="1" si="331"/>
        <v>-26.363491213144151</v>
      </c>
      <c r="I711" s="357">
        <f t="shared" ca="1" si="332"/>
        <v>45.414475705920871</v>
      </c>
      <c r="J711" s="359">
        <f t="shared" ca="1" si="333"/>
        <v>1110.9977760002682</v>
      </c>
      <c r="K711" s="360">
        <f t="shared" ca="1" si="334"/>
        <v>2674.5479470505393</v>
      </c>
      <c r="L711" s="357">
        <f t="shared" ca="1" si="319"/>
        <v>2896.1220242506697</v>
      </c>
      <c r="M711" s="359">
        <f t="shared" ca="1" si="335"/>
        <v>-0.6193531048594404</v>
      </c>
      <c r="N711" s="357">
        <f t="shared" ca="1" si="336"/>
        <v>-35.48631893676945</v>
      </c>
      <c r="O711" s="343"/>
      <c r="P711" s="363">
        <f t="shared" ca="1" si="337"/>
        <v>23</v>
      </c>
      <c r="Q711" s="357">
        <f t="shared" ca="1" si="338"/>
        <v>0</v>
      </c>
      <c r="R711" s="359">
        <f t="shared" ca="1" si="339"/>
        <v>0</v>
      </c>
      <c r="S711" s="360">
        <f t="shared" ca="1" si="340"/>
        <v>9.637999999999975</v>
      </c>
      <c r="T711" s="357">
        <f t="shared" ca="1" si="320"/>
        <v>94.548779999999766</v>
      </c>
      <c r="U711" s="364">
        <f t="shared" ca="1" si="321"/>
        <v>0</v>
      </c>
      <c r="V711" s="359">
        <f t="shared" ca="1" si="322"/>
        <v>0.93601331388941</v>
      </c>
      <c r="W711" s="357">
        <f t="shared" ca="1" si="323"/>
        <v>4.3696862351565322</v>
      </c>
      <c r="X711" s="343"/>
      <c r="Y711" s="367" t="str">
        <f t="shared" ca="1" si="341"/>
        <v/>
      </c>
      <c r="Z711" s="368" t="str">
        <f t="shared" ca="1" si="342"/>
        <v/>
      </c>
      <c r="AA711" s="369" t="str">
        <f t="shared" ca="1" si="343"/>
        <v/>
      </c>
      <c r="AB711" s="344"/>
      <c r="AC711" s="363" t="e">
        <f t="shared" ca="1" si="344"/>
        <v>#N/A</v>
      </c>
      <c r="AD711" s="376" t="e">
        <f t="shared" ca="1" si="345"/>
        <v>#N/A</v>
      </c>
      <c r="AE711" s="377" t="e">
        <f t="shared" ca="1" si="324"/>
        <v>#N/A</v>
      </c>
      <c r="AF711" s="344"/>
      <c r="AG711" s="359">
        <f t="shared" ca="1" si="346"/>
        <v>5.1086488524742517</v>
      </c>
      <c r="AH711" s="357">
        <f t="shared" ca="1" si="347"/>
        <v>-0.44297931732241741</v>
      </c>
    </row>
    <row r="712" spans="1:34" x14ac:dyDescent="0.25">
      <c r="A712" s="402">
        <f t="shared" ca="1" si="325"/>
        <v>0.1</v>
      </c>
      <c r="B712" s="357">
        <f t="shared" ca="1" si="326"/>
        <v>25.800000000000036</v>
      </c>
      <c r="C712" s="342"/>
      <c r="D712" s="359">
        <f t="shared" ca="1" si="327"/>
        <v>-0.3691673764000149</v>
      </c>
      <c r="E712" s="360">
        <f t="shared" ca="1" si="328"/>
        <v>-9.5468084459019877</v>
      </c>
      <c r="F712" s="357">
        <f t="shared" ca="1" si="329"/>
        <v>9.5539434818583473</v>
      </c>
      <c r="G712" s="359">
        <f t="shared" ca="1" si="330"/>
        <v>36.942008810544181</v>
      </c>
      <c r="H712" s="360">
        <f t="shared" ca="1" si="331"/>
        <v>-27.318172057734351</v>
      </c>
      <c r="I712" s="357">
        <f t="shared" ca="1" si="332"/>
        <v>45.945560607465673</v>
      </c>
      <c r="J712" s="359">
        <f t="shared" ca="1" si="333"/>
        <v>1114.6938227182047</v>
      </c>
      <c r="K712" s="360">
        <f t="shared" ca="1" si="334"/>
        <v>2671.8638638869952</v>
      </c>
      <c r="L712" s="357">
        <f t="shared" ca="1" si="319"/>
        <v>2895.0645632785581</v>
      </c>
      <c r="M712" s="359">
        <f t="shared" ca="1" si="335"/>
        <v>-0.63673941074540785</v>
      </c>
      <c r="N712" s="357">
        <f t="shared" ca="1" si="336"/>
        <v>-36.482480885358846</v>
      </c>
      <c r="O712" s="343"/>
      <c r="P712" s="363">
        <f t="shared" ca="1" si="337"/>
        <v>23</v>
      </c>
      <c r="Q712" s="357">
        <f t="shared" ca="1" si="338"/>
        <v>0</v>
      </c>
      <c r="R712" s="359">
        <f t="shared" ca="1" si="339"/>
        <v>0</v>
      </c>
      <c r="S712" s="360">
        <f t="shared" ca="1" si="340"/>
        <v>9.637999999999975</v>
      </c>
      <c r="T712" s="357">
        <f t="shared" ca="1" si="320"/>
        <v>94.548779999999766</v>
      </c>
      <c r="U712" s="364">
        <f t="shared" ca="1" si="321"/>
        <v>0</v>
      </c>
      <c r="V712" s="359">
        <f t="shared" ca="1" si="322"/>
        <v>0.93626915255740939</v>
      </c>
      <c r="W712" s="357">
        <f t="shared" ca="1" si="323"/>
        <v>4.4737060268134234</v>
      </c>
      <c r="X712" s="343"/>
      <c r="Y712" s="367" t="str">
        <f t="shared" ca="1" si="341"/>
        <v/>
      </c>
      <c r="Z712" s="368" t="str">
        <f t="shared" ca="1" si="342"/>
        <v/>
      </c>
      <c r="AA712" s="369" t="str">
        <f t="shared" ca="1" si="343"/>
        <v/>
      </c>
      <c r="AB712" s="344"/>
      <c r="AC712" s="363" t="e">
        <f t="shared" ca="1" si="344"/>
        <v>#N/A</v>
      </c>
      <c r="AD712" s="376" t="e">
        <f t="shared" ca="1" si="345"/>
        <v>#N/A</v>
      </c>
      <c r="AE712" s="377" t="e">
        <f t="shared" ca="1" si="324"/>
        <v>#N/A</v>
      </c>
      <c r="AF712" s="344"/>
      <c r="AG712" s="359">
        <f t="shared" ca="1" si="346"/>
        <v>5.2414078099630919</v>
      </c>
      <c r="AH712" s="357">
        <f t="shared" ca="1" si="347"/>
        <v>-0.45338101630592897</v>
      </c>
    </row>
    <row r="713" spans="1:34" x14ac:dyDescent="0.25">
      <c r="A713" s="402">
        <f t="shared" ca="1" si="325"/>
        <v>0.1</v>
      </c>
      <c r="B713" s="357">
        <f t="shared" ca="1" si="326"/>
        <v>25.900000000000038</v>
      </c>
      <c r="C713" s="342"/>
      <c r="D713" s="359">
        <f t="shared" ca="1" si="327"/>
        <v>-0.37321361038648482</v>
      </c>
      <c r="E713" s="360">
        <f t="shared" ca="1" si="328"/>
        <v>-9.534013015233862</v>
      </c>
      <c r="F713" s="357">
        <f t="shared" ca="1" si="329"/>
        <v>9.5413150337690027</v>
      </c>
      <c r="G713" s="359">
        <f t="shared" ca="1" si="330"/>
        <v>36.904687449505531</v>
      </c>
      <c r="H713" s="360">
        <f t="shared" ca="1" si="331"/>
        <v>-28.271573359257737</v>
      </c>
      <c r="I713" s="357">
        <f t="shared" ca="1" si="332"/>
        <v>46.489115026569209</v>
      </c>
      <c r="J713" s="359">
        <f t="shared" ca="1" si="333"/>
        <v>1118.3861575312071</v>
      </c>
      <c r="K713" s="360">
        <f t="shared" ca="1" si="334"/>
        <v>2669.0843766161456</v>
      </c>
      <c r="L713" s="357">
        <f t="shared" ca="1" si="319"/>
        <v>2893.9244991626538</v>
      </c>
      <c r="M713" s="359">
        <f t="shared" ca="1" si="335"/>
        <v>-0.65370681939120934</v>
      </c>
      <c r="N713" s="357">
        <f t="shared" ca="1" si="336"/>
        <v>-37.454641790037059</v>
      </c>
      <c r="O713" s="343"/>
      <c r="P713" s="363">
        <f t="shared" ca="1" si="337"/>
        <v>23</v>
      </c>
      <c r="Q713" s="357">
        <f t="shared" ca="1" si="338"/>
        <v>0</v>
      </c>
      <c r="R713" s="359">
        <f t="shared" ca="1" si="339"/>
        <v>0</v>
      </c>
      <c r="S713" s="360">
        <f t="shared" ca="1" si="340"/>
        <v>9.637999999999975</v>
      </c>
      <c r="T713" s="357">
        <f t="shared" ca="1" si="320"/>
        <v>94.548779999999766</v>
      </c>
      <c r="U713" s="364">
        <f t="shared" ca="1" si="321"/>
        <v>0</v>
      </c>
      <c r="V713" s="359">
        <f t="shared" ca="1" si="322"/>
        <v>0.93653414870805296</v>
      </c>
      <c r="W713" s="357">
        <f t="shared" ca="1" si="323"/>
        <v>4.5814799829698574</v>
      </c>
      <c r="X713" s="343"/>
      <c r="Y713" s="367" t="str">
        <f t="shared" ca="1" si="341"/>
        <v/>
      </c>
      <c r="Z713" s="368" t="str">
        <f t="shared" ca="1" si="342"/>
        <v/>
      </c>
      <c r="AA713" s="369" t="str">
        <f t="shared" ca="1" si="343"/>
        <v/>
      </c>
      <c r="AB713" s="344"/>
      <c r="AC713" s="363" t="e">
        <f t="shared" ca="1" si="344"/>
        <v>#N/A</v>
      </c>
      <c r="AD713" s="376" t="e">
        <f t="shared" ca="1" si="345"/>
        <v>#N/A</v>
      </c>
      <c r="AE713" s="377" t="e">
        <f t="shared" ca="1" si="324"/>
        <v>#N/A</v>
      </c>
      <c r="AF713" s="344"/>
      <c r="AG713" s="359">
        <f t="shared" ca="1" si="346"/>
        <v>5.3686263527197973</v>
      </c>
      <c r="AH713" s="357">
        <f t="shared" ca="1" si="347"/>
        <v>-0.46417369026908434</v>
      </c>
    </row>
    <row r="714" spans="1:34" x14ac:dyDescent="0.25">
      <c r="A714" s="402">
        <f t="shared" ca="1" si="325"/>
        <v>0.1</v>
      </c>
      <c r="B714" s="357">
        <f t="shared" ca="1" si="326"/>
        <v>26.000000000000039</v>
      </c>
      <c r="C714" s="342"/>
      <c r="D714" s="359">
        <f t="shared" ca="1" si="327"/>
        <v>-0.37735414435846898</v>
      </c>
      <c r="E714" s="360">
        <f t="shared" ca="1" si="328"/>
        <v>-9.5209203163081302</v>
      </c>
      <c r="F714" s="357">
        <f t="shared" ca="1" si="329"/>
        <v>9.5283954483298725</v>
      </c>
      <c r="G714" s="359">
        <f t="shared" ca="1" si="330"/>
        <v>36.866952035069687</v>
      </c>
      <c r="H714" s="360">
        <f t="shared" ca="1" si="331"/>
        <v>-29.223665390888549</v>
      </c>
      <c r="I714" s="357">
        <f t="shared" ca="1" si="332"/>
        <v>47.04460406077137</v>
      </c>
      <c r="J714" s="359">
        <f t="shared" ca="1" si="333"/>
        <v>1122.0747395054359</v>
      </c>
      <c r="K714" s="360">
        <f t="shared" ca="1" si="334"/>
        <v>2666.2096146786384</v>
      </c>
      <c r="L714" s="357">
        <f t="shared" ca="1" si="319"/>
        <v>2892.7020984610576</v>
      </c>
      <c r="M714" s="359">
        <f t="shared" ca="1" si="335"/>
        <v>-0.67026106057619628</v>
      </c>
      <c r="N714" s="357">
        <f t="shared" ca="1" si="336"/>
        <v>-38.40312994297846</v>
      </c>
      <c r="O714" s="343"/>
      <c r="P714" s="363">
        <f t="shared" ca="1" si="337"/>
        <v>23</v>
      </c>
      <c r="Q714" s="357">
        <f t="shared" ca="1" si="338"/>
        <v>0</v>
      </c>
      <c r="R714" s="359">
        <f t="shared" ca="1" si="339"/>
        <v>0</v>
      </c>
      <c r="S714" s="360">
        <f t="shared" ca="1" si="340"/>
        <v>9.637999999999975</v>
      </c>
      <c r="T714" s="357">
        <f t="shared" ca="1" si="320"/>
        <v>94.548779999999766</v>
      </c>
      <c r="U714" s="364">
        <f t="shared" ca="1" si="321"/>
        <v>0</v>
      </c>
      <c r="V714" s="359">
        <f t="shared" ca="1" si="322"/>
        <v>0.93680829671087129</v>
      </c>
      <c r="W714" s="357">
        <f t="shared" ca="1" si="323"/>
        <v>4.6929938136148941</v>
      </c>
      <c r="X714" s="343"/>
      <c r="Y714" s="367" t="str">
        <f t="shared" ca="1" si="341"/>
        <v/>
      </c>
      <c r="Z714" s="368" t="str">
        <f t="shared" ca="1" si="342"/>
        <v/>
      </c>
      <c r="AA714" s="369" t="str">
        <f t="shared" ca="1" si="343"/>
        <v/>
      </c>
      <c r="AB714" s="344"/>
      <c r="AC714" s="363">
        <f t="shared" ca="1" si="344"/>
        <v>26.000000000000039</v>
      </c>
      <c r="AD714" s="376">
        <f t="shared" ca="1" si="345"/>
        <v>1122.0747395054359</v>
      </c>
      <c r="AE714" s="377" t="e">
        <f t="shared" ca="1" si="324"/>
        <v>#N/A</v>
      </c>
      <c r="AF714" s="344"/>
      <c r="AG714" s="359">
        <f t="shared" ca="1" si="346"/>
        <v>5.4904306151870488</v>
      </c>
      <c r="AH714" s="357">
        <f t="shared" ca="1" si="347"/>
        <v>-0.47535588119629274</v>
      </c>
    </row>
    <row r="715" spans="1:34" x14ac:dyDescent="0.25">
      <c r="A715" s="402">
        <f t="shared" ca="1" si="325"/>
        <v>0.1</v>
      </c>
      <c r="B715" s="357">
        <f t="shared" ca="1" si="326"/>
        <v>26.100000000000041</v>
      </c>
      <c r="C715" s="342"/>
      <c r="D715" s="359">
        <f t="shared" ca="1" si="327"/>
        <v>-0.38158428087919366</v>
      </c>
      <c r="E715" s="360">
        <f t="shared" ca="1" si="328"/>
        <v>-9.5075260842765434</v>
      </c>
      <c r="F715" s="357">
        <f t="shared" ca="1" si="329"/>
        <v>9.5151804400448956</v>
      </c>
      <c r="G715" s="359">
        <f t="shared" ca="1" si="330"/>
        <v>36.828793606981769</v>
      </c>
      <c r="H715" s="360">
        <f t="shared" ca="1" si="331"/>
        <v>-30.174417999316201</v>
      </c>
      <c r="I715" s="357">
        <f t="shared" ca="1" si="332"/>
        <v>47.611506383889164</v>
      </c>
      <c r="J715" s="359">
        <f t="shared" ca="1" si="333"/>
        <v>1125.7595267875386</v>
      </c>
      <c r="K715" s="360">
        <f t="shared" ca="1" si="334"/>
        <v>2663.2397105091281</v>
      </c>
      <c r="L715" s="357">
        <f t="shared" ca="1" si="319"/>
        <v>2891.3976322508202</v>
      </c>
      <c r="M715" s="359">
        <f t="shared" ca="1" si="335"/>
        <v>-0.68640848922888176</v>
      </c>
      <c r="N715" s="357">
        <f t="shared" ca="1" si="336"/>
        <v>-39.32830945476595</v>
      </c>
      <c r="O715" s="343"/>
      <c r="P715" s="363">
        <f t="shared" ca="1" si="337"/>
        <v>23</v>
      </c>
      <c r="Q715" s="357">
        <f t="shared" ca="1" si="338"/>
        <v>0</v>
      </c>
      <c r="R715" s="359">
        <f t="shared" ca="1" si="339"/>
        <v>0</v>
      </c>
      <c r="S715" s="360">
        <f t="shared" ca="1" si="340"/>
        <v>9.637999999999975</v>
      </c>
      <c r="T715" s="357">
        <f t="shared" ca="1" si="320"/>
        <v>94.548779999999766</v>
      </c>
      <c r="U715" s="364">
        <f t="shared" ca="1" si="321"/>
        <v>0</v>
      </c>
      <c r="V715" s="359">
        <f t="shared" ca="1" si="322"/>
        <v>0.93709159087163962</v>
      </c>
      <c r="W715" s="357">
        <f t="shared" ca="1" si="323"/>
        <v>4.8082329834310542</v>
      </c>
      <c r="X715" s="343"/>
      <c r="Y715" s="367" t="str">
        <f t="shared" ca="1" si="341"/>
        <v/>
      </c>
      <c r="Z715" s="368" t="str">
        <f t="shared" ca="1" si="342"/>
        <v/>
      </c>
      <c r="AA715" s="369" t="str">
        <f t="shared" ca="1" si="343"/>
        <v/>
      </c>
      <c r="AB715" s="344"/>
      <c r="AC715" s="363" t="e">
        <f t="shared" ca="1" si="344"/>
        <v>#N/A</v>
      </c>
      <c r="AD715" s="376" t="e">
        <f t="shared" ca="1" si="345"/>
        <v>#N/A</v>
      </c>
      <c r="AE715" s="377" t="e">
        <f t="shared" ca="1" si="324"/>
        <v>#N/A</v>
      </c>
      <c r="AF715" s="344"/>
      <c r="AG715" s="359">
        <f t="shared" ca="1" si="346"/>
        <v>5.6069535894231475</v>
      </c>
      <c r="AH715" s="357">
        <f t="shared" ca="1" si="347"/>
        <v>-0.48692610641366529</v>
      </c>
    </row>
    <row r="716" spans="1:34" x14ac:dyDescent="0.25">
      <c r="A716" s="402">
        <f t="shared" ca="1" si="325"/>
        <v>0.1</v>
      </c>
      <c r="B716" s="357">
        <f t="shared" ca="1" si="326"/>
        <v>26.200000000000042</v>
      </c>
      <c r="C716" s="342"/>
      <c r="D716" s="359">
        <f t="shared" ca="1" si="327"/>
        <v>-0.3858994432073119</v>
      </c>
      <c r="E716" s="360">
        <f t="shared" ca="1" si="328"/>
        <v>-9.4938264313161387</v>
      </c>
      <c r="F716" s="357">
        <f t="shared" ca="1" si="329"/>
        <v>9.5016661006491194</v>
      </c>
      <c r="G716" s="359">
        <f t="shared" ca="1" si="330"/>
        <v>36.790203662661035</v>
      </c>
      <c r="H716" s="360">
        <f t="shared" ca="1" si="331"/>
        <v>-31.123800642447815</v>
      </c>
      <c r="I716" s="357">
        <f t="shared" ca="1" si="332"/>
        <v>48.189314707421524</v>
      </c>
      <c r="J716" s="359">
        <f t="shared" ca="1" si="333"/>
        <v>1129.4404766510206</v>
      </c>
      <c r="K716" s="360">
        <f t="shared" ca="1" si="334"/>
        <v>2660.1747995770397</v>
      </c>
      <c r="L716" s="357">
        <f t="shared" ca="1" si="319"/>
        <v>2890.0113762064034</v>
      </c>
      <c r="M716" s="359">
        <f t="shared" ca="1" si="335"/>
        <v>-0.70215599504856974</v>
      </c>
      <c r="N716" s="357">
        <f t="shared" ca="1" si="336"/>
        <v>-40.230575076091775</v>
      </c>
      <c r="O716" s="343"/>
      <c r="P716" s="363">
        <f t="shared" ca="1" si="337"/>
        <v>23</v>
      </c>
      <c r="Q716" s="357">
        <f t="shared" ca="1" si="338"/>
        <v>0</v>
      </c>
      <c r="R716" s="359">
        <f t="shared" ca="1" si="339"/>
        <v>0</v>
      </c>
      <c r="S716" s="360">
        <f t="shared" ca="1" si="340"/>
        <v>9.637999999999975</v>
      </c>
      <c r="T716" s="357">
        <f t="shared" ca="1" si="320"/>
        <v>94.548779999999766</v>
      </c>
      <c r="U716" s="364">
        <f t="shared" ca="1" si="321"/>
        <v>0</v>
      </c>
      <c r="V716" s="359">
        <f t="shared" ca="1" si="322"/>
        <v>0.93738402542749166</v>
      </c>
      <c r="W716" s="357">
        <f t="shared" ca="1" si="323"/>
        <v>4.9271827047939363</v>
      </c>
      <c r="X716" s="343"/>
      <c r="Y716" s="367" t="str">
        <f t="shared" ca="1" si="341"/>
        <v/>
      </c>
      <c r="Z716" s="368" t="str">
        <f t="shared" ca="1" si="342"/>
        <v/>
      </c>
      <c r="AA716" s="369" t="str">
        <f t="shared" ca="1" si="343"/>
        <v/>
      </c>
      <c r="AB716" s="344"/>
      <c r="AC716" s="363" t="e">
        <f t="shared" ca="1" si="344"/>
        <v>#N/A</v>
      </c>
      <c r="AD716" s="376" t="e">
        <f t="shared" ca="1" si="345"/>
        <v>#N/A</v>
      </c>
      <c r="AE716" s="377" t="e">
        <f t="shared" ca="1" si="324"/>
        <v>#N/A</v>
      </c>
      <c r="AF716" s="344"/>
      <c r="AG716" s="359">
        <f t="shared" ca="1" si="346"/>
        <v>5.7183335895603067</v>
      </c>
      <c r="AH716" s="357">
        <f t="shared" ca="1" si="347"/>
        <v>-0.4988828577952964</v>
      </c>
    </row>
    <row r="717" spans="1:34" x14ac:dyDescent="0.25">
      <c r="A717" s="402">
        <f t="shared" ca="1" si="325"/>
        <v>0.1</v>
      </c>
      <c r="B717" s="357">
        <f t="shared" ca="1" si="326"/>
        <v>26.300000000000043</v>
      </c>
      <c r="C717" s="342"/>
      <c r="D717" s="359">
        <f t="shared" ca="1" si="327"/>
        <v>-0.39029517858270701</v>
      </c>
      <c r="E717" s="360">
        <f t="shared" ca="1" si="328"/>
        <v>-9.4798178286453627</v>
      </c>
      <c r="F717" s="357">
        <f t="shared" ca="1" si="329"/>
        <v>9.4878488811072117</v>
      </c>
      <c r="G717" s="359">
        <f t="shared" ca="1" si="330"/>
        <v>36.751174144802768</v>
      </c>
      <c r="H717" s="360">
        <f t="shared" ca="1" si="331"/>
        <v>-32.07178242531235</v>
      </c>
      <c r="I717" s="357">
        <f t="shared" ca="1" si="332"/>
        <v>48.777536109957353</v>
      </c>
      <c r="J717" s="359">
        <f t="shared" ca="1" si="333"/>
        <v>1133.1175455413938</v>
      </c>
      <c r="K717" s="360">
        <f t="shared" ca="1" si="334"/>
        <v>2657.0150204236515</v>
      </c>
      <c r="L717" s="357">
        <f t="shared" ca="1" si="319"/>
        <v>2888.5436106748762</v>
      </c>
      <c r="M717" s="359">
        <f t="shared" ca="1" si="335"/>
        <v>-0.71751091850926585</v>
      </c>
      <c r="N717" s="357">
        <f t="shared" ca="1" si="336"/>
        <v>-41.110347385136073</v>
      </c>
      <c r="O717" s="343"/>
      <c r="P717" s="363">
        <f t="shared" ca="1" si="337"/>
        <v>23</v>
      </c>
      <c r="Q717" s="357">
        <f t="shared" ca="1" si="338"/>
        <v>0</v>
      </c>
      <c r="R717" s="359">
        <f t="shared" ca="1" si="339"/>
        <v>0</v>
      </c>
      <c r="S717" s="360">
        <f t="shared" ca="1" si="340"/>
        <v>9.637999999999975</v>
      </c>
      <c r="T717" s="357">
        <f t="shared" ca="1" si="320"/>
        <v>94.548779999999766</v>
      </c>
      <c r="U717" s="364">
        <f t="shared" ca="1" si="321"/>
        <v>0</v>
      </c>
      <c r="V717" s="359">
        <f t="shared" ca="1" si="322"/>
        <v>0.93768559454235523</v>
      </c>
      <c r="W717" s="357">
        <f t="shared" ca="1" si="323"/>
        <v>5.0498279313899754</v>
      </c>
      <c r="X717" s="343"/>
      <c r="Y717" s="367" t="str">
        <f t="shared" ca="1" si="341"/>
        <v/>
      </c>
      <c r="Z717" s="368" t="str">
        <f t="shared" ca="1" si="342"/>
        <v/>
      </c>
      <c r="AA717" s="369" t="str">
        <f t="shared" ca="1" si="343"/>
        <v/>
      </c>
      <c r="AB717" s="344"/>
      <c r="AC717" s="363" t="e">
        <f t="shared" ca="1" si="344"/>
        <v>#N/A</v>
      </c>
      <c r="AD717" s="376" t="e">
        <f t="shared" ca="1" si="345"/>
        <v>#N/A</v>
      </c>
      <c r="AE717" s="377" t="e">
        <f t="shared" ca="1" si="324"/>
        <v>#N/A</v>
      </c>
      <c r="AF717" s="344"/>
      <c r="AG717" s="359">
        <f t="shared" ca="1" si="346"/>
        <v>5.8247128605387735</v>
      </c>
      <c r="AH717" s="357">
        <f t="shared" ca="1" si="347"/>
        <v>-0.51122460103693179</v>
      </c>
    </row>
    <row r="718" spans="1:34" x14ac:dyDescent="0.25">
      <c r="A718" s="402">
        <f t="shared" ca="1" si="325"/>
        <v>0.1</v>
      </c>
      <c r="B718" s="357">
        <f t="shared" ca="1" si="326"/>
        <v>26.400000000000045</v>
      </c>
      <c r="C718" s="342"/>
      <c r="D718" s="359">
        <f t="shared" ca="1" si="327"/>
        <v>-0.39476716045104948</v>
      </c>
      <c r="E718" s="360">
        <f t="shared" ca="1" si="328"/>
        <v>-9.4654970889158694</v>
      </c>
      <c r="F718" s="357">
        <f t="shared" ca="1" si="329"/>
        <v>9.4737255739885864</v>
      </c>
      <c r="G718" s="359">
        <f t="shared" ca="1" si="330"/>
        <v>36.71169742875766</v>
      </c>
      <c r="H718" s="360">
        <f t="shared" ca="1" si="331"/>
        <v>-33.018332134203938</v>
      </c>
      <c r="I718" s="357">
        <f t="shared" ca="1" si="332"/>
        <v>49.375692248567574</v>
      </c>
      <c r="J718" s="359">
        <f t="shared" ca="1" si="333"/>
        <v>1136.7906891200719</v>
      </c>
      <c r="K718" s="360">
        <f t="shared" ca="1" si="334"/>
        <v>2653.7605146956757</v>
      </c>
      <c r="L718" s="357">
        <f t="shared" ca="1" si="319"/>
        <v>2886.9946207480102</v>
      </c>
      <c r="M718" s="359">
        <f t="shared" ca="1" si="335"/>
        <v>-0.73248097332793494</v>
      </c>
      <c r="N718" s="357">
        <f t="shared" ca="1" si="336"/>
        <v>-41.968068345325293</v>
      </c>
      <c r="O718" s="343"/>
      <c r="P718" s="363">
        <f t="shared" ca="1" si="337"/>
        <v>23</v>
      </c>
      <c r="Q718" s="357">
        <f t="shared" ca="1" si="338"/>
        <v>0</v>
      </c>
      <c r="R718" s="359">
        <f t="shared" ca="1" si="339"/>
        <v>0</v>
      </c>
      <c r="S718" s="360">
        <f t="shared" ca="1" si="340"/>
        <v>9.637999999999975</v>
      </c>
      <c r="T718" s="357">
        <f t="shared" ca="1" si="320"/>
        <v>94.548779999999766</v>
      </c>
      <c r="U718" s="364">
        <f t="shared" ca="1" si="321"/>
        <v>0</v>
      </c>
      <c r="V718" s="359">
        <f t="shared" ca="1" si="322"/>
        <v>0.93799629230269765</v>
      </c>
      <c r="W718" s="357">
        <f t="shared" ca="1" si="323"/>
        <v>5.176153352421732</v>
      </c>
      <c r="X718" s="343"/>
      <c r="Y718" s="367" t="str">
        <f t="shared" ca="1" si="341"/>
        <v/>
      </c>
      <c r="Z718" s="368" t="str">
        <f t="shared" ca="1" si="342"/>
        <v/>
      </c>
      <c r="AA718" s="369" t="str">
        <f t="shared" ca="1" si="343"/>
        <v/>
      </c>
      <c r="AB718" s="344"/>
      <c r="AC718" s="363" t="e">
        <f t="shared" ca="1" si="344"/>
        <v>#N/A</v>
      </c>
      <c r="AD718" s="376" t="e">
        <f t="shared" ca="1" si="345"/>
        <v>#N/A</v>
      </c>
      <c r="AE718" s="377" t="e">
        <f t="shared" ca="1" si="324"/>
        <v>#N/A</v>
      </c>
      <c r="AF718" s="344"/>
      <c r="AG718" s="359">
        <f t="shared" ca="1" si="346"/>
        <v>5.9262363287706483</v>
      </c>
      <c r="AH718" s="357">
        <f t="shared" ca="1" si="347"/>
        <v>-0.52394977499377349</v>
      </c>
    </row>
    <row r="719" spans="1:34" x14ac:dyDescent="0.25">
      <c r="A719" s="402">
        <f t="shared" ca="1" si="325"/>
        <v>0.1</v>
      </c>
      <c r="B719" s="357">
        <f t="shared" ca="1" si="326"/>
        <v>26.500000000000046</v>
      </c>
      <c r="C719" s="342"/>
      <c r="D719" s="359">
        <f t="shared" ca="1" si="327"/>
        <v>-0.39931118974301916</v>
      </c>
      <c r="E719" s="360">
        <f t="shared" ca="1" si="328"/>
        <v>-9.4508613490720492</v>
      </c>
      <c r="F719" s="357">
        <f t="shared" ca="1" si="329"/>
        <v>9.4592932963111966</v>
      </c>
      <c r="G719" s="359">
        <f t="shared" ca="1" si="330"/>
        <v>36.671766309783358</v>
      </c>
      <c r="H719" s="360">
        <f t="shared" ca="1" si="331"/>
        <v>-33.963418269111145</v>
      </c>
      <c r="I719" s="357">
        <f t="shared" ca="1" si="332"/>
        <v>49.983319465617271</v>
      </c>
      <c r="J719" s="359">
        <f t="shared" ca="1" si="333"/>
        <v>1140.459862306999</v>
      </c>
      <c r="K719" s="360">
        <f t="shared" ca="1" si="334"/>
        <v>2650.4114271755102</v>
      </c>
      <c r="L719" s="357">
        <f t="shared" ca="1" si="319"/>
        <v>2885.3646963314404</v>
      </c>
      <c r="M719" s="359">
        <f t="shared" ca="1" si="335"/>
        <v>-0.74707417536359344</v>
      </c>
      <c r="N719" s="357">
        <f t="shared" ca="1" si="336"/>
        <v>-42.804197231550248</v>
      </c>
      <c r="O719" s="343"/>
      <c r="P719" s="363">
        <f t="shared" ca="1" si="337"/>
        <v>23</v>
      </c>
      <c r="Q719" s="357">
        <f t="shared" ca="1" si="338"/>
        <v>0</v>
      </c>
      <c r="R719" s="359">
        <f t="shared" ca="1" si="339"/>
        <v>0</v>
      </c>
      <c r="S719" s="360">
        <f t="shared" ca="1" si="340"/>
        <v>9.637999999999975</v>
      </c>
      <c r="T719" s="357">
        <f t="shared" ca="1" si="320"/>
        <v>94.548779999999766</v>
      </c>
      <c r="U719" s="364">
        <f t="shared" ca="1" si="321"/>
        <v>0</v>
      </c>
      <c r="V719" s="359">
        <f t="shared" ca="1" si="322"/>
        <v>0.93831611271355464</v>
      </c>
      <c r="W719" s="357">
        <f t="shared" ca="1" si="323"/>
        <v>5.3061433873708364</v>
      </c>
      <c r="X719" s="343"/>
      <c r="Y719" s="367" t="str">
        <f t="shared" ca="1" si="341"/>
        <v/>
      </c>
      <c r="Z719" s="368" t="str">
        <f t="shared" ca="1" si="342"/>
        <v/>
      </c>
      <c r="AA719" s="369" t="str">
        <f t="shared" ca="1" si="343"/>
        <v/>
      </c>
      <c r="AB719" s="344"/>
      <c r="AC719" s="363" t="e">
        <f t="shared" ca="1" si="344"/>
        <v>#N/A</v>
      </c>
      <c r="AD719" s="376" t="e">
        <f t="shared" ca="1" si="345"/>
        <v>#N/A</v>
      </c>
      <c r="AE719" s="377" t="e">
        <f t="shared" ca="1" si="324"/>
        <v>#N/A</v>
      </c>
      <c r="AF719" s="344"/>
      <c r="AG719" s="359">
        <f t="shared" ca="1" si="346"/>
        <v>6.0230504901698119</v>
      </c>
      <c r="AH719" s="357">
        <f t="shared" ca="1" si="347"/>
        <v>-0.53705679107924309</v>
      </c>
    </row>
    <row r="720" spans="1:34" x14ac:dyDescent="0.25">
      <c r="A720" s="402">
        <f t="shared" ca="1" si="325"/>
        <v>0.1</v>
      </c>
      <c r="B720" s="357">
        <f t="shared" ca="1" si="326"/>
        <v>26.600000000000048</v>
      </c>
      <c r="C720" s="342"/>
      <c r="D720" s="359">
        <f t="shared" ca="1" si="327"/>
        <v>-0.40392319531920012</v>
      </c>
      <c r="E720" s="360">
        <f t="shared" ca="1" si="328"/>
        <v>-9.4359080537508238</v>
      </c>
      <c r="F720" s="357">
        <f t="shared" ca="1" si="329"/>
        <v>9.444549472926516</v>
      </c>
      <c r="G720" s="359">
        <f t="shared" ca="1" si="330"/>
        <v>36.63137399025144</v>
      </c>
      <c r="H720" s="360">
        <f t="shared" ca="1" si="331"/>
        <v>-34.907009074486226</v>
      </c>
      <c r="I720" s="357">
        <f t="shared" ca="1" si="332"/>
        <v>50.599968803744666</v>
      </c>
      <c r="J720" s="359">
        <f t="shared" ca="1" si="333"/>
        <v>1144.1250193220008</v>
      </c>
      <c r="K720" s="360">
        <f t="shared" ca="1" si="334"/>
        <v>2646.9679058083302</v>
      </c>
      <c r="L720" s="357">
        <f t="shared" ca="1" si="319"/>
        <v>2883.6541322110575</v>
      </c>
      <c r="M720" s="359">
        <f t="shared" ca="1" si="335"/>
        <v>-0.76129877781997835</v>
      </c>
      <c r="N720" s="357">
        <f t="shared" ca="1" si="336"/>
        <v>-43.619206917552525</v>
      </c>
      <c r="O720" s="343"/>
      <c r="P720" s="363">
        <f t="shared" ca="1" si="337"/>
        <v>23</v>
      </c>
      <c r="Q720" s="357">
        <f t="shared" ca="1" si="338"/>
        <v>0</v>
      </c>
      <c r="R720" s="359">
        <f t="shared" ca="1" si="339"/>
        <v>0</v>
      </c>
      <c r="S720" s="360">
        <f t="shared" ca="1" si="340"/>
        <v>9.637999999999975</v>
      </c>
      <c r="T720" s="357">
        <f t="shared" ca="1" si="320"/>
        <v>94.548779999999766</v>
      </c>
      <c r="U720" s="364">
        <f t="shared" ca="1" si="321"/>
        <v>0</v>
      </c>
      <c r="V720" s="359">
        <f t="shared" ca="1" si="322"/>
        <v>0.93864504969483509</v>
      </c>
      <c r="W720" s="357">
        <f t="shared" ca="1" si="323"/>
        <v>5.4397821812898099</v>
      </c>
      <c r="X720" s="343"/>
      <c r="Y720" s="367" t="str">
        <f t="shared" ca="1" si="341"/>
        <v/>
      </c>
      <c r="Z720" s="368" t="str">
        <f t="shared" ca="1" si="342"/>
        <v/>
      </c>
      <c r="AA720" s="369" t="str">
        <f t="shared" ca="1" si="343"/>
        <v/>
      </c>
      <c r="AB720" s="344"/>
      <c r="AC720" s="363" t="e">
        <f t="shared" ca="1" si="344"/>
        <v>#N/A</v>
      </c>
      <c r="AD720" s="376" t="e">
        <f t="shared" ca="1" si="345"/>
        <v>#N/A</v>
      </c>
      <c r="AE720" s="377" t="e">
        <f t="shared" ca="1" si="324"/>
        <v>#N/A</v>
      </c>
      <c r="AF720" s="344"/>
      <c r="AG720" s="359">
        <f t="shared" ca="1" si="346"/>
        <v>6.1153024292999953</v>
      </c>
      <c r="AH720" s="357">
        <f t="shared" ca="1" si="347"/>
        <v>-0.55054403272160723</v>
      </c>
    </row>
    <row r="721" spans="1:34" x14ac:dyDescent="0.25">
      <c r="A721" s="402">
        <f t="shared" ca="1" si="325"/>
        <v>0.1</v>
      </c>
      <c r="B721" s="357">
        <f t="shared" ca="1" si="326"/>
        <v>26.700000000000049</v>
      </c>
      <c r="C721" s="342"/>
      <c r="D721" s="359">
        <f t="shared" ca="1" si="327"/>
        <v>-0.40859923368563383</v>
      </c>
      <c r="E721" s="360">
        <f t="shared" ca="1" si="328"/>
        <v>-9.4206349392766899</v>
      </c>
      <c r="F721" s="357">
        <f t="shared" ca="1" si="329"/>
        <v>9.4294918205006795</v>
      </c>
      <c r="G721" s="359">
        <f t="shared" ca="1" si="330"/>
        <v>36.590514066882875</v>
      </c>
      <c r="H721" s="360">
        <f t="shared" ca="1" si="331"/>
        <v>-35.849072568413895</v>
      </c>
      <c r="I721" s="357">
        <f t="shared" ca="1" si="332"/>
        <v>51.22520594096386</v>
      </c>
      <c r="J721" s="359">
        <f t="shared" ca="1" si="333"/>
        <v>1147.7861137248574</v>
      </c>
      <c r="K721" s="360">
        <f t="shared" ca="1" si="334"/>
        <v>2643.4301017261851</v>
      </c>
      <c r="L721" s="357">
        <f t="shared" ca="1" si="319"/>
        <v>2881.8632281167893</v>
      </c>
      <c r="M721" s="359">
        <f t="shared" ca="1" si="335"/>
        <v>-0.7751632125505783</v>
      </c>
      <c r="N721" s="357">
        <f t="shared" ca="1" si="336"/>
        <v>-44.413580512950503</v>
      </c>
      <c r="O721" s="343"/>
      <c r="P721" s="363">
        <f t="shared" ca="1" si="337"/>
        <v>23</v>
      </c>
      <c r="Q721" s="357">
        <f t="shared" ca="1" si="338"/>
        <v>0</v>
      </c>
      <c r="R721" s="359">
        <f t="shared" ca="1" si="339"/>
        <v>0</v>
      </c>
      <c r="S721" s="360">
        <f t="shared" ca="1" si="340"/>
        <v>9.637999999999975</v>
      </c>
      <c r="T721" s="357">
        <f t="shared" ca="1" si="320"/>
        <v>94.548779999999766</v>
      </c>
      <c r="U721" s="364">
        <f t="shared" ca="1" si="321"/>
        <v>0</v>
      </c>
      <c r="V721" s="359">
        <f t="shared" ca="1" si="322"/>
        <v>0.9389830970778833</v>
      </c>
      <c r="W721" s="357">
        <f t="shared" ca="1" si="323"/>
        <v>5.5770536005949394</v>
      </c>
      <c r="X721" s="343"/>
      <c r="Y721" s="367" t="str">
        <f t="shared" ca="1" si="341"/>
        <v/>
      </c>
      <c r="Z721" s="368" t="str">
        <f t="shared" ca="1" si="342"/>
        <v/>
      </c>
      <c r="AA721" s="369" t="str">
        <f t="shared" ca="1" si="343"/>
        <v/>
      </c>
      <c r="AB721" s="344"/>
      <c r="AC721" s="363" t="e">
        <f t="shared" ca="1" si="344"/>
        <v>#N/A</v>
      </c>
      <c r="AD721" s="376" t="e">
        <f t="shared" ca="1" si="345"/>
        <v>#N/A</v>
      </c>
      <c r="AE721" s="377" t="e">
        <f t="shared" ca="1" si="324"/>
        <v>#N/A</v>
      </c>
      <c r="AF721" s="344"/>
      <c r="AG721" s="359">
        <f t="shared" ca="1" si="346"/>
        <v>6.2031389621777038</v>
      </c>
      <c r="AH721" s="357">
        <f t="shared" ca="1" si="347"/>
        <v>-0.56440985487547457</v>
      </c>
    </row>
    <row r="722" spans="1:34" x14ac:dyDescent="0.25">
      <c r="A722" s="402">
        <f t="shared" ca="1" si="325"/>
        <v>0.1</v>
      </c>
      <c r="B722" s="357">
        <f t="shared" ca="1" si="326"/>
        <v>26.80000000000005</v>
      </c>
      <c r="C722" s="342"/>
      <c r="D722" s="359">
        <f t="shared" ca="1" si="327"/>
        <v>-0.41333548807821552</v>
      </c>
      <c r="E722" s="360">
        <f t="shared" ca="1" si="328"/>
        <v>-9.4050400182918494</v>
      </c>
      <c r="F722" s="357">
        <f t="shared" ca="1" si="329"/>
        <v>9.4141183321315864</v>
      </c>
      <c r="G722" s="359">
        <f t="shared" ca="1" si="330"/>
        <v>36.549180518075055</v>
      </c>
      <c r="H722" s="360">
        <f t="shared" ca="1" si="331"/>
        <v>-36.789576570243078</v>
      </c>
      <c r="I722" s="357">
        <f t="shared" ca="1" si="332"/>
        <v>51.858611056994341</v>
      </c>
      <c r="J722" s="359">
        <f t="shared" ca="1" si="333"/>
        <v>1151.4430984541052</v>
      </c>
      <c r="K722" s="360">
        <f t="shared" ca="1" si="334"/>
        <v>2639.7981692692524</v>
      </c>
      <c r="L722" s="357">
        <f t="shared" ca="1" si="319"/>
        <v>2879.992288783928</v>
      </c>
      <c r="M722" s="359">
        <f t="shared" ca="1" si="335"/>
        <v>-0.78867603720846635</v>
      </c>
      <c r="N722" s="357">
        <f t="shared" ca="1" si="336"/>
        <v>-45.1878083351478</v>
      </c>
      <c r="O722" s="343"/>
      <c r="P722" s="363">
        <f t="shared" ca="1" si="337"/>
        <v>23</v>
      </c>
      <c r="Q722" s="357">
        <f t="shared" ca="1" si="338"/>
        <v>0</v>
      </c>
      <c r="R722" s="359">
        <f t="shared" ca="1" si="339"/>
        <v>0</v>
      </c>
      <c r="S722" s="360">
        <f t="shared" ca="1" si="340"/>
        <v>9.637999999999975</v>
      </c>
      <c r="T722" s="357">
        <f t="shared" ca="1" si="320"/>
        <v>94.548779999999766</v>
      </c>
      <c r="U722" s="364">
        <f t="shared" ca="1" si="321"/>
        <v>0</v>
      </c>
      <c r="V722" s="359">
        <f t="shared" ca="1" si="322"/>
        <v>0.93933024860228165</v>
      </c>
      <c r="W722" s="357">
        <f t="shared" ca="1" si="323"/>
        <v>5.7179412293335439</v>
      </c>
      <c r="X722" s="343"/>
      <c r="Y722" s="367" t="str">
        <f t="shared" ca="1" si="341"/>
        <v/>
      </c>
      <c r="Z722" s="368" t="str">
        <f t="shared" ca="1" si="342"/>
        <v/>
      </c>
      <c r="AA722" s="369" t="str">
        <f t="shared" ca="1" si="343"/>
        <v/>
      </c>
      <c r="AB722" s="344"/>
      <c r="AC722" s="363" t="e">
        <f t="shared" ca="1" si="344"/>
        <v>#N/A</v>
      </c>
      <c r="AD722" s="376" t="e">
        <f t="shared" ca="1" si="345"/>
        <v>#N/A</v>
      </c>
      <c r="AE722" s="377" t="e">
        <f t="shared" ca="1" si="324"/>
        <v>#N/A</v>
      </c>
      <c r="AF722" s="344"/>
      <c r="AG722" s="359">
        <f t="shared" ca="1" si="346"/>
        <v>6.2867058944547018</v>
      </c>
      <c r="AH722" s="357">
        <f t="shared" ca="1" si="347"/>
        <v>-0.5786525835852826</v>
      </c>
    </row>
    <row r="723" spans="1:34" x14ac:dyDescent="0.25">
      <c r="A723" s="402">
        <f t="shared" ca="1" si="325"/>
        <v>0.1</v>
      </c>
      <c r="B723" s="357">
        <f t="shared" ca="1" si="326"/>
        <v>26.900000000000052</v>
      </c>
      <c r="C723" s="342"/>
      <c r="D723" s="359">
        <f t="shared" ca="1" si="327"/>
        <v>-0.41812826700684197</v>
      </c>
      <c r="E723" s="360">
        <f t="shared" ca="1" si="328"/>
        <v>-9.3891215650478443</v>
      </c>
      <c r="F723" s="357">
        <f t="shared" ca="1" si="329"/>
        <v>9.3984272626283918</v>
      </c>
      <c r="G723" s="359">
        <f t="shared" ca="1" si="330"/>
        <v>36.50736769137437</v>
      </c>
      <c r="H723" s="360">
        <f t="shared" ca="1" si="331"/>
        <v>-37.728488726747862</v>
      </c>
      <c r="I723" s="357">
        <f t="shared" ca="1" si="332"/>
        <v>52.499778641033771</v>
      </c>
      <c r="J723" s="359">
        <f t="shared" ca="1" si="333"/>
        <v>1155.0959258645778</v>
      </c>
      <c r="K723" s="360">
        <f t="shared" ca="1" si="334"/>
        <v>2636.072266004403</v>
      </c>
      <c r="L723" s="357">
        <f t="shared" ca="1" si="319"/>
        <v>2878.0416240121572</v>
      </c>
      <c r="M723" s="359">
        <f t="shared" ca="1" si="335"/>
        <v>-0.80184588794238076</v>
      </c>
      <c r="N723" s="357">
        <f t="shared" ca="1" si="336"/>
        <v>-45.942385199018361</v>
      </c>
      <c r="O723" s="343"/>
      <c r="P723" s="363">
        <f t="shared" ca="1" si="337"/>
        <v>23</v>
      </c>
      <c r="Q723" s="357">
        <f t="shared" ca="1" si="338"/>
        <v>0</v>
      </c>
      <c r="R723" s="359">
        <f t="shared" ca="1" si="339"/>
        <v>0</v>
      </c>
      <c r="S723" s="360">
        <f t="shared" ca="1" si="340"/>
        <v>9.637999999999975</v>
      </c>
      <c r="T723" s="357">
        <f t="shared" ca="1" si="320"/>
        <v>94.548779999999766</v>
      </c>
      <c r="U723" s="364">
        <f t="shared" ca="1" si="321"/>
        <v>0</v>
      </c>
      <c r="V723" s="359">
        <f t="shared" ca="1" si="322"/>
        <v>0.93968649791288239</v>
      </c>
      <c r="W723" s="357">
        <f t="shared" ca="1" si="323"/>
        <v>5.8624283659001382</v>
      </c>
      <c r="X723" s="343"/>
      <c r="Y723" s="367" t="str">
        <f t="shared" ca="1" si="341"/>
        <v/>
      </c>
      <c r="Z723" s="368" t="str">
        <f t="shared" ca="1" si="342"/>
        <v/>
      </c>
      <c r="AA723" s="369" t="str">
        <f t="shared" ca="1" si="343"/>
        <v/>
      </c>
      <c r="AB723" s="344"/>
      <c r="AC723" s="363" t="e">
        <f t="shared" ca="1" si="344"/>
        <v>#N/A</v>
      </c>
      <c r="AD723" s="376" t="e">
        <f t="shared" ca="1" si="345"/>
        <v>#N/A</v>
      </c>
      <c r="AE723" s="377" t="e">
        <f t="shared" ca="1" si="324"/>
        <v>#N/A</v>
      </c>
      <c r="AF723" s="344"/>
      <c r="AG723" s="359">
        <f t="shared" ca="1" si="346"/>
        <v>6.3661473862319777</v>
      </c>
      <c r="AH723" s="357">
        <f t="shared" ca="1" si="347"/>
        <v>-0.59327051559800359</v>
      </c>
    </row>
    <row r="724" spans="1:34" x14ac:dyDescent="0.25">
      <c r="A724" s="402">
        <f t="shared" ca="1" si="325"/>
        <v>0.1</v>
      </c>
      <c r="B724" s="357">
        <f t="shared" ca="1" si="326"/>
        <v>27.000000000000053</v>
      </c>
      <c r="C724" s="342"/>
      <c r="D724" s="359">
        <f t="shared" ca="1" si="327"/>
        <v>-0.42297400234272886</v>
      </c>
      <c r="E724" s="360">
        <f t="shared" ca="1" si="328"/>
        <v>-9.3728781013738907</v>
      </c>
      <c r="F724" s="357">
        <f t="shared" ca="1" si="329"/>
        <v>9.3824171144685344</v>
      </c>
      <c r="G724" s="359">
        <f t="shared" ca="1" si="330"/>
        <v>36.465070291140094</v>
      </c>
      <c r="H724" s="360">
        <f t="shared" ca="1" si="331"/>
        <v>-38.665776536885254</v>
      </c>
      <c r="I724" s="357">
        <f t="shared" ca="1" si="332"/>
        <v>53.148317250296209</v>
      </c>
      <c r="J724" s="359">
        <f t="shared" ca="1" si="333"/>
        <v>1158.7445477637036</v>
      </c>
      <c r="K724" s="360">
        <f t="shared" ca="1" si="334"/>
        <v>2632.2525527412213</v>
      </c>
      <c r="L724" s="357">
        <f t="shared" ca="1" si="319"/>
        <v>2876.0115487224293</v>
      </c>
      <c r="M724" s="359">
        <f t="shared" ca="1" si="335"/>
        <v>-0.81468143731267084</v>
      </c>
      <c r="N724" s="357">
        <f t="shared" ca="1" si="336"/>
        <v>-46.677808005667785</v>
      </c>
      <c r="O724" s="343"/>
      <c r="P724" s="363">
        <f t="shared" ca="1" si="337"/>
        <v>23</v>
      </c>
      <c r="Q724" s="357">
        <f t="shared" ca="1" si="338"/>
        <v>0</v>
      </c>
      <c r="R724" s="359">
        <f t="shared" ca="1" si="339"/>
        <v>0</v>
      </c>
      <c r="S724" s="360">
        <f t="shared" ca="1" si="340"/>
        <v>9.637999999999975</v>
      </c>
      <c r="T724" s="357">
        <f t="shared" ca="1" si="320"/>
        <v>94.548779999999766</v>
      </c>
      <c r="U724" s="364">
        <f t="shared" ca="1" si="321"/>
        <v>0</v>
      </c>
      <c r="V724" s="359">
        <f t="shared" ca="1" si="322"/>
        <v>0.94005183855705576</v>
      </c>
      <c r="W724" s="357">
        <f t="shared" ca="1" si="323"/>
        <v>6.0104980201771774</v>
      </c>
      <c r="X724" s="343"/>
      <c r="Y724" s="367" t="str">
        <f t="shared" ca="1" si="341"/>
        <v/>
      </c>
      <c r="Z724" s="368" t="str">
        <f t="shared" ca="1" si="342"/>
        <v/>
      </c>
      <c r="AA724" s="369" t="str">
        <f t="shared" ca="1" si="343"/>
        <v/>
      </c>
      <c r="AB724" s="344"/>
      <c r="AC724" s="363">
        <f t="shared" ca="1" si="344"/>
        <v>27.000000000000053</v>
      </c>
      <c r="AD724" s="376">
        <f t="shared" ca="1" si="345"/>
        <v>1158.7445477637036</v>
      </c>
      <c r="AE724" s="377" t="e">
        <f t="shared" ca="1" si="324"/>
        <v>#N/A</v>
      </c>
      <c r="AF724" s="344"/>
      <c r="AG724" s="359">
        <f t="shared" ca="1" si="346"/>
        <v>6.4416054145631225</v>
      </c>
      <c r="AH724" s="357">
        <f t="shared" ca="1" si="347"/>
        <v>-0.60826191802242724</v>
      </c>
    </row>
    <row r="725" spans="1:34" x14ac:dyDescent="0.25">
      <c r="A725" s="402">
        <f t="shared" ca="1" si="325"/>
        <v>0.1</v>
      </c>
      <c r="B725" s="357">
        <f t="shared" ca="1" si="326"/>
        <v>27.100000000000055</v>
      </c>
      <c r="C725" s="342"/>
      <c r="D725" s="359">
        <f t="shared" ca="1" si="327"/>
        <v>-0.42786924702479501</v>
      </c>
      <c r="E725" s="360">
        <f t="shared" ca="1" si="328"/>
        <v>-9.3563083833274359</v>
      </c>
      <c r="F725" s="357">
        <f t="shared" ca="1" si="329"/>
        <v>9.3660866244378091</v>
      </c>
      <c r="G725" s="359">
        <f t="shared" ca="1" si="330"/>
        <v>36.422283366437611</v>
      </c>
      <c r="H725" s="360">
        <f t="shared" ca="1" si="331"/>
        <v>-39.601407375217995</v>
      </c>
      <c r="I725" s="357">
        <f t="shared" ca="1" si="332"/>
        <v>53.803849227755521</v>
      </c>
      <c r="J725" s="359">
        <f t="shared" ca="1" si="333"/>
        <v>1162.3889154465826</v>
      </c>
      <c r="K725" s="360">
        <f t="shared" ca="1" si="334"/>
        <v>2628.3391935456161</v>
      </c>
      <c r="L725" s="357">
        <f t="shared" ca="1" si="319"/>
        <v>2873.9023830118344</v>
      </c>
      <c r="M725" s="359">
        <f t="shared" ca="1" si="335"/>
        <v>-0.82719135708399083</v>
      </c>
      <c r="N725" s="357">
        <f t="shared" ca="1" si="336"/>
        <v>-47.394573610611687</v>
      </c>
      <c r="O725" s="343"/>
      <c r="P725" s="363">
        <f t="shared" ca="1" si="337"/>
        <v>23</v>
      </c>
      <c r="Q725" s="357">
        <f t="shared" ca="1" si="338"/>
        <v>0</v>
      </c>
      <c r="R725" s="359">
        <f t="shared" ca="1" si="339"/>
        <v>0</v>
      </c>
      <c r="S725" s="360">
        <f t="shared" ca="1" si="340"/>
        <v>9.637999999999975</v>
      </c>
      <c r="T725" s="357">
        <f t="shared" ca="1" si="320"/>
        <v>94.548779999999766</v>
      </c>
      <c r="U725" s="364">
        <f t="shared" ca="1" si="321"/>
        <v>0</v>
      </c>
      <c r="V725" s="359">
        <f t="shared" ca="1" si="322"/>
        <v>0.94042626398213502</v>
      </c>
      <c r="W725" s="357">
        <f t="shared" ca="1" si="323"/>
        <v>6.1621329110772365</v>
      </c>
      <c r="X725" s="343"/>
      <c r="Y725" s="367" t="str">
        <f t="shared" ca="1" si="341"/>
        <v/>
      </c>
      <c r="Z725" s="368" t="str">
        <f t="shared" ca="1" si="342"/>
        <v/>
      </c>
      <c r="AA725" s="369" t="str">
        <f t="shared" ca="1" si="343"/>
        <v/>
      </c>
      <c r="AB725" s="344"/>
      <c r="AC725" s="363" t="e">
        <f t="shared" ca="1" si="344"/>
        <v>#N/A</v>
      </c>
      <c r="AD725" s="376" t="e">
        <f t="shared" ca="1" si="345"/>
        <v>#N/A</v>
      </c>
      <c r="AE725" s="377" t="e">
        <f t="shared" ca="1" si="324"/>
        <v>#N/A</v>
      </c>
      <c r="AF725" s="344"/>
      <c r="AG725" s="359">
        <f t="shared" ca="1" si="346"/>
        <v>6.5132193247344832</v>
      </c>
      <c r="AH725" s="357">
        <f t="shared" ca="1" si="347"/>
        <v>-0.62362502803249564</v>
      </c>
    </row>
    <row r="726" spans="1:34" x14ac:dyDescent="0.25">
      <c r="A726" s="402">
        <f t="shared" ca="1" si="325"/>
        <v>0.1</v>
      </c>
      <c r="B726" s="357">
        <f t="shared" ca="1" si="326"/>
        <v>27.200000000000056</v>
      </c>
      <c r="C726" s="342"/>
      <c r="D726" s="359">
        <f t="shared" ca="1" si="327"/>
        <v>-0.43281067245362953</v>
      </c>
      <c r="E726" s="360">
        <f t="shared" ca="1" si="328"/>
        <v>-9.3394113885245247</v>
      </c>
      <c r="F726" s="357">
        <f t="shared" ca="1" si="329"/>
        <v>9.3494347509510618</v>
      </c>
      <c r="G726" s="359">
        <f t="shared" ca="1" si="330"/>
        <v>36.379002299192251</v>
      </c>
      <c r="H726" s="360">
        <f t="shared" ca="1" si="331"/>
        <v>-40.535348514070449</v>
      </c>
      <c r="I726" s="357">
        <f t="shared" ca="1" si="332"/>
        <v>54.466010386678668</v>
      </c>
      <c r="J726" s="359">
        <f t="shared" ca="1" si="333"/>
        <v>1166.028979729864</v>
      </c>
      <c r="K726" s="360">
        <f t="shared" ca="1" si="334"/>
        <v>2624.3323557511517</v>
      </c>
      <c r="L726" s="357">
        <f t="shared" ca="1" si="319"/>
        <v>2871.7144522066005</v>
      </c>
      <c r="M726" s="359">
        <f t="shared" ca="1" si="335"/>
        <v>-0.83938428554405442</v>
      </c>
      <c r="N726" s="357">
        <f t="shared" ca="1" si="336"/>
        <v>-48.093176951278274</v>
      </c>
      <c r="O726" s="343"/>
      <c r="P726" s="363">
        <f t="shared" ca="1" si="337"/>
        <v>23</v>
      </c>
      <c r="Q726" s="357">
        <f t="shared" ca="1" si="338"/>
        <v>0</v>
      </c>
      <c r="R726" s="359">
        <f t="shared" ca="1" si="339"/>
        <v>0</v>
      </c>
      <c r="S726" s="360">
        <f t="shared" ca="1" si="340"/>
        <v>9.637999999999975</v>
      </c>
      <c r="T726" s="357">
        <f t="shared" ca="1" si="320"/>
        <v>94.548779999999766</v>
      </c>
      <c r="U726" s="364">
        <f t="shared" ca="1" si="321"/>
        <v>0</v>
      </c>
      <c r="V726" s="359">
        <f t="shared" ca="1" si="322"/>
        <v>0.94080976753305612</v>
      </c>
      <c r="W726" s="357">
        <f t="shared" ca="1" si="323"/>
        <v>6.3173154644647189</v>
      </c>
      <c r="X726" s="343"/>
      <c r="Y726" s="367" t="str">
        <f t="shared" ca="1" si="341"/>
        <v/>
      </c>
      <c r="Z726" s="368" t="str">
        <f t="shared" ca="1" si="342"/>
        <v/>
      </c>
      <c r="AA726" s="369" t="str">
        <f t="shared" ca="1" si="343"/>
        <v/>
      </c>
      <c r="AB726" s="344"/>
      <c r="AC726" s="363" t="e">
        <f t="shared" ca="1" si="344"/>
        <v>#N/A</v>
      </c>
      <c r="AD726" s="376" t="e">
        <f t="shared" ca="1" si="345"/>
        <v>#N/A</v>
      </c>
      <c r="AE726" s="377" t="e">
        <f t="shared" ca="1" si="324"/>
        <v>#N/A</v>
      </c>
      <c r="AF726" s="344"/>
      <c r="AG726" s="359">
        <f t="shared" ca="1" si="346"/>
        <v>6.5811254616133121</v>
      </c>
      <c r="AH726" s="357">
        <f t="shared" ca="1" si="347"/>
        <v>-0.63935805261229017</v>
      </c>
    </row>
    <row r="727" spans="1:34" x14ac:dyDescent="0.25">
      <c r="A727" s="402">
        <f t="shared" ca="1" si="325"/>
        <v>0.1</v>
      </c>
      <c r="B727" s="357">
        <f t="shared" ca="1" si="326"/>
        <v>27.300000000000058</v>
      </c>
      <c r="C727" s="342"/>
      <c r="D727" s="359">
        <f t="shared" ca="1" si="327"/>
        <v>-0.43779506563443682</v>
      </c>
      <c r="E727" s="360">
        <f t="shared" ca="1" si="328"/>
        <v>-9.3221863041409954</v>
      </c>
      <c r="F727" s="357">
        <f t="shared" ca="1" si="329"/>
        <v>9.3324606620444861</v>
      </c>
      <c r="G727" s="359">
        <f t="shared" ca="1" si="330"/>
        <v>36.335222792628805</v>
      </c>
      <c r="H727" s="360">
        <f t="shared" ca="1" si="331"/>
        <v>-41.467567144484548</v>
      </c>
      <c r="I727" s="357">
        <f t="shared" ca="1" si="332"/>
        <v>55.134449668717167</v>
      </c>
      <c r="J727" s="359">
        <f t="shared" ca="1" si="333"/>
        <v>1169.6646909844551</v>
      </c>
      <c r="K727" s="360">
        <f t="shared" ca="1" si="334"/>
        <v>2620.2322099682237</v>
      </c>
      <c r="L727" s="357">
        <f t="shared" ca="1" si="319"/>
        <v>2869.4480869133567</v>
      </c>
      <c r="M727" s="359">
        <f t="shared" ca="1" si="335"/>
        <v>-0.8512687989976212</v>
      </c>
      <c r="N727" s="357">
        <f t="shared" ca="1" si="336"/>
        <v>-48.774109413734095</v>
      </c>
      <c r="O727" s="343"/>
      <c r="P727" s="363">
        <f t="shared" ca="1" si="337"/>
        <v>23</v>
      </c>
      <c r="Q727" s="357">
        <f t="shared" ca="1" si="338"/>
        <v>0</v>
      </c>
      <c r="R727" s="359">
        <f t="shared" ca="1" si="339"/>
        <v>0</v>
      </c>
      <c r="S727" s="360">
        <f t="shared" ca="1" si="340"/>
        <v>9.637999999999975</v>
      </c>
      <c r="T727" s="357">
        <f t="shared" ca="1" si="320"/>
        <v>94.548779999999766</v>
      </c>
      <c r="U727" s="364">
        <f t="shared" ca="1" si="321"/>
        <v>0</v>
      </c>
      <c r="V727" s="359">
        <f t="shared" ca="1" si="322"/>
        <v>0.94120234245017209</v>
      </c>
      <c r="W727" s="357">
        <f t="shared" ca="1" si="323"/>
        <v>6.4760278114363379</v>
      </c>
      <c r="X727" s="343"/>
      <c r="Y727" s="367" t="str">
        <f t="shared" ca="1" si="341"/>
        <v/>
      </c>
      <c r="Z727" s="368" t="str">
        <f t="shared" ca="1" si="342"/>
        <v/>
      </c>
      <c r="AA727" s="369" t="str">
        <f t="shared" ca="1" si="343"/>
        <v/>
      </c>
      <c r="AB727" s="344"/>
      <c r="AC727" s="363" t="e">
        <f t="shared" ca="1" si="344"/>
        <v>#N/A</v>
      </c>
      <c r="AD727" s="376" t="e">
        <f t="shared" ca="1" si="345"/>
        <v>#N/A</v>
      </c>
      <c r="AE727" s="377" t="e">
        <f t="shared" ca="1" si="324"/>
        <v>#N/A</v>
      </c>
      <c r="AF727" s="344"/>
      <c r="AG727" s="359">
        <f t="shared" ca="1" si="346"/>
        <v>6.6454568726900121</v>
      </c>
      <c r="AH727" s="357">
        <f t="shared" ca="1" si="347"/>
        <v>-0.65545916834039586</v>
      </c>
    </row>
    <row r="728" spans="1:34" x14ac:dyDescent="0.25">
      <c r="A728" s="402">
        <f t="shared" ca="1" si="325"/>
        <v>0.1</v>
      </c>
      <c r="B728" s="357">
        <f t="shared" ca="1" si="326"/>
        <v>27.400000000000059</v>
      </c>
      <c r="C728" s="342"/>
      <c r="D728" s="359">
        <f t="shared" ca="1" si="327"/>
        <v>-0.44281932612357622</v>
      </c>
      <c r="E728" s="360">
        <f t="shared" ca="1" si="328"/>
        <v>-9.3046325155702654</v>
      </c>
      <c r="F728" s="357">
        <f t="shared" ca="1" si="329"/>
        <v>9.3151637240252505</v>
      </c>
      <c r="G728" s="359">
        <f t="shared" ca="1" si="330"/>
        <v>36.290940860016448</v>
      </c>
      <c r="H728" s="360">
        <f t="shared" ca="1" si="331"/>
        <v>-42.398030396041577</v>
      </c>
      <c r="I728" s="357">
        <f t="shared" ca="1" si="332"/>
        <v>55.808828781554595</v>
      </c>
      <c r="J728" s="359">
        <f t="shared" ca="1" si="333"/>
        <v>1173.2959991670873</v>
      </c>
      <c r="K728" s="360">
        <f t="shared" ca="1" si="334"/>
        <v>2616.0389300911975</v>
      </c>
      <c r="L728" s="357">
        <f t="shared" ca="1" si="319"/>
        <v>2867.1036230687914</v>
      </c>
      <c r="M728" s="359">
        <f t="shared" ca="1" si="335"/>
        <v>-0.86285338709064907</v>
      </c>
      <c r="N728" s="357">
        <f t="shared" ca="1" si="336"/>
        <v>-49.437857418862102</v>
      </c>
      <c r="O728" s="343"/>
      <c r="P728" s="363">
        <f t="shared" ca="1" si="337"/>
        <v>23</v>
      </c>
      <c r="Q728" s="357">
        <f t="shared" ca="1" si="338"/>
        <v>0</v>
      </c>
      <c r="R728" s="359">
        <f t="shared" ca="1" si="339"/>
        <v>0</v>
      </c>
      <c r="S728" s="360">
        <f t="shared" ca="1" si="340"/>
        <v>9.637999999999975</v>
      </c>
      <c r="T728" s="357">
        <f t="shared" ca="1" si="320"/>
        <v>94.548779999999766</v>
      </c>
      <c r="U728" s="364">
        <f t="shared" ca="1" si="321"/>
        <v>0</v>
      </c>
      <c r="V728" s="359">
        <f t="shared" ca="1" si="322"/>
        <v>0.94160398186723537</v>
      </c>
      <c r="W728" s="357">
        <f t="shared" ca="1" si="323"/>
        <v>6.6382517869407121</v>
      </c>
      <c r="X728" s="343"/>
      <c r="Y728" s="367" t="str">
        <f t="shared" ca="1" si="341"/>
        <v/>
      </c>
      <c r="Z728" s="368" t="str">
        <f t="shared" ca="1" si="342"/>
        <v/>
      </c>
      <c r="AA728" s="369" t="str">
        <f t="shared" ca="1" si="343"/>
        <v/>
      </c>
      <c r="AB728" s="344"/>
      <c r="AC728" s="363" t="e">
        <f t="shared" ca="1" si="344"/>
        <v>#N/A</v>
      </c>
      <c r="AD728" s="376" t="e">
        <f t="shared" ca="1" si="345"/>
        <v>#N/A</v>
      </c>
      <c r="AE728" s="377" t="e">
        <f t="shared" ca="1" si="324"/>
        <v>#N/A</v>
      </c>
      <c r="AF728" s="344"/>
      <c r="AG728" s="359">
        <f t="shared" ca="1" si="346"/>
        <v>6.7063430748702242</v>
      </c>
      <c r="AH728" s="357">
        <f t="shared" ca="1" si="347"/>
        <v>-0.67192652121149143</v>
      </c>
    </row>
    <row r="729" spans="1:34" x14ac:dyDescent="0.25">
      <c r="A729" s="402">
        <f t="shared" ca="1" si="325"/>
        <v>0.1</v>
      </c>
      <c r="B729" s="357">
        <f t="shared" ca="1" si="326"/>
        <v>27.50000000000006</v>
      </c>
      <c r="C729" s="342"/>
      <c r="D729" s="359">
        <f t="shared" ca="1" si="327"/>
        <v>-0.44788046282693378</v>
      </c>
      <c r="E729" s="360">
        <f t="shared" ca="1" si="328"/>
        <v>-9.2867495957193302</v>
      </c>
      <c r="F729" s="357">
        <f t="shared" ca="1" si="329"/>
        <v>9.2975434907600842</v>
      </c>
      <c r="G729" s="359">
        <f t="shared" ca="1" si="330"/>
        <v>36.246152813733758</v>
      </c>
      <c r="H729" s="360">
        <f t="shared" ca="1" si="331"/>
        <v>-43.326705355613512</v>
      </c>
      <c r="I729" s="357">
        <f t="shared" ca="1" si="332"/>
        <v>56.488821821389479</v>
      </c>
      <c r="J729" s="359">
        <f t="shared" ca="1" si="333"/>
        <v>1176.9228538507748</v>
      </c>
      <c r="K729" s="360">
        <f t="shared" ca="1" si="334"/>
        <v>2611.7526933036147</v>
      </c>
      <c r="L729" s="357">
        <f t="shared" ca="1" si="319"/>
        <v>2864.6814019878261</v>
      </c>
      <c r="M729" s="359">
        <f t="shared" ca="1" si="335"/>
        <v>-0.87414643162984507</v>
      </c>
      <c r="N729" s="357">
        <f t="shared" ca="1" si="336"/>
        <v>-50.084901208811296</v>
      </c>
      <c r="O729" s="343"/>
      <c r="P729" s="363">
        <f t="shared" ca="1" si="337"/>
        <v>23</v>
      </c>
      <c r="Q729" s="357">
        <f t="shared" ca="1" si="338"/>
        <v>0</v>
      </c>
      <c r="R729" s="359">
        <f t="shared" ca="1" si="339"/>
        <v>0</v>
      </c>
      <c r="S729" s="360">
        <f t="shared" ca="1" si="340"/>
        <v>9.637999999999975</v>
      </c>
      <c r="T729" s="357">
        <f t="shared" ca="1" si="320"/>
        <v>94.548779999999766</v>
      </c>
      <c r="U729" s="364">
        <f t="shared" ca="1" si="321"/>
        <v>0</v>
      </c>
      <c r="V729" s="359">
        <f t="shared" ca="1" si="322"/>
        <v>0.9420146788095366</v>
      </c>
      <c r="W729" s="357">
        <f t="shared" ca="1" si="323"/>
        <v>6.8039689287186311</v>
      </c>
      <c r="X729" s="343"/>
      <c r="Y729" s="367" t="str">
        <f t="shared" ca="1" si="341"/>
        <v/>
      </c>
      <c r="Z729" s="368" t="str">
        <f t="shared" ca="1" si="342"/>
        <v/>
      </c>
      <c r="AA729" s="369" t="str">
        <f t="shared" ca="1" si="343"/>
        <v/>
      </c>
      <c r="AB729" s="344"/>
      <c r="AC729" s="363" t="e">
        <f t="shared" ca="1" si="344"/>
        <v>#N/A</v>
      </c>
      <c r="AD729" s="376" t="e">
        <f t="shared" ca="1" si="345"/>
        <v>#N/A</v>
      </c>
      <c r="AE729" s="377" t="e">
        <f t="shared" ca="1" si="324"/>
        <v>#N/A</v>
      </c>
      <c r="AF729" s="344"/>
      <c r="AG729" s="359">
        <f t="shared" ca="1" si="346"/>
        <v>6.7639098775656263</v>
      </c>
      <c r="AH729" s="357">
        <f t="shared" ca="1" si="347"/>
        <v>-0.68875822649312402</v>
      </c>
    </row>
    <row r="730" spans="1:34" x14ac:dyDescent="0.25">
      <c r="A730" s="402">
        <f t="shared" ca="1" si="325"/>
        <v>0.1</v>
      </c>
      <c r="B730" s="357">
        <f t="shared" ca="1" si="326"/>
        <v>27.600000000000062</v>
      </c>
      <c r="C730" s="342"/>
      <c r="D730" s="359">
        <f t="shared" ca="1" si="327"/>
        <v>-0.45297559069244131</v>
      </c>
      <c r="E730" s="360">
        <f t="shared" ca="1" si="328"/>
        <v>-9.2685372949214067</v>
      </c>
      <c r="F730" s="357">
        <f t="shared" ca="1" si="329"/>
        <v>9.2795996935811935</v>
      </c>
      <c r="G730" s="359">
        <f t="shared" ca="1" si="330"/>
        <v>36.200855254664511</v>
      </c>
      <c r="H730" s="360">
        <f t="shared" ca="1" si="331"/>
        <v>-44.25355908510565</v>
      </c>
      <c r="I730" s="357">
        <f t="shared" ca="1" si="332"/>
        <v>57.174114884868203</v>
      </c>
      <c r="J730" s="359">
        <f t="shared" ca="1" si="333"/>
        <v>1180.5452042541947</v>
      </c>
      <c r="K730" s="360">
        <f t="shared" ca="1" si="334"/>
        <v>2607.3736800815786</v>
      </c>
      <c r="L730" s="357">
        <f t="shared" ca="1" si="319"/>
        <v>2862.181770410421</v>
      </c>
      <c r="M730" s="359">
        <f t="shared" ca="1" si="335"/>
        <v>-0.88515618857654976</v>
      </c>
      <c r="N730" s="357">
        <f t="shared" ca="1" si="336"/>
        <v>-50.71571381532231</v>
      </c>
      <c r="O730" s="343"/>
      <c r="P730" s="363">
        <f t="shared" ca="1" si="337"/>
        <v>23</v>
      </c>
      <c r="Q730" s="357">
        <f t="shared" ca="1" si="338"/>
        <v>0</v>
      </c>
      <c r="R730" s="359">
        <f t="shared" ca="1" si="339"/>
        <v>0</v>
      </c>
      <c r="S730" s="360">
        <f t="shared" ca="1" si="340"/>
        <v>9.637999999999975</v>
      </c>
      <c r="T730" s="357">
        <f t="shared" ca="1" si="320"/>
        <v>94.548779999999766</v>
      </c>
      <c r="U730" s="364">
        <f t="shared" ca="1" si="321"/>
        <v>0</v>
      </c>
      <c r="V730" s="359">
        <f t="shared" ca="1" si="322"/>
        <v>0.94243442619218853</v>
      </c>
      <c r="W730" s="357">
        <f t="shared" ca="1" si="323"/>
        <v>6.9731604765464752</v>
      </c>
      <c r="X730" s="343"/>
      <c r="Y730" s="367" t="str">
        <f t="shared" ca="1" si="341"/>
        <v/>
      </c>
      <c r="Z730" s="368" t="str">
        <f t="shared" ca="1" si="342"/>
        <v/>
      </c>
      <c r="AA730" s="369" t="str">
        <f t="shared" ca="1" si="343"/>
        <v/>
      </c>
      <c r="AB730" s="344"/>
      <c r="AC730" s="363" t="e">
        <f t="shared" ca="1" si="344"/>
        <v>#N/A</v>
      </c>
      <c r="AD730" s="376" t="e">
        <f t="shared" ca="1" si="345"/>
        <v>#N/A</v>
      </c>
      <c r="AE730" s="377" t="e">
        <f t="shared" ca="1" si="324"/>
        <v>#N/A</v>
      </c>
      <c r="AF730" s="344"/>
      <c r="AG730" s="359">
        <f t="shared" ca="1" si="346"/>
        <v>6.8182792551641764</v>
      </c>
      <c r="AH730" s="357">
        <f t="shared" ca="1" si="347"/>
        <v>-0.70595236861575517</v>
      </c>
    </row>
    <row r="731" spans="1:34" x14ac:dyDescent="0.25">
      <c r="A731" s="402">
        <f t="shared" ca="1" si="325"/>
        <v>0.1</v>
      </c>
      <c r="B731" s="357">
        <f t="shared" ca="1" si="326"/>
        <v>27.700000000000063</v>
      </c>
      <c r="C731" s="342"/>
      <c r="D731" s="359">
        <f t="shared" ca="1" si="327"/>
        <v>-0.45810192733358196</v>
      </c>
      <c r="E731" s="360">
        <f t="shared" ca="1" si="328"/>
        <v>-9.2499955314413391</v>
      </c>
      <c r="F731" s="357">
        <f t="shared" ca="1" si="329"/>
        <v>9.2613322317856355</v>
      </c>
      <c r="G731" s="359">
        <f t="shared" ca="1" si="330"/>
        <v>36.155045061931155</v>
      </c>
      <c r="H731" s="360">
        <f t="shared" ca="1" si="331"/>
        <v>-45.178558638249783</v>
      </c>
      <c r="I731" s="357">
        <f t="shared" ca="1" si="332"/>
        <v>57.864405674473552</v>
      </c>
      <c r="J731" s="359">
        <f t="shared" ca="1" si="333"/>
        <v>1184.1629992700246</v>
      </c>
      <c r="K731" s="360">
        <f t="shared" ca="1" si="334"/>
        <v>2602.9020741954109</v>
      </c>
      <c r="L731" s="357">
        <f t="shared" ca="1" si="319"/>
        <v>2859.6050805471291</v>
      </c>
      <c r="M731" s="359">
        <f t="shared" ca="1" si="335"/>
        <v>-0.89589077291000407</v>
      </c>
      <c r="N731" s="357">
        <f t="shared" ca="1" si="336"/>
        <v>-51.330760192456502</v>
      </c>
      <c r="O731" s="343"/>
      <c r="P731" s="363">
        <f t="shared" ca="1" si="337"/>
        <v>23</v>
      </c>
      <c r="Q731" s="357">
        <f t="shared" ca="1" si="338"/>
        <v>0</v>
      </c>
      <c r="R731" s="359">
        <f t="shared" ca="1" si="339"/>
        <v>0</v>
      </c>
      <c r="S731" s="360">
        <f t="shared" ca="1" si="340"/>
        <v>9.637999999999975</v>
      </c>
      <c r="T731" s="357">
        <f t="shared" ca="1" si="320"/>
        <v>94.548779999999766</v>
      </c>
      <c r="U731" s="364">
        <f t="shared" ca="1" si="321"/>
        <v>0</v>
      </c>
      <c r="V731" s="359">
        <f t="shared" ca="1" si="322"/>
        <v>0.94286321681855256</v>
      </c>
      <c r="W731" s="357">
        <f t="shared" ca="1" si="323"/>
        <v>7.1458073717665078</v>
      </c>
      <c r="X731" s="343"/>
      <c r="Y731" s="367" t="str">
        <f t="shared" ca="1" si="341"/>
        <v/>
      </c>
      <c r="Z731" s="368" t="str">
        <f t="shared" ca="1" si="342"/>
        <v/>
      </c>
      <c r="AA731" s="369" t="str">
        <f t="shared" ca="1" si="343"/>
        <v/>
      </c>
      <c r="AB731" s="344"/>
      <c r="AC731" s="363" t="e">
        <f t="shared" ca="1" si="344"/>
        <v>#N/A</v>
      </c>
      <c r="AD731" s="376" t="e">
        <f t="shared" ca="1" si="345"/>
        <v>#N/A</v>
      </c>
      <c r="AE731" s="377" t="e">
        <f t="shared" ca="1" si="324"/>
        <v>#N/A</v>
      </c>
      <c r="AF731" s="344"/>
      <c r="AG731" s="359">
        <f t="shared" ca="1" si="346"/>
        <v>6.8695692625101854</v>
      </c>
      <c r="AH731" s="357">
        <f t="shared" ca="1" si="347"/>
        <v>-0.72350700109426158</v>
      </c>
    </row>
    <row r="732" spans="1:34" x14ac:dyDescent="0.25">
      <c r="A732" s="402">
        <f t="shared" ca="1" si="325"/>
        <v>0.1</v>
      </c>
      <c r="B732" s="357">
        <f t="shared" ca="1" si="326"/>
        <v>27.800000000000065</v>
      </c>
      <c r="C732" s="342"/>
      <c r="D732" s="359">
        <f t="shared" ca="1" si="327"/>
        <v>-0.46325678961573374</v>
      </c>
      <c r="E732" s="360">
        <f t="shared" ca="1" si="328"/>
        <v>-9.2311243825482361</v>
      </c>
      <c r="F732" s="357">
        <f t="shared" ca="1" si="329"/>
        <v>9.2427411637025525</v>
      </c>
      <c r="G732" s="359">
        <f t="shared" ca="1" si="330"/>
        <v>36.108719382969582</v>
      </c>
      <c r="H732" s="360">
        <f t="shared" ca="1" si="331"/>
        <v>-46.101671076504608</v>
      </c>
      <c r="I732" s="357">
        <f t="shared" ca="1" si="332"/>
        <v>58.559403100819473</v>
      </c>
      <c r="J732" s="359">
        <f t="shared" ca="1" si="333"/>
        <v>1187.7761874922696</v>
      </c>
      <c r="K732" s="360">
        <f t="shared" ca="1" si="334"/>
        <v>2598.3380627096731</v>
      </c>
      <c r="L732" s="357">
        <f t="shared" ca="1" si="319"/>
        <v>2856.9516901235011</v>
      </c>
      <c r="M732" s="359">
        <f t="shared" ca="1" si="335"/>
        <v>-0.90635814607277687</v>
      </c>
      <c r="N732" s="357">
        <f t="shared" ca="1" si="336"/>
        <v>-51.930496497271882</v>
      </c>
      <c r="O732" s="343"/>
      <c r="P732" s="363">
        <f t="shared" ca="1" si="337"/>
        <v>23</v>
      </c>
      <c r="Q732" s="357">
        <f t="shared" ca="1" si="338"/>
        <v>0</v>
      </c>
      <c r="R732" s="359">
        <f t="shared" ca="1" si="339"/>
        <v>0</v>
      </c>
      <c r="S732" s="360">
        <f t="shared" ca="1" si="340"/>
        <v>9.637999999999975</v>
      </c>
      <c r="T732" s="357">
        <f t="shared" ca="1" si="320"/>
        <v>94.548779999999766</v>
      </c>
      <c r="U732" s="364">
        <f t="shared" ca="1" si="321"/>
        <v>0</v>
      </c>
      <c r="V732" s="359">
        <f t="shared" ca="1" si="322"/>
        <v>0.94330104337878962</v>
      </c>
      <c r="W732" s="357">
        <f t="shared" ca="1" si="323"/>
        <v>7.3218902570885094</v>
      </c>
      <c r="X732" s="343"/>
      <c r="Y732" s="367" t="str">
        <f t="shared" ca="1" si="341"/>
        <v/>
      </c>
      <c r="Z732" s="368" t="str">
        <f t="shared" ca="1" si="342"/>
        <v/>
      </c>
      <c r="AA732" s="369" t="str">
        <f t="shared" ca="1" si="343"/>
        <v/>
      </c>
      <c r="AB732" s="344"/>
      <c r="AC732" s="363" t="e">
        <f t="shared" ca="1" si="344"/>
        <v>#N/A</v>
      </c>
      <c r="AD732" s="376" t="e">
        <f t="shared" ca="1" si="345"/>
        <v>#N/A</v>
      </c>
      <c r="AE732" s="377" t="e">
        <f t="shared" ca="1" si="324"/>
        <v>#N/A</v>
      </c>
      <c r="AF732" s="344"/>
      <c r="AG732" s="359">
        <f t="shared" ca="1" si="346"/>
        <v>6.9178939875765408</v>
      </c>
      <c r="AH732" s="357">
        <f t="shared" ca="1" si="347"/>
        <v>-0.74142014647919963</v>
      </c>
    </row>
    <row r="733" spans="1:34" x14ac:dyDescent="0.25">
      <c r="A733" s="402">
        <f t="shared" ca="1" si="325"/>
        <v>0.1</v>
      </c>
      <c r="B733" s="357">
        <f t="shared" ca="1" si="326"/>
        <v>27.900000000000066</v>
      </c>
      <c r="C733" s="342"/>
      <c r="D733" s="359">
        <f t="shared" ca="1" si="327"/>
        <v>-0.46843759023264631</v>
      </c>
      <c r="E733" s="360">
        <f t="shared" ca="1" si="328"/>
        <v>-9.2119240761287884</v>
      </c>
      <c r="F733" s="357">
        <f t="shared" ca="1" si="329"/>
        <v>9.2238266983017532</v>
      </c>
      <c r="G733" s="359">
        <f t="shared" ca="1" si="330"/>
        <v>36.061875623946321</v>
      </c>
      <c r="H733" s="360">
        <f t="shared" ca="1" si="331"/>
        <v>-47.022863484117487</v>
      </c>
      <c r="I733" s="357">
        <f t="shared" ca="1" si="332"/>
        <v>59.258826884801927</v>
      </c>
      <c r="J733" s="359">
        <f t="shared" ca="1" si="333"/>
        <v>1191.3847172426154</v>
      </c>
      <c r="K733" s="360">
        <f t="shared" ca="1" si="334"/>
        <v>2593.6818359816421</v>
      </c>
      <c r="L733" s="357">
        <f t="shared" ca="1" si="319"/>
        <v>2854.2219624234494</v>
      </c>
      <c r="M733" s="359">
        <f t="shared" ca="1" si="335"/>
        <v>-0.91656610572978403</v>
      </c>
      <c r="N733" s="357">
        <f t="shared" ca="1" si="336"/>
        <v>-52.515369503058203</v>
      </c>
      <c r="O733" s="343"/>
      <c r="P733" s="363">
        <f t="shared" ca="1" si="337"/>
        <v>23</v>
      </c>
      <c r="Q733" s="357">
        <f t="shared" ca="1" si="338"/>
        <v>0</v>
      </c>
      <c r="R733" s="359">
        <f t="shared" ca="1" si="339"/>
        <v>0</v>
      </c>
      <c r="S733" s="360">
        <f t="shared" ca="1" si="340"/>
        <v>9.637999999999975</v>
      </c>
      <c r="T733" s="357">
        <f t="shared" ca="1" si="320"/>
        <v>94.548779999999766</v>
      </c>
      <c r="U733" s="364">
        <f t="shared" ca="1" si="321"/>
        <v>0</v>
      </c>
      <c r="V733" s="359">
        <f t="shared" ca="1" si="322"/>
        <v>0.94374789844853402</v>
      </c>
      <c r="W733" s="357">
        <f t="shared" ca="1" si="323"/>
        <v>7.5013894766483409</v>
      </c>
      <c r="X733" s="343"/>
      <c r="Y733" s="367" t="str">
        <f t="shared" ca="1" si="341"/>
        <v/>
      </c>
      <c r="Z733" s="368" t="str">
        <f t="shared" ca="1" si="342"/>
        <v/>
      </c>
      <c r="AA733" s="369" t="str">
        <f t="shared" ca="1" si="343"/>
        <v/>
      </c>
      <c r="AB733" s="344"/>
      <c r="AC733" s="363" t="e">
        <f t="shared" ca="1" si="344"/>
        <v>#N/A</v>
      </c>
      <c r="AD733" s="376" t="e">
        <f t="shared" ca="1" si="345"/>
        <v>#N/A</v>
      </c>
      <c r="AE733" s="377" t="e">
        <f t="shared" ca="1" si="324"/>
        <v>#N/A</v>
      </c>
      <c r="AF733" s="344"/>
      <c r="AG733" s="359">
        <f t="shared" ca="1" si="346"/>
        <v>6.963363536053043</v>
      </c>
      <c r="AH733" s="357">
        <f t="shared" ca="1" si="347"/>
        <v>-0.75968979633622413</v>
      </c>
    </row>
    <row r="734" spans="1:34" x14ac:dyDescent="0.25">
      <c r="A734" s="402">
        <f t="shared" ca="1" si="325"/>
        <v>0.1</v>
      </c>
      <c r="B734" s="357">
        <f t="shared" ca="1" si="326"/>
        <v>28.000000000000068</v>
      </c>
      <c r="C734" s="342"/>
      <c r="D734" s="359">
        <f t="shared" ca="1" si="327"/>
        <v>-0.47364183429627077</v>
      </c>
      <c r="E734" s="360">
        <f t="shared" ca="1" si="328"/>
        <v>-9.1923949828141733</v>
      </c>
      <c r="F734" s="357">
        <f t="shared" ca="1" si="329"/>
        <v>9.20458918731644</v>
      </c>
      <c r="G734" s="359">
        <f t="shared" ca="1" si="330"/>
        <v>36.014511440516692</v>
      </c>
      <c r="H734" s="360">
        <f t="shared" ca="1" si="331"/>
        <v>-47.942102982398907</v>
      </c>
      <c r="I734" s="357">
        <f t="shared" ca="1" si="332"/>
        <v>59.96240716210491</v>
      </c>
      <c r="J734" s="359">
        <f t="shared" ca="1" si="333"/>
        <v>1194.9885365958385</v>
      </c>
      <c r="K734" s="360">
        <f t="shared" ca="1" si="334"/>
        <v>2588.9335876583164</v>
      </c>
      <c r="L734" s="357">
        <f t="shared" ca="1" si="319"/>
        <v>2851.416266331667</v>
      </c>
      <c r="M734" s="359">
        <f t="shared" ca="1" si="335"/>
        <v>-0.92652227759140404</v>
      </c>
      <c r="N734" s="357">
        <f t="shared" ca="1" si="336"/>
        <v>-53.085816130835944</v>
      </c>
      <c r="O734" s="343"/>
      <c r="P734" s="363">
        <f t="shared" ca="1" si="337"/>
        <v>23</v>
      </c>
      <c r="Q734" s="357">
        <f t="shared" ca="1" si="338"/>
        <v>0</v>
      </c>
      <c r="R734" s="359">
        <f t="shared" ca="1" si="339"/>
        <v>0</v>
      </c>
      <c r="S734" s="360">
        <f t="shared" ca="1" si="340"/>
        <v>9.637999999999975</v>
      </c>
      <c r="T734" s="357">
        <f t="shared" ca="1" si="320"/>
        <v>94.548779999999766</v>
      </c>
      <c r="U734" s="364">
        <f t="shared" ca="1" si="321"/>
        <v>0</v>
      </c>
      <c r="V734" s="359">
        <f t="shared" ca="1" si="322"/>
        <v>0.94420377448768211</v>
      </c>
      <c r="W734" s="357">
        <f t="shared" ca="1" si="323"/>
        <v>7.6842850763098598</v>
      </c>
      <c r="X734" s="343"/>
      <c r="Y734" s="367" t="str">
        <f t="shared" ca="1" si="341"/>
        <v/>
      </c>
      <c r="Z734" s="368" t="str">
        <f t="shared" ca="1" si="342"/>
        <v/>
      </c>
      <c r="AA734" s="369" t="str">
        <f t="shared" ca="1" si="343"/>
        <v/>
      </c>
      <c r="AB734" s="344"/>
      <c r="AC734" s="363">
        <f t="shared" ca="1" si="344"/>
        <v>28.000000000000068</v>
      </c>
      <c r="AD734" s="376">
        <f t="shared" ca="1" si="345"/>
        <v>1194.9885365958385</v>
      </c>
      <c r="AE734" s="377" t="e">
        <f t="shared" ca="1" si="324"/>
        <v>#N/A</v>
      </c>
      <c r="AF734" s="344"/>
      <c r="AG734" s="359">
        <f t="shared" ca="1" si="346"/>
        <v>7.0060840430971565</v>
      </c>
      <c r="AH734" s="357">
        <f t="shared" ca="1" si="347"/>
        <v>-0.77831391125216443</v>
      </c>
    </row>
    <row r="735" spans="1:34" x14ac:dyDescent="0.25">
      <c r="A735" s="402">
        <f t="shared" ca="1" si="325"/>
        <v>0.1</v>
      </c>
      <c r="B735" s="357">
        <f t="shared" ca="1" si="326"/>
        <v>28.100000000000069</v>
      </c>
      <c r="C735" s="342"/>
      <c r="D735" s="359">
        <f t="shared" ca="1" si="327"/>
        <v>-0.47886711595948467</v>
      </c>
      <c r="E735" s="360">
        <f t="shared" ca="1" si="328"/>
        <v>-9.1725376085933483</v>
      </c>
      <c r="F735" s="357">
        <f t="shared" ca="1" si="329"/>
        <v>9.1850291178529595</v>
      </c>
      <c r="G735" s="359">
        <f t="shared" ca="1" si="330"/>
        <v>35.966624728920742</v>
      </c>
      <c r="H735" s="360">
        <f t="shared" ca="1" si="331"/>
        <v>-48.859356743258239</v>
      </c>
      <c r="I735" s="357">
        <f t="shared" ca="1" si="332"/>
        <v>60.669884092158831</v>
      </c>
      <c r="J735" s="359">
        <f t="shared" ca="1" si="333"/>
        <v>1198.5875934043104</v>
      </c>
      <c r="K735" s="360">
        <f t="shared" ca="1" si="334"/>
        <v>2584.0935146720335</v>
      </c>
      <c r="L735" s="357">
        <f t="shared" ca="1" si="319"/>
        <v>2848.5349763751892</v>
      </c>
      <c r="M735" s="359">
        <f t="shared" ca="1" si="335"/>
        <v>-0.93623410907022253</v>
      </c>
      <c r="N735" s="357">
        <f t="shared" ca="1" si="336"/>
        <v>-53.642263085914536</v>
      </c>
      <c r="O735" s="343"/>
      <c r="P735" s="363">
        <f t="shared" ca="1" si="337"/>
        <v>23</v>
      </c>
      <c r="Q735" s="357">
        <f t="shared" ca="1" si="338"/>
        <v>0</v>
      </c>
      <c r="R735" s="359">
        <f t="shared" ca="1" si="339"/>
        <v>0</v>
      </c>
      <c r="S735" s="360">
        <f t="shared" ca="1" si="340"/>
        <v>9.637999999999975</v>
      </c>
      <c r="T735" s="357">
        <f t="shared" ca="1" si="320"/>
        <v>94.548779999999766</v>
      </c>
      <c r="U735" s="364">
        <f t="shared" ca="1" si="321"/>
        <v>0</v>
      </c>
      <c r="V735" s="359">
        <f t="shared" ca="1" si="322"/>
        <v>0.94466866383928816</v>
      </c>
      <c r="W735" s="357">
        <f t="shared" ca="1" si="323"/>
        <v>7.8705568041974043</v>
      </c>
      <c r="X735" s="343"/>
      <c r="Y735" s="367" t="str">
        <f t="shared" ca="1" si="341"/>
        <v/>
      </c>
      <c r="Z735" s="368" t="str">
        <f t="shared" ca="1" si="342"/>
        <v/>
      </c>
      <c r="AA735" s="369" t="str">
        <f t="shared" ca="1" si="343"/>
        <v/>
      </c>
      <c r="AB735" s="344"/>
      <c r="AC735" s="363" t="e">
        <f t="shared" ca="1" si="344"/>
        <v>#N/A</v>
      </c>
      <c r="AD735" s="376" t="e">
        <f t="shared" ca="1" si="345"/>
        <v>#N/A</v>
      </c>
      <c r="AE735" s="377" t="e">
        <f t="shared" ca="1" si="324"/>
        <v>#N/A</v>
      </c>
      <c r="AF735" s="344"/>
      <c r="AG735" s="359">
        <f t="shared" ca="1" si="346"/>
        <v>7.0461577079899831</v>
      </c>
      <c r="AH735" s="357">
        <f t="shared" ca="1" si="347"/>
        <v>-0.79729042086634982</v>
      </c>
    </row>
    <row r="736" spans="1:34" x14ac:dyDescent="0.25">
      <c r="A736" s="402">
        <f t="shared" ca="1" si="325"/>
        <v>0.1</v>
      </c>
      <c r="B736" s="357">
        <f t="shared" ca="1" si="326"/>
        <v>28.20000000000007</v>
      </c>
      <c r="C736" s="342"/>
      <c r="D736" s="359">
        <f t="shared" ca="1" si="327"/>
        <v>-0.48411111508799448</v>
      </c>
      <c r="E736" s="360">
        <f t="shared" ca="1" si="328"/>
        <v>-9.1523525878857015</v>
      </c>
      <c r="F736" s="357">
        <f t="shared" ca="1" si="329"/>
        <v>9.1651471054604379</v>
      </c>
      <c r="G736" s="359">
        <f t="shared" ca="1" si="330"/>
        <v>35.918213617411944</v>
      </c>
      <c r="H736" s="360">
        <f t="shared" ca="1" si="331"/>
        <v>-49.774592002046809</v>
      </c>
      <c r="I736" s="357">
        <f t="shared" ca="1" si="332"/>
        <v>61.381007473291433</v>
      </c>
      <c r="J736" s="359">
        <f t="shared" ca="1" si="333"/>
        <v>1202.181835321627</v>
      </c>
      <c r="K736" s="360">
        <f t="shared" ca="1" si="334"/>
        <v>2579.1618172347685</v>
      </c>
      <c r="L736" s="357">
        <f t="shared" ca="1" si="319"/>
        <v>2845.5784727641985</v>
      </c>
      <c r="M736" s="359">
        <f t="shared" ca="1" si="335"/>
        <v>-0.94570886455963366</v>
      </c>
      <c r="N736" s="357">
        <f t="shared" ca="1" si="336"/>
        <v>-54.185126587376203</v>
      </c>
      <c r="O736" s="343"/>
      <c r="P736" s="363">
        <f t="shared" ca="1" si="337"/>
        <v>23</v>
      </c>
      <c r="Q736" s="357">
        <f t="shared" ca="1" si="338"/>
        <v>0</v>
      </c>
      <c r="R736" s="359">
        <f t="shared" ca="1" si="339"/>
        <v>0</v>
      </c>
      <c r="S736" s="360">
        <f t="shared" ca="1" si="340"/>
        <v>9.637999999999975</v>
      </c>
      <c r="T736" s="357">
        <f t="shared" ca="1" si="320"/>
        <v>94.548779999999766</v>
      </c>
      <c r="U736" s="364">
        <f t="shared" ca="1" si="321"/>
        <v>0</v>
      </c>
      <c r="V736" s="359">
        <f t="shared" ca="1" si="322"/>
        <v>0.94514255872855724</v>
      </c>
      <c r="W736" s="357">
        <f t="shared" ca="1" si="323"/>
        <v>8.060184111446949</v>
      </c>
      <c r="X736" s="343"/>
      <c r="Y736" s="367" t="str">
        <f t="shared" ca="1" si="341"/>
        <v/>
      </c>
      <c r="Z736" s="368" t="str">
        <f t="shared" ca="1" si="342"/>
        <v/>
      </c>
      <c r="AA736" s="369" t="str">
        <f t="shared" ca="1" si="343"/>
        <v/>
      </c>
      <c r="AB736" s="344"/>
      <c r="AC736" s="363" t="e">
        <f t="shared" ca="1" si="344"/>
        <v>#N/A</v>
      </c>
      <c r="AD736" s="376" t="e">
        <f t="shared" ca="1" si="345"/>
        <v>#N/A</v>
      </c>
      <c r="AE736" s="377" t="e">
        <f t="shared" ca="1" si="324"/>
        <v>#N/A</v>
      </c>
      <c r="AF736" s="344"/>
      <c r="AG736" s="359">
        <f t="shared" ca="1" si="346"/>
        <v>7.0836828479068323</v>
      </c>
      <c r="AH736" s="357">
        <f t="shared" ca="1" si="347"/>
        <v>-0.81661722392585856</v>
      </c>
    </row>
    <row r="737" spans="1:34" x14ac:dyDescent="0.25">
      <c r="A737" s="402">
        <f t="shared" ca="1" si="325"/>
        <v>0.1</v>
      </c>
      <c r="B737" s="357">
        <f t="shared" ca="1" si="326"/>
        <v>28.300000000000072</v>
      </c>
      <c r="C737" s="342"/>
      <c r="D737" s="359">
        <f t="shared" ca="1" si="327"/>
        <v>-0.4893715939948014</v>
      </c>
      <c r="E737" s="360">
        <f t="shared" ca="1" si="328"/>
        <v>-9.1318406770465206</v>
      </c>
      <c r="F737" s="357">
        <f t="shared" ca="1" si="329"/>
        <v>9.1449438876337812</v>
      </c>
      <c r="G737" s="359">
        <f t="shared" ca="1" si="330"/>
        <v>35.869276458012465</v>
      </c>
      <c r="H737" s="360">
        <f t="shared" ca="1" si="331"/>
        <v>-50.687776069751465</v>
      </c>
      <c r="I737" s="357">
        <f t="shared" ca="1" si="332"/>
        <v>62.095536365495683</v>
      </c>
      <c r="J737" s="359">
        <f t="shared" ca="1" si="333"/>
        <v>1205.7712098253983</v>
      </c>
      <c r="K737" s="360">
        <f t="shared" ca="1" si="334"/>
        <v>2574.1386988311788</v>
      </c>
      <c r="L737" s="357">
        <f t="shared" ca="1" si="319"/>
        <v>2842.5471414321487</v>
      </c>
      <c r="M737" s="359">
        <f t="shared" ca="1" si="335"/>
        <v>-0.95495362214060453</v>
      </c>
      <c r="N737" s="357">
        <f t="shared" ca="1" si="336"/>
        <v>-54.714812179387408</v>
      </c>
      <c r="O737" s="343"/>
      <c r="P737" s="363">
        <f t="shared" ca="1" si="337"/>
        <v>23</v>
      </c>
      <c r="Q737" s="357">
        <f t="shared" ca="1" si="338"/>
        <v>0</v>
      </c>
      <c r="R737" s="359">
        <f t="shared" ca="1" si="339"/>
        <v>0</v>
      </c>
      <c r="S737" s="360">
        <f t="shared" ca="1" si="340"/>
        <v>9.637999999999975</v>
      </c>
      <c r="T737" s="357">
        <f t="shared" ca="1" si="320"/>
        <v>94.548779999999766</v>
      </c>
      <c r="U737" s="364">
        <f t="shared" ca="1" si="321"/>
        <v>0</v>
      </c>
      <c r="V737" s="359">
        <f t="shared" ca="1" si="322"/>
        <v>0.94562545126193787</v>
      </c>
      <c r="W737" s="357">
        <f t="shared" ca="1" si="323"/>
        <v>8.253146153164705</v>
      </c>
      <c r="X737" s="343"/>
      <c r="Y737" s="367" t="str">
        <f t="shared" ca="1" si="341"/>
        <v/>
      </c>
      <c r="Z737" s="368" t="str">
        <f t="shared" ca="1" si="342"/>
        <v/>
      </c>
      <c r="AA737" s="369" t="str">
        <f t="shared" ca="1" si="343"/>
        <v/>
      </c>
      <c r="AB737" s="344"/>
      <c r="AC737" s="363" t="e">
        <f t="shared" ca="1" si="344"/>
        <v>#N/A</v>
      </c>
      <c r="AD737" s="376" t="e">
        <f t="shared" ca="1" si="345"/>
        <v>#N/A</v>
      </c>
      <c r="AE737" s="377" t="e">
        <f t="shared" ca="1" si="324"/>
        <v>#N/A</v>
      </c>
      <c r="AF737" s="344"/>
      <c r="AG737" s="359">
        <f t="shared" ca="1" si="346"/>
        <v>7.118753967445361</v>
      </c>
      <c r="AH737" s="357">
        <f t="shared" ca="1" si="347"/>
        <v>-0.83629218836345398</v>
      </c>
    </row>
    <row r="738" spans="1:34" x14ac:dyDescent="0.25">
      <c r="A738" s="402">
        <f t="shared" ca="1" si="325"/>
        <v>0.1</v>
      </c>
      <c r="B738" s="357">
        <f t="shared" ca="1" si="326"/>
        <v>28.400000000000073</v>
      </c>
      <c r="C738" s="342"/>
      <c r="D738" s="359">
        <f t="shared" ca="1" si="327"/>
        <v>-0.49464639424807277</v>
      </c>
      <c r="E738" s="360">
        <f t="shared" ca="1" si="328"/>
        <v>-9.1110027482794234</v>
      </c>
      <c r="F738" s="357">
        <f t="shared" ca="1" si="329"/>
        <v>9.1244203177241801</v>
      </c>
      <c r="G738" s="359">
        <f t="shared" ca="1" si="330"/>
        <v>35.81981181858766</v>
      </c>
      <c r="H738" s="360">
        <f t="shared" ca="1" si="331"/>
        <v>-51.598876344579409</v>
      </c>
      <c r="I738" s="357">
        <f t="shared" ca="1" si="332"/>
        <v>62.813238721962335</v>
      </c>
      <c r="J738" s="359">
        <f t="shared" ca="1" si="333"/>
        <v>1209.3556642392282</v>
      </c>
      <c r="K738" s="360">
        <f t="shared" ca="1" si="334"/>
        <v>2569.0243662104622</v>
      </c>
      <c r="L738" s="357">
        <f t="shared" ca="1" si="319"/>
        <v>2839.4413740752902</v>
      </c>
      <c r="M738" s="359">
        <f t="shared" ca="1" si="335"/>
        <v>-0.96397527154021201</v>
      </c>
      <c r="N738" s="357">
        <f t="shared" ca="1" si="336"/>
        <v>-55.231714614231649</v>
      </c>
      <c r="O738" s="343"/>
      <c r="P738" s="363">
        <f t="shared" ca="1" si="337"/>
        <v>23</v>
      </c>
      <c r="Q738" s="357">
        <f t="shared" ca="1" si="338"/>
        <v>0</v>
      </c>
      <c r="R738" s="359">
        <f t="shared" ca="1" si="339"/>
        <v>0</v>
      </c>
      <c r="S738" s="360">
        <f t="shared" ca="1" si="340"/>
        <v>9.637999999999975</v>
      </c>
      <c r="T738" s="357">
        <f t="shared" ca="1" si="320"/>
        <v>94.548779999999766</v>
      </c>
      <c r="U738" s="364">
        <f t="shared" ca="1" si="321"/>
        <v>0</v>
      </c>
      <c r="V738" s="359">
        <f t="shared" ca="1" si="322"/>
        <v>0.94611733342629789</v>
      </c>
      <c r="W738" s="357">
        <f t="shared" ca="1" si="323"/>
        <v>8.449421789582674</v>
      </c>
      <c r="X738" s="343"/>
      <c r="Y738" s="367" t="str">
        <f t="shared" ca="1" si="341"/>
        <v/>
      </c>
      <c r="Z738" s="368" t="str">
        <f t="shared" ca="1" si="342"/>
        <v/>
      </c>
      <c r="AA738" s="369" t="str">
        <f t="shared" ca="1" si="343"/>
        <v/>
      </c>
      <c r="AB738" s="344"/>
      <c r="AC738" s="363" t="e">
        <f t="shared" ca="1" si="344"/>
        <v>#N/A</v>
      </c>
      <c r="AD738" s="376" t="e">
        <f t="shared" ca="1" si="345"/>
        <v>#N/A</v>
      </c>
      <c r="AE738" s="377" t="e">
        <f t="shared" ca="1" si="324"/>
        <v>#N/A</v>
      </c>
      <c r="AF738" s="344"/>
      <c r="AG738" s="359">
        <f t="shared" ca="1" si="346"/>
        <v>7.1514618409543314</v>
      </c>
      <c r="AH738" s="357">
        <f t="shared" ca="1" si="347"/>
        <v>-0.85631315139704567</v>
      </c>
    </row>
    <row r="739" spans="1:34" x14ac:dyDescent="0.25">
      <c r="A739" s="402">
        <f t="shared" ca="1" si="325"/>
        <v>0.1</v>
      </c>
      <c r="B739" s="357">
        <f t="shared" ca="1" si="326"/>
        <v>28.500000000000075</v>
      </c>
      <c r="C739" s="342"/>
      <c r="D739" s="359">
        <f t="shared" ca="1" si="327"/>
        <v>-0.4999334335610261</v>
      </c>
      <c r="E739" s="360">
        <f t="shared" ca="1" si="328"/>
        <v>-9.0898397839306835</v>
      </c>
      <c r="F739" s="357">
        <f t="shared" ca="1" si="329"/>
        <v>9.1035773592319806</v>
      </c>
      <c r="G739" s="359">
        <f t="shared" ca="1" si="330"/>
        <v>35.76981847523156</v>
      </c>
      <c r="H739" s="360">
        <f t="shared" ca="1" si="331"/>
        <v>-52.507860322972476</v>
      </c>
      <c r="I739" s="357">
        <f t="shared" ca="1" si="332"/>
        <v>63.533891030282447</v>
      </c>
      <c r="J739" s="359">
        <f t="shared" ca="1" si="333"/>
        <v>1212.9351457539192</v>
      </c>
      <c r="K739" s="360">
        <f t="shared" ca="1" si="334"/>
        <v>2563.8190293770845</v>
      </c>
      <c r="L739" s="357">
        <f t="shared" ca="1" si="319"/>
        <v>2836.2615681916818</v>
      </c>
      <c r="M739" s="359">
        <f t="shared" ca="1" si="335"/>
        <v>-0.97278051318196379</v>
      </c>
      <c r="N739" s="357">
        <f t="shared" ca="1" si="336"/>
        <v>-55.73621779789687</v>
      </c>
      <c r="O739" s="343"/>
      <c r="P739" s="363">
        <f t="shared" ca="1" si="337"/>
        <v>23</v>
      </c>
      <c r="Q739" s="357">
        <f t="shared" ca="1" si="338"/>
        <v>0</v>
      </c>
      <c r="R739" s="359">
        <f t="shared" ca="1" si="339"/>
        <v>0</v>
      </c>
      <c r="S739" s="360">
        <f t="shared" ca="1" si="340"/>
        <v>9.637999999999975</v>
      </c>
      <c r="T739" s="357">
        <f t="shared" ca="1" si="320"/>
        <v>94.548779999999766</v>
      </c>
      <c r="U739" s="364">
        <f t="shared" ca="1" si="321"/>
        <v>0</v>
      </c>
      <c r="V739" s="359">
        <f t="shared" ca="1" si="322"/>
        <v>0.9466181970881874</v>
      </c>
      <c r="W739" s="357">
        <f t="shared" ca="1" si="323"/>
        <v>8.6489895874013634</v>
      </c>
      <c r="X739" s="343"/>
      <c r="Y739" s="367" t="str">
        <f t="shared" ca="1" si="341"/>
        <v/>
      </c>
      <c r="Z739" s="368" t="str">
        <f t="shared" ca="1" si="342"/>
        <v/>
      </c>
      <c r="AA739" s="369" t="str">
        <f t="shared" ca="1" si="343"/>
        <v/>
      </c>
      <c r="AB739" s="344"/>
      <c r="AC739" s="363" t="e">
        <f t="shared" ca="1" si="344"/>
        <v>#N/A</v>
      </c>
      <c r="AD739" s="376" t="e">
        <f t="shared" ca="1" si="345"/>
        <v>#N/A</v>
      </c>
      <c r="AE739" s="377" t="e">
        <f t="shared" ca="1" si="324"/>
        <v>#N/A</v>
      </c>
      <c r="AF739" s="344"/>
      <c r="AG739" s="359">
        <f t="shared" ca="1" si="346"/>
        <v>7.1818936050716671</v>
      </c>
      <c r="AH739" s="357">
        <f t="shared" ca="1" si="347"/>
        <v>-0.87667791964958452</v>
      </c>
    </row>
    <row r="740" spans="1:34" x14ac:dyDescent="0.25">
      <c r="A740" s="402">
        <f t="shared" ca="1" si="325"/>
        <v>0.1</v>
      </c>
      <c r="B740" s="357">
        <f t="shared" ca="1" si="326"/>
        <v>28.600000000000076</v>
      </c>
      <c r="C740" s="342"/>
      <c r="D740" s="359">
        <f t="shared" ca="1" si="327"/>
        <v>-0.50523070277049409</v>
      </c>
      <c r="E740" s="360">
        <f t="shared" ca="1" si="328"/>
        <v>-9.0683528711413572</v>
      </c>
      <c r="F740" s="357">
        <f t="shared" ca="1" si="329"/>
        <v>9.0824160804578682</v>
      </c>
      <c r="G740" s="359">
        <f t="shared" ca="1" si="330"/>
        <v>35.719295404954508</v>
      </c>
      <c r="H740" s="360">
        <f t="shared" ca="1" si="331"/>
        <v>-53.414695610086611</v>
      </c>
      <c r="I740" s="357">
        <f t="shared" ca="1" si="332"/>
        <v>64.257277964014392</v>
      </c>
      <c r="J740" s="359">
        <f t="shared" ca="1" si="333"/>
        <v>1216.5096014479284</v>
      </c>
      <c r="K740" s="360">
        <f t="shared" ca="1" si="334"/>
        <v>2558.5229015804316</v>
      </c>
      <c r="L740" s="357">
        <f t="shared" ca="1" si="319"/>
        <v>2833.0081271197491</v>
      </c>
      <c r="M740" s="359">
        <f t="shared" ca="1" si="335"/>
        <v>-0.98137585818332351</v>
      </c>
      <c r="N740" s="357">
        <f t="shared" ca="1" si="336"/>
        <v>-56.228694789933648</v>
      </c>
      <c r="O740" s="343"/>
      <c r="P740" s="363">
        <f t="shared" ca="1" si="337"/>
        <v>23</v>
      </c>
      <c r="Q740" s="357">
        <f t="shared" ca="1" si="338"/>
        <v>0</v>
      </c>
      <c r="R740" s="359">
        <f t="shared" ca="1" si="339"/>
        <v>0</v>
      </c>
      <c r="S740" s="360">
        <f t="shared" ca="1" si="340"/>
        <v>9.637999999999975</v>
      </c>
      <c r="T740" s="357">
        <f t="shared" ca="1" si="320"/>
        <v>94.548779999999766</v>
      </c>
      <c r="U740" s="364">
        <f t="shared" ca="1" si="321"/>
        <v>0</v>
      </c>
      <c r="V740" s="359">
        <f t="shared" ca="1" si="322"/>
        <v>0.94712803399317869</v>
      </c>
      <c r="W740" s="357">
        <f t="shared" ca="1" si="323"/>
        <v>8.8518278213103887</v>
      </c>
      <c r="X740" s="343"/>
      <c r="Y740" s="367" t="str">
        <f t="shared" ca="1" si="341"/>
        <v/>
      </c>
      <c r="Z740" s="368" t="str">
        <f t="shared" ca="1" si="342"/>
        <v/>
      </c>
      <c r="AA740" s="369" t="str">
        <f t="shared" ca="1" si="343"/>
        <v/>
      </c>
      <c r="AB740" s="344"/>
      <c r="AC740" s="363" t="e">
        <f t="shared" ca="1" si="344"/>
        <v>#N/A</v>
      </c>
      <c r="AD740" s="376" t="e">
        <f t="shared" ca="1" si="345"/>
        <v>#N/A</v>
      </c>
      <c r="AE740" s="377" t="e">
        <f t="shared" ca="1" si="324"/>
        <v>#N/A</v>
      </c>
      <c r="AF740" s="344"/>
      <c r="AG740" s="359">
        <f t="shared" ca="1" si="346"/>
        <v>7.21013285921308</v>
      </c>
      <c r="AH740" s="357">
        <f t="shared" ca="1" si="347"/>
        <v>-0.89738426928837789</v>
      </c>
    </row>
    <row r="741" spans="1:34" x14ac:dyDescent="0.25">
      <c r="A741" s="402">
        <f t="shared" ca="1" si="325"/>
        <v>0.1</v>
      </c>
      <c r="B741" s="357">
        <f t="shared" ca="1" si="326"/>
        <v>28.700000000000077</v>
      </c>
      <c r="C741" s="342"/>
      <c r="D741" s="359">
        <f t="shared" ca="1" si="327"/>
        <v>-0.51053626290914522</v>
      </c>
      <c r="E741" s="360">
        <f t="shared" ca="1" si="328"/>
        <v>-9.0465431968341523</v>
      </c>
      <c r="F741" s="357">
        <f t="shared" ca="1" si="329"/>
        <v>9.0609376494892366</v>
      </c>
      <c r="G741" s="359">
        <f t="shared" ca="1" si="330"/>
        <v>35.668241778663592</v>
      </c>
      <c r="H741" s="360">
        <f t="shared" ca="1" si="331"/>
        <v>-54.319349929770027</v>
      </c>
      <c r="I741" s="357">
        <f t="shared" ca="1" si="332"/>
        <v>64.983192045128177</v>
      </c>
      <c r="J741" s="359">
        <f t="shared" ca="1" si="333"/>
        <v>1220.0789783071093</v>
      </c>
      <c r="K741" s="360">
        <f t="shared" ca="1" si="334"/>
        <v>2553.1361993034388</v>
      </c>
      <c r="L741" s="357">
        <f t="shared" ca="1" si="319"/>
        <v>2829.6814600764747</v>
      </c>
      <c r="M741" s="359">
        <f t="shared" ca="1" si="335"/>
        <v>-0.9897676291702534</v>
      </c>
      <c r="N741" s="357">
        <f t="shared" ca="1" si="336"/>
        <v>-56.709507850125064</v>
      </c>
      <c r="O741" s="343"/>
      <c r="P741" s="363">
        <f t="shared" ca="1" si="337"/>
        <v>23</v>
      </c>
      <c r="Q741" s="357">
        <f t="shared" ca="1" si="338"/>
        <v>0</v>
      </c>
      <c r="R741" s="359">
        <f t="shared" ca="1" si="339"/>
        <v>0</v>
      </c>
      <c r="S741" s="360">
        <f t="shared" ca="1" si="340"/>
        <v>9.637999999999975</v>
      </c>
      <c r="T741" s="357">
        <f t="shared" ca="1" si="320"/>
        <v>94.548779999999766</v>
      </c>
      <c r="U741" s="364">
        <f t="shared" ca="1" si="321"/>
        <v>0</v>
      </c>
      <c r="V741" s="359">
        <f t="shared" ca="1" si="322"/>
        <v>0.94764683576527986</v>
      </c>
      <c r="W741" s="357">
        <f t="shared" ca="1" si="323"/>
        <v>9.0579144756783965</v>
      </c>
      <c r="X741" s="343"/>
      <c r="Y741" s="367" t="str">
        <f t="shared" ca="1" si="341"/>
        <v/>
      </c>
      <c r="Z741" s="368" t="str">
        <f t="shared" ca="1" si="342"/>
        <v/>
      </c>
      <c r="AA741" s="369" t="str">
        <f t="shared" ca="1" si="343"/>
        <v/>
      </c>
      <c r="AB741" s="344"/>
      <c r="AC741" s="363" t="e">
        <f t="shared" ca="1" si="344"/>
        <v>#N/A</v>
      </c>
      <c r="AD741" s="376" t="e">
        <f t="shared" ca="1" si="345"/>
        <v>#N/A</v>
      </c>
      <c r="AE741" s="377" t="e">
        <f t="shared" ca="1" si="324"/>
        <v>#N/A</v>
      </c>
      <c r="AF741" s="344"/>
      <c r="AG741" s="359">
        <f t="shared" ca="1" si="346"/>
        <v>7.2362597720526542</v>
      </c>
      <c r="AH741" s="357">
        <f t="shared" ca="1" si="347"/>
        <v>-0.91842994618286067</v>
      </c>
    </row>
    <row r="742" spans="1:34" x14ac:dyDescent="0.25">
      <c r="A742" s="402">
        <f t="shared" ca="1" si="325"/>
        <v>0.1</v>
      </c>
      <c r="B742" s="357">
        <f t="shared" ca="1" si="326"/>
        <v>28.800000000000079</v>
      </c>
      <c r="C742" s="342"/>
      <c r="D742" s="359">
        <f t="shared" ca="1" si="327"/>
        <v>-0.51584824237489424</v>
      </c>
      <c r="E742" s="360">
        <f t="shared" ca="1" si="328"/>
        <v>-9.024412043013001</v>
      </c>
      <c r="F742" s="357">
        <f t="shared" ca="1" si="329"/>
        <v>9.0391433294997245</v>
      </c>
      <c r="G742" s="359">
        <f t="shared" ca="1" si="330"/>
        <v>35.616656954426105</v>
      </c>
      <c r="H742" s="360">
        <f t="shared" ca="1" si="331"/>
        <v>-55.221791134071324</v>
      </c>
      <c r="I742" s="357">
        <f t="shared" ca="1" si="332"/>
        <v>65.711433317682761</v>
      </c>
      <c r="J742" s="359">
        <f t="shared" ca="1" si="333"/>
        <v>1223.6432232437637</v>
      </c>
      <c r="K742" s="360">
        <f t="shared" ca="1" si="334"/>
        <v>2547.659142250247</v>
      </c>
      <c r="L742" s="357">
        <f t="shared" ca="1" si="319"/>
        <v>2826.2819821952748</v>
      </c>
      <c r="M742" s="359">
        <f t="shared" ca="1" si="335"/>
        <v>-0.99796196179193097</v>
      </c>
      <c r="N742" s="357">
        <f t="shared" ca="1" si="336"/>
        <v>-57.179008525273559</v>
      </c>
      <c r="O742" s="343"/>
      <c r="P742" s="363">
        <f t="shared" ca="1" si="337"/>
        <v>23</v>
      </c>
      <c r="Q742" s="357">
        <f t="shared" ca="1" si="338"/>
        <v>0</v>
      </c>
      <c r="R742" s="359">
        <f t="shared" ca="1" si="339"/>
        <v>0</v>
      </c>
      <c r="S742" s="360">
        <f t="shared" ca="1" si="340"/>
        <v>9.637999999999975</v>
      </c>
      <c r="T742" s="357">
        <f t="shared" ca="1" si="320"/>
        <v>94.548779999999766</v>
      </c>
      <c r="U742" s="364">
        <f t="shared" ca="1" si="321"/>
        <v>0</v>
      </c>
      <c r="V742" s="359">
        <f t="shared" ca="1" si="322"/>
        <v>0.94817459390641745</v>
      </c>
      <c r="W742" s="357">
        <f t="shared" ca="1" si="323"/>
        <v>9.2672272464041008</v>
      </c>
      <c r="X742" s="343"/>
      <c r="Y742" s="367" t="str">
        <f t="shared" ca="1" si="341"/>
        <v/>
      </c>
      <c r="Z742" s="368" t="str">
        <f t="shared" ca="1" si="342"/>
        <v/>
      </c>
      <c r="AA742" s="369" t="str">
        <f t="shared" ca="1" si="343"/>
        <v/>
      </c>
      <c r="AB742" s="344"/>
      <c r="AC742" s="363" t="e">
        <f t="shared" ca="1" si="344"/>
        <v>#N/A</v>
      </c>
      <c r="AD742" s="376" t="e">
        <f t="shared" ca="1" si="345"/>
        <v>#N/A</v>
      </c>
      <c r="AE742" s="377" t="e">
        <f t="shared" ca="1" si="324"/>
        <v>#N/A</v>
      </c>
      <c r="AF742" s="344"/>
      <c r="AG742" s="359">
        <f t="shared" ca="1" si="346"/>
        <v>7.2603511923064854</v>
      </c>
      <c r="AH742" s="357">
        <f t="shared" ca="1" si="347"/>
        <v>-0.93981266607993563</v>
      </c>
    </row>
    <row r="743" spans="1:34" x14ac:dyDescent="0.25">
      <c r="A743" s="402">
        <f t="shared" ca="1" si="325"/>
        <v>0.1</v>
      </c>
      <c r="B743" s="357">
        <f t="shared" ca="1" si="326"/>
        <v>28.90000000000008</v>
      </c>
      <c r="C743" s="342"/>
      <c r="D743" s="359">
        <f t="shared" ca="1" si="327"/>
        <v>-0.5211648341997811</v>
      </c>
      <c r="E743" s="360">
        <f t="shared" ca="1" si="328"/>
        <v>-9.0019607823544838</v>
      </c>
      <c r="F743" s="357">
        <f t="shared" ca="1" si="329"/>
        <v>9.0170344743410311</v>
      </c>
      <c r="G743" s="359">
        <f t="shared" ca="1" si="330"/>
        <v>35.564540471006126</v>
      </c>
      <c r="H743" s="360">
        <f t="shared" ca="1" si="331"/>
        <v>-56.12198721230677</v>
      </c>
      <c r="I743" s="357">
        <f t="shared" ca="1" si="332"/>
        <v>66.44180903295873</v>
      </c>
      <c r="J743" s="359">
        <f t="shared" ca="1" si="333"/>
        <v>1227.2022831150352</v>
      </c>
      <c r="K743" s="360">
        <f t="shared" ca="1" si="334"/>
        <v>2542.0919533329279</v>
      </c>
      <c r="L743" s="357">
        <f t="shared" ca="1" si="319"/>
        <v>2822.8101145636374</v>
      </c>
      <c r="M743" s="359">
        <f t="shared" ca="1" si="335"/>
        <v>-1.00596480683112</v>
      </c>
      <c r="N743" s="357">
        <f t="shared" ca="1" si="336"/>
        <v>-57.637537770116303</v>
      </c>
      <c r="O743" s="343"/>
      <c r="P743" s="363">
        <f t="shared" ca="1" si="337"/>
        <v>23</v>
      </c>
      <c r="Q743" s="357">
        <f t="shared" ca="1" si="338"/>
        <v>0</v>
      </c>
      <c r="R743" s="359">
        <f t="shared" ca="1" si="339"/>
        <v>0</v>
      </c>
      <c r="S743" s="360">
        <f t="shared" ca="1" si="340"/>
        <v>9.637999999999975</v>
      </c>
      <c r="T743" s="357">
        <f t="shared" ca="1" si="320"/>
        <v>94.548779999999766</v>
      </c>
      <c r="U743" s="364">
        <f t="shared" ca="1" si="321"/>
        <v>0</v>
      </c>
      <c r="V743" s="359">
        <f t="shared" ca="1" si="322"/>
        <v>0.94871129979598801</v>
      </c>
      <c r="W743" s="357">
        <f t="shared" ca="1" si="323"/>
        <v>9.4797435429210033</v>
      </c>
      <c r="X743" s="343"/>
      <c r="Y743" s="367" t="str">
        <f t="shared" ca="1" si="341"/>
        <v/>
      </c>
      <c r="Z743" s="368" t="str">
        <f t="shared" ca="1" si="342"/>
        <v/>
      </c>
      <c r="AA743" s="369" t="str">
        <f t="shared" ca="1" si="343"/>
        <v/>
      </c>
      <c r="AB743" s="344"/>
      <c r="AC743" s="363" t="e">
        <f t="shared" ca="1" si="344"/>
        <v>#N/A</v>
      </c>
      <c r="AD743" s="376" t="e">
        <f t="shared" ca="1" si="345"/>
        <v>#N/A</v>
      </c>
      <c r="AE743" s="377" t="e">
        <f t="shared" ca="1" si="324"/>
        <v>#N/A</v>
      </c>
      <c r="AF743" s="344"/>
      <c r="AG743" s="359">
        <f t="shared" ca="1" si="346"/>
        <v>7.2824807623714136</v>
      </c>
      <c r="AH743" s="357">
        <f t="shared" ca="1" si="347"/>
        <v>-0.96153011479602868</v>
      </c>
    </row>
    <row r="744" spans="1:34" x14ac:dyDescent="0.25">
      <c r="A744" s="402">
        <f t="shared" ca="1" si="325"/>
        <v>0.1</v>
      </c>
      <c r="B744" s="357">
        <f t="shared" ca="1" si="326"/>
        <v>29.000000000000082</v>
      </c>
      <c r="C744" s="342"/>
      <c r="D744" s="359">
        <f t="shared" ca="1" si="327"/>
        <v>-0.52648429341955472</v>
      </c>
      <c r="E744" s="360">
        <f t="shared" ca="1" si="328"/>
        <v>-8.9791908740712962</v>
      </c>
      <c r="F744" s="357">
        <f t="shared" ca="1" si="329"/>
        <v>8.9946125244071933</v>
      </c>
      <c r="G744" s="359">
        <f t="shared" ca="1" si="330"/>
        <v>35.511892041664169</v>
      </c>
      <c r="H744" s="360">
        <f t="shared" ca="1" si="331"/>
        <v>-57.019906299713902</v>
      </c>
      <c r="I744" s="357">
        <f t="shared" ca="1" si="332"/>
        <v>67.174133346154633</v>
      </c>
      <c r="J744" s="359">
        <f t="shared" ca="1" si="333"/>
        <v>1230.7561047406687</v>
      </c>
      <c r="K744" s="360">
        <f t="shared" ca="1" si="334"/>
        <v>2536.4348586573269</v>
      </c>
      <c r="L744" s="357">
        <f t="shared" ca="1" si="319"/>
        <v>2819.2662842605764</v>
      </c>
      <c r="M744" s="359">
        <f t="shared" ca="1" si="335"/>
        <v>-1.0137819328169824</v>
      </c>
      <c r="N744" s="357">
        <f t="shared" ca="1" si="336"/>
        <v>-58.085426097028261</v>
      </c>
      <c r="O744" s="343"/>
      <c r="P744" s="363">
        <f t="shared" ca="1" si="337"/>
        <v>23</v>
      </c>
      <c r="Q744" s="357">
        <f t="shared" ca="1" si="338"/>
        <v>0</v>
      </c>
      <c r="R744" s="359">
        <f t="shared" ca="1" si="339"/>
        <v>0</v>
      </c>
      <c r="S744" s="360">
        <f t="shared" ca="1" si="340"/>
        <v>9.637999999999975</v>
      </c>
      <c r="T744" s="357">
        <f t="shared" ca="1" si="320"/>
        <v>94.548779999999766</v>
      </c>
      <c r="U744" s="364">
        <f t="shared" ca="1" si="321"/>
        <v>0</v>
      </c>
      <c r="V744" s="359">
        <f t="shared" ca="1" si="322"/>
        <v>0.94925694469046651</v>
      </c>
      <c r="W744" s="357">
        <f t="shared" ca="1" si="323"/>
        <v>9.6954404903485027</v>
      </c>
      <c r="X744" s="343"/>
      <c r="Y744" s="367" t="str">
        <f t="shared" ca="1" si="341"/>
        <v/>
      </c>
      <c r="Z744" s="368" t="str">
        <f t="shared" ca="1" si="342"/>
        <v/>
      </c>
      <c r="AA744" s="369" t="str">
        <f t="shared" ca="1" si="343"/>
        <v/>
      </c>
      <c r="AB744" s="344"/>
      <c r="AC744" s="363">
        <f t="shared" ca="1" si="344"/>
        <v>29.000000000000082</v>
      </c>
      <c r="AD744" s="376">
        <f t="shared" ca="1" si="345"/>
        <v>1230.7561047406687</v>
      </c>
      <c r="AE744" s="377" t="e">
        <f t="shared" ca="1" si="324"/>
        <v>#N/A</v>
      </c>
      <c r="AF744" s="344"/>
      <c r="AG744" s="359">
        <f t="shared" ca="1" si="346"/>
        <v>7.3027190335852188</v>
      </c>
      <c r="AH744" s="357">
        <f t="shared" ca="1" si="347"/>
        <v>-0.98357994842509111</v>
      </c>
    </row>
    <row r="745" spans="1:34" x14ac:dyDescent="0.25">
      <c r="A745" s="402">
        <f t="shared" ca="1" si="325"/>
        <v>0.1</v>
      </c>
      <c r="B745" s="357">
        <f t="shared" ca="1" si="326"/>
        <v>29.100000000000083</v>
      </c>
      <c r="C745" s="342"/>
      <c r="D745" s="359">
        <f t="shared" ca="1" si="327"/>
        <v>-0.53180493454428823</v>
      </c>
      <c r="E745" s="360">
        <f t="shared" ca="1" si="328"/>
        <v>-8.9561038600290885</v>
      </c>
      <c r="F745" s="357">
        <f t="shared" ca="1" si="329"/>
        <v>8.9718790027526332</v>
      </c>
      <c r="G745" s="359">
        <f t="shared" ca="1" si="330"/>
        <v>35.458711548209742</v>
      </c>
      <c r="H745" s="360">
        <f t="shared" ca="1" si="331"/>
        <v>-57.91551668571681</v>
      </c>
      <c r="I745" s="357">
        <f t="shared" ca="1" si="332"/>
        <v>67.908227024659425</v>
      </c>
      <c r="J745" s="359">
        <f t="shared" ca="1" si="333"/>
        <v>1234.3046349201622</v>
      </c>
      <c r="K745" s="360">
        <f t="shared" ca="1" si="334"/>
        <v>2530.6880875080556</v>
      </c>
      <c r="L745" s="357">
        <f t="shared" ca="1" si="319"/>
        <v>2815.6509243939622</v>
      </c>
      <c r="M745" s="359">
        <f t="shared" ca="1" si="335"/>
        <v>-1.0214189290574684</v>
      </c>
      <c r="N745" s="357">
        <f t="shared" ca="1" si="336"/>
        <v>-58.522993749765391</v>
      </c>
      <c r="O745" s="343"/>
      <c r="P745" s="363">
        <f t="shared" ca="1" si="337"/>
        <v>23</v>
      </c>
      <c r="Q745" s="357">
        <f t="shared" ca="1" si="338"/>
        <v>0</v>
      </c>
      <c r="R745" s="359">
        <f t="shared" ca="1" si="339"/>
        <v>0</v>
      </c>
      <c r="S745" s="360">
        <f t="shared" ca="1" si="340"/>
        <v>9.637999999999975</v>
      </c>
      <c r="T745" s="357">
        <f t="shared" ca="1" si="320"/>
        <v>94.548779999999766</v>
      </c>
      <c r="U745" s="364">
        <f t="shared" ca="1" si="321"/>
        <v>0</v>
      </c>
      <c r="V745" s="359">
        <f t="shared" ca="1" si="322"/>
        <v>0.94981151972307587</v>
      </c>
      <c r="W745" s="357">
        <f t="shared" ca="1" si="323"/>
        <v>9.9142949317827576</v>
      </c>
      <c r="X745" s="343"/>
      <c r="Y745" s="367" t="str">
        <f t="shared" ca="1" si="341"/>
        <v/>
      </c>
      <c r="Z745" s="368" t="str">
        <f t="shared" ca="1" si="342"/>
        <v/>
      </c>
      <c r="AA745" s="369" t="str">
        <f t="shared" ca="1" si="343"/>
        <v/>
      </c>
      <c r="AB745" s="344"/>
      <c r="AC745" s="363" t="e">
        <f t="shared" ca="1" si="344"/>
        <v>#N/A</v>
      </c>
      <c r="AD745" s="376" t="e">
        <f t="shared" ca="1" si="345"/>
        <v>#N/A</v>
      </c>
      <c r="AE745" s="377" t="e">
        <f t="shared" ca="1" si="324"/>
        <v>#N/A</v>
      </c>
      <c r="AF745" s="344"/>
      <c r="AG745" s="359">
        <f t="shared" ca="1" si="346"/>
        <v>7.3211335820643821</v>
      </c>
      <c r="AH745" s="357">
        <f t="shared" ca="1" si="347"/>
        <v>-1.0059597935617897</v>
      </c>
    </row>
    <row r="746" spans="1:34" x14ac:dyDescent="0.25">
      <c r="A746" s="402">
        <f t="shared" ca="1" si="325"/>
        <v>0.1</v>
      </c>
      <c r="B746" s="357">
        <f t="shared" ca="1" si="326"/>
        <v>29.200000000000085</v>
      </c>
      <c r="C746" s="342"/>
      <c r="D746" s="359">
        <f t="shared" ca="1" si="327"/>
        <v>-0.53712512912961308</v>
      </c>
      <c r="E746" s="360">
        <f t="shared" ca="1" si="328"/>
        <v>-8.9327013610991042</v>
      </c>
      <c r="F746" s="357">
        <f t="shared" ca="1" si="329"/>
        <v>8.9488355114464078</v>
      </c>
      <c r="G746" s="359">
        <f t="shared" ca="1" si="330"/>
        <v>35.404999035296782</v>
      </c>
      <c r="H746" s="360">
        <f t="shared" ca="1" si="331"/>
        <v>-58.808786821826722</v>
      </c>
      <c r="I746" s="357">
        <f t="shared" ca="1" si="332"/>
        <v>68.643917167833791</v>
      </c>
      <c r="J746" s="359">
        <f t="shared" ca="1" si="333"/>
        <v>1237.8478204493376</v>
      </c>
      <c r="K746" s="360">
        <f t="shared" ca="1" si="334"/>
        <v>2524.8518723326783</v>
      </c>
      <c r="L746" s="357">
        <f t="shared" ca="1" si="319"/>
        <v>2811.9644741377879</v>
      </c>
      <c r="M746" s="359">
        <f t="shared" ca="1" si="335"/>
        <v>-1.0288812090178396</v>
      </c>
      <c r="N746" s="357">
        <f t="shared" ca="1" si="336"/>
        <v>-58.950550897039705</v>
      </c>
      <c r="O746" s="343"/>
      <c r="P746" s="363">
        <f t="shared" ca="1" si="337"/>
        <v>23</v>
      </c>
      <c r="Q746" s="357">
        <f t="shared" ca="1" si="338"/>
        <v>0</v>
      </c>
      <c r="R746" s="359">
        <f t="shared" ca="1" si="339"/>
        <v>0</v>
      </c>
      <c r="S746" s="360">
        <f t="shared" ca="1" si="340"/>
        <v>9.637999999999975</v>
      </c>
      <c r="T746" s="357">
        <f t="shared" ca="1" si="320"/>
        <v>94.548779999999766</v>
      </c>
      <c r="U746" s="364">
        <f t="shared" ca="1" si="321"/>
        <v>0</v>
      </c>
      <c r="V746" s="359">
        <f t="shared" ca="1" si="322"/>
        <v>0.95037501590351425</v>
      </c>
      <c r="W746" s="357">
        <f t="shared" ca="1" si="323"/>
        <v>10.136283430721095</v>
      </c>
      <c r="X746" s="343"/>
      <c r="Y746" s="367" t="str">
        <f t="shared" ca="1" si="341"/>
        <v/>
      </c>
      <c r="Z746" s="368" t="str">
        <f t="shared" ca="1" si="342"/>
        <v/>
      </c>
      <c r="AA746" s="369" t="str">
        <f t="shared" ca="1" si="343"/>
        <v/>
      </c>
      <c r="AB746" s="344"/>
      <c r="AC746" s="363" t="e">
        <f t="shared" ca="1" si="344"/>
        <v>#N/A</v>
      </c>
      <c r="AD746" s="376" t="e">
        <f t="shared" ca="1" si="345"/>
        <v>#N/A</v>
      </c>
      <c r="AE746" s="377" t="e">
        <f t="shared" ca="1" si="324"/>
        <v>#N/A</v>
      </c>
      <c r="AF746" s="344"/>
      <c r="AG746" s="359">
        <f t="shared" ca="1" si="346"/>
        <v>7.3377891242428239</v>
      </c>
      <c r="AH746" s="357">
        <f t="shared" ca="1" si="347"/>
        <v>-1.0286672475391974</v>
      </c>
    </row>
    <row r="747" spans="1:34" x14ac:dyDescent="0.25">
      <c r="A747" s="402">
        <f t="shared" ca="1" si="325"/>
        <v>0.1</v>
      </c>
      <c r="B747" s="357">
        <f t="shared" ca="1" si="326"/>
        <v>29.300000000000086</v>
      </c>
      <c r="C747" s="342"/>
      <c r="D747" s="359">
        <f t="shared" ca="1" si="327"/>
        <v>-0.54244330344754188</v>
      </c>
      <c r="E747" s="360">
        <f t="shared" ca="1" si="328"/>
        <v>-8.9089850737300971</v>
      </c>
      <c r="F747" s="357">
        <f t="shared" ca="1" si="329"/>
        <v>8.9254837281460961</v>
      </c>
      <c r="G747" s="359">
        <f t="shared" ca="1" si="330"/>
        <v>35.350754704952031</v>
      </c>
      <c r="H747" s="360">
        <f t="shared" ca="1" si="331"/>
        <v>-59.699685329199731</v>
      </c>
      <c r="I747" s="357">
        <f t="shared" ca="1" si="332"/>
        <v>69.381036938165991</v>
      </c>
      <c r="J747" s="359">
        <f t="shared" ca="1" si="333"/>
        <v>1241.3856081363501</v>
      </c>
      <c r="K747" s="360">
        <f t="shared" ca="1" si="334"/>
        <v>2518.9264487251271</v>
      </c>
      <c r="L747" s="357">
        <f t="shared" ca="1" si="319"/>
        <v>2808.2073787694235</v>
      </c>
      <c r="M747" s="359">
        <f t="shared" ca="1" si="335"/>
        <v>-1.036174013980437</v>
      </c>
      <c r="N747" s="357">
        <f t="shared" ca="1" si="336"/>
        <v>-59.368397842208594</v>
      </c>
      <c r="O747" s="343"/>
      <c r="P747" s="363">
        <f t="shared" ca="1" si="337"/>
        <v>23</v>
      </c>
      <c r="Q747" s="357">
        <f t="shared" ca="1" si="338"/>
        <v>0</v>
      </c>
      <c r="R747" s="359">
        <f t="shared" ca="1" si="339"/>
        <v>0</v>
      </c>
      <c r="S747" s="360">
        <f t="shared" ca="1" si="340"/>
        <v>9.637999999999975</v>
      </c>
      <c r="T747" s="357">
        <f t="shared" ca="1" si="320"/>
        <v>94.548779999999766</v>
      </c>
      <c r="U747" s="364">
        <f t="shared" ca="1" si="321"/>
        <v>0</v>
      </c>
      <c r="V747" s="359">
        <f t="shared" ca="1" si="322"/>
        <v>0.95094742411772726</v>
      </c>
      <c r="W747" s="357">
        <f t="shared" ca="1" si="323"/>
        <v>10.361382273613875</v>
      </c>
      <c r="X747" s="343"/>
      <c r="Y747" s="367" t="str">
        <f t="shared" ca="1" si="341"/>
        <v/>
      </c>
      <c r="Z747" s="368" t="str">
        <f t="shared" ca="1" si="342"/>
        <v/>
      </c>
      <c r="AA747" s="369" t="str">
        <f t="shared" ca="1" si="343"/>
        <v/>
      </c>
      <c r="AB747" s="344"/>
      <c r="AC747" s="363" t="e">
        <f t="shared" ca="1" si="344"/>
        <v>#N/A</v>
      </c>
      <c r="AD747" s="376" t="e">
        <f t="shared" ca="1" si="345"/>
        <v>#N/A</v>
      </c>
      <c r="AE747" s="377" t="e">
        <f t="shared" ca="1" si="324"/>
        <v>#N/A</v>
      </c>
      <c r="AF747" s="344"/>
      <c r="AG747" s="359">
        <f t="shared" ca="1" si="346"/>
        <v>7.3527476313819129</v>
      </c>
      <c r="AH747" s="357">
        <f t="shared" ca="1" si="347"/>
        <v>-1.0516998786803404</v>
      </c>
    </row>
    <row r="748" spans="1:34" x14ac:dyDescent="0.25">
      <c r="A748" s="402">
        <f t="shared" ca="1" si="325"/>
        <v>0.1</v>
      </c>
      <c r="B748" s="357">
        <f t="shared" ca="1" si="326"/>
        <v>29.400000000000087</v>
      </c>
      <c r="C748" s="342"/>
      <c r="D748" s="359">
        <f t="shared" ca="1" si="327"/>
        <v>-0.54775793625532354</v>
      </c>
      <c r="E748" s="360">
        <f t="shared" ca="1" si="328"/>
        <v>-8.8849567667240272</v>
      </c>
      <c r="F748" s="357">
        <f t="shared" ca="1" si="329"/>
        <v>8.9018254028758488</v>
      </c>
      <c r="G748" s="359">
        <f t="shared" ca="1" si="330"/>
        <v>35.2959789113265</v>
      </c>
      <c r="H748" s="360">
        <f t="shared" ca="1" si="331"/>
        <v>-60.588181005872137</v>
      </c>
      <c r="I748" s="357">
        <f t="shared" ca="1" si="332"/>
        <v>70.119425303614193</v>
      </c>
      <c r="J748" s="359">
        <f t="shared" ca="1" si="333"/>
        <v>1244.917944817164</v>
      </c>
      <c r="K748" s="360">
        <f t="shared" ca="1" si="334"/>
        <v>2512.9120554083734</v>
      </c>
      <c r="L748" s="357">
        <f t="shared" ca="1" si="319"/>
        <v>2804.3800897069082</v>
      </c>
      <c r="M748" s="359">
        <f t="shared" ca="1" si="335"/>
        <v>-1.0433024169285459</v>
      </c>
      <c r="N748" s="357">
        <f t="shared" ca="1" si="336"/>
        <v>-59.776825245803849</v>
      </c>
      <c r="O748" s="343"/>
      <c r="P748" s="363">
        <f t="shared" ca="1" si="337"/>
        <v>23</v>
      </c>
      <c r="Q748" s="357">
        <f t="shared" ca="1" si="338"/>
        <v>0</v>
      </c>
      <c r="R748" s="359">
        <f t="shared" ca="1" si="339"/>
        <v>0</v>
      </c>
      <c r="S748" s="360">
        <f t="shared" ca="1" si="340"/>
        <v>9.637999999999975</v>
      </c>
      <c r="T748" s="357">
        <f t="shared" ca="1" si="320"/>
        <v>94.548779999999766</v>
      </c>
      <c r="U748" s="364">
        <f t="shared" ca="1" si="321"/>
        <v>0</v>
      </c>
      <c r="V748" s="359">
        <f t="shared" ca="1" si="322"/>
        <v>0.95152873512773839</v>
      </c>
      <c r="W748" s="357">
        <f t="shared" ca="1" si="323"/>
        <v>10.589567472538434</v>
      </c>
      <c r="X748" s="343"/>
      <c r="Y748" s="367" t="str">
        <f t="shared" ca="1" si="341"/>
        <v/>
      </c>
      <c r="Z748" s="368" t="str">
        <f t="shared" ca="1" si="342"/>
        <v/>
      </c>
      <c r="AA748" s="369" t="str">
        <f t="shared" ca="1" si="343"/>
        <v/>
      </c>
      <c r="AB748" s="344"/>
      <c r="AC748" s="363" t="e">
        <f t="shared" ca="1" si="344"/>
        <v>#N/A</v>
      </c>
      <c r="AD748" s="376" t="e">
        <f t="shared" ca="1" si="345"/>
        <v>#N/A</v>
      </c>
      <c r="AE748" s="377" t="e">
        <f t="shared" ca="1" si="324"/>
        <v>#N/A</v>
      </c>
      <c r="AF748" s="344"/>
      <c r="AG748" s="359">
        <f t="shared" ca="1" si="346"/>
        <v>7.3660684424504801</v>
      </c>
      <c r="AH748" s="357">
        <f t="shared" ca="1" si="347"/>
        <v>-1.0750552265629698</v>
      </c>
    </row>
    <row r="749" spans="1:34" x14ac:dyDescent="0.25">
      <c r="A749" s="402">
        <f t="shared" ca="1" si="325"/>
        <v>0.1</v>
      </c>
      <c r="B749" s="357">
        <f t="shared" ca="1" si="326"/>
        <v>29.500000000000089</v>
      </c>
      <c r="C749" s="342"/>
      <c r="D749" s="359">
        <f t="shared" ca="1" si="327"/>
        <v>-0.55306755666037632</v>
      </c>
      <c r="E749" s="360">
        <f t="shared" ca="1" si="328"/>
        <v>-8.8606182782010574</v>
      </c>
      <c r="F749" s="357">
        <f t="shared" ca="1" si="329"/>
        <v>8.8778623549940754</v>
      </c>
      <c r="G749" s="359">
        <f t="shared" ca="1" si="330"/>
        <v>35.240672155660462</v>
      </c>
      <c r="H749" s="360">
        <f t="shared" ca="1" si="331"/>
        <v>-61.474242833692244</v>
      </c>
      <c r="I749" s="357">
        <f t="shared" ca="1" si="332"/>
        <v>70.858926790902672</v>
      </c>
      <c r="J749" s="359">
        <f t="shared" ca="1" si="333"/>
        <v>1248.4447773705133</v>
      </c>
      <c r="K749" s="360">
        <f t="shared" ca="1" si="334"/>
        <v>2506.8089342163953</v>
      </c>
      <c r="L749" s="357">
        <f t="shared" ca="1" si="319"/>
        <v>2800.483064546338</v>
      </c>
      <c r="M749" s="359">
        <f t="shared" ca="1" si="335"/>
        <v>-1.0502713266041852</v>
      </c>
      <c r="N749" s="357">
        <f t="shared" ca="1" si="336"/>
        <v>-60.17611435802587</v>
      </c>
      <c r="O749" s="343"/>
      <c r="P749" s="363">
        <f t="shared" ca="1" si="337"/>
        <v>23</v>
      </c>
      <c r="Q749" s="357">
        <f t="shared" ca="1" si="338"/>
        <v>0</v>
      </c>
      <c r="R749" s="359">
        <f t="shared" ca="1" si="339"/>
        <v>0</v>
      </c>
      <c r="S749" s="360">
        <f t="shared" ca="1" si="340"/>
        <v>9.637999999999975</v>
      </c>
      <c r="T749" s="357">
        <f t="shared" ca="1" si="320"/>
        <v>94.548779999999766</v>
      </c>
      <c r="U749" s="364">
        <f t="shared" ca="1" si="321"/>
        <v>0</v>
      </c>
      <c r="V749" s="359">
        <f t="shared" ca="1" si="322"/>
        <v>0.95211893957151961</v>
      </c>
      <c r="W749" s="357">
        <f t="shared" ca="1" si="323"/>
        <v>10.820814767989681</v>
      </c>
      <c r="X749" s="343"/>
      <c r="Y749" s="367" t="str">
        <f t="shared" ca="1" si="341"/>
        <v/>
      </c>
      <c r="Z749" s="368" t="str">
        <f t="shared" ca="1" si="342"/>
        <v/>
      </c>
      <c r="AA749" s="369" t="str">
        <f t="shared" ca="1" si="343"/>
        <v/>
      </c>
      <c r="AB749" s="344"/>
      <c r="AC749" s="363" t="e">
        <f t="shared" ca="1" si="344"/>
        <v>#N/A</v>
      </c>
      <c r="AD749" s="376" t="e">
        <f t="shared" ca="1" si="345"/>
        <v>#N/A</v>
      </c>
      <c r="AE749" s="377" t="e">
        <f t="shared" ca="1" si="324"/>
        <v>#N/A</v>
      </c>
      <c r="AF749" s="344"/>
      <c r="AG749" s="359">
        <f t="shared" ca="1" si="346"/>
        <v>7.3778083748854764</v>
      </c>
      <c r="AH749" s="357">
        <f t="shared" ca="1" si="347"/>
        <v>-1.0987308022969975</v>
      </c>
    </row>
    <row r="750" spans="1:34" x14ac:dyDescent="0.25">
      <c r="A750" s="402">
        <f t="shared" ca="1" si="325"/>
        <v>0.1</v>
      </c>
      <c r="B750" s="357">
        <f t="shared" ca="1" si="326"/>
        <v>29.60000000000009</v>
      </c>
      <c r="C750" s="342"/>
      <c r="D750" s="359">
        <f t="shared" ca="1" si="327"/>
        <v>-0.55837074207900428</v>
      </c>
      <c r="E750" s="360">
        <f t="shared" ca="1" si="328"/>
        <v>-8.8359715127402811</v>
      </c>
      <c r="F750" s="357">
        <f t="shared" ca="1" si="329"/>
        <v>8.8535964703372159</v>
      </c>
      <c r="G750" s="359">
        <f t="shared" ca="1" si="330"/>
        <v>35.184835081452562</v>
      </c>
      <c r="H750" s="360">
        <f t="shared" ca="1" si="331"/>
        <v>-62.357839984966276</v>
      </c>
      <c r="I750" s="357">
        <f t="shared" ca="1" si="332"/>
        <v>71.599391249504876</v>
      </c>
      <c r="J750" s="359">
        <f t="shared" ca="1" si="333"/>
        <v>1251.966052732369</v>
      </c>
      <c r="K750" s="360">
        <f t="shared" ca="1" si="334"/>
        <v>2500.6173300754622</v>
      </c>
      <c r="L750" s="357">
        <f t="shared" ca="1" si="319"/>
        <v>2796.516767099386</v>
      </c>
      <c r="M750" s="359">
        <f t="shared" ca="1" si="335"/>
        <v>-1.0570854916959349</v>
      </c>
      <c r="N750" s="357">
        <f t="shared" ca="1" si="336"/>
        <v>-60.566537258688498</v>
      </c>
      <c r="O750" s="343"/>
      <c r="P750" s="363">
        <f t="shared" ca="1" si="337"/>
        <v>23</v>
      </c>
      <c r="Q750" s="357">
        <f t="shared" ca="1" si="338"/>
        <v>0</v>
      </c>
      <c r="R750" s="359">
        <f t="shared" ca="1" si="339"/>
        <v>0</v>
      </c>
      <c r="S750" s="360">
        <f t="shared" ca="1" si="340"/>
        <v>9.637999999999975</v>
      </c>
      <c r="T750" s="357">
        <f t="shared" ca="1" si="320"/>
        <v>94.548779999999766</v>
      </c>
      <c r="U750" s="364">
        <f t="shared" ca="1" si="321"/>
        <v>0</v>
      </c>
      <c r="V750" s="359">
        <f t="shared" ca="1" si="322"/>
        <v>0.95271802796290939</v>
      </c>
      <c r="W750" s="357">
        <f t="shared" ca="1" si="323"/>
        <v>11.055099631782552</v>
      </c>
      <c r="X750" s="343"/>
      <c r="Y750" s="367" t="str">
        <f t="shared" ca="1" si="341"/>
        <v/>
      </c>
      <c r="Z750" s="368" t="str">
        <f t="shared" ca="1" si="342"/>
        <v/>
      </c>
      <c r="AA750" s="369" t="str">
        <f t="shared" ca="1" si="343"/>
        <v/>
      </c>
      <c r="AB750" s="344"/>
      <c r="AC750" s="363" t="e">
        <f t="shared" ca="1" si="344"/>
        <v>#N/A</v>
      </c>
      <c r="AD750" s="376" t="e">
        <f t="shared" ca="1" si="345"/>
        <v>#N/A</v>
      </c>
      <c r="AE750" s="377" t="e">
        <f t="shared" ca="1" si="324"/>
        <v>#N/A</v>
      </c>
      <c r="AF750" s="344"/>
      <c r="AG750" s="359">
        <f t="shared" ca="1" si="346"/>
        <v>7.388021832840904</v>
      </c>
      <c r="AH750" s="357">
        <f t="shared" ca="1" si="347"/>
        <v>-1.1227240888140391</v>
      </c>
    </row>
    <row r="751" spans="1:34" x14ac:dyDescent="0.25">
      <c r="A751" s="402">
        <f t="shared" ca="1" si="325"/>
        <v>0.1</v>
      </c>
      <c r="B751" s="357">
        <f t="shared" ca="1" si="326"/>
        <v>29.700000000000092</v>
      </c>
      <c r="C751" s="342"/>
      <c r="D751" s="359">
        <f t="shared" ca="1" si="327"/>
        <v>-0.56366611628634944</v>
      </c>
      <c r="E751" s="360">
        <f t="shared" ca="1" si="328"/>
        <v>-8.8110184386835435</v>
      </c>
      <c r="F751" s="357">
        <f t="shared" ca="1" si="329"/>
        <v>8.8290296985269414</v>
      </c>
      <c r="G751" s="359">
        <f t="shared" ca="1" si="330"/>
        <v>35.128468469823929</v>
      </c>
      <c r="H751" s="360">
        <f t="shared" ca="1" si="331"/>
        <v>-63.238941828834633</v>
      </c>
      <c r="I751" s="357">
        <f t="shared" ca="1" si="332"/>
        <v>72.340673626018614</v>
      </c>
      <c r="J751" s="359">
        <f t="shared" ca="1" si="333"/>
        <v>1255.4817179099327</v>
      </c>
      <c r="K751" s="360">
        <f t="shared" ca="1" si="334"/>
        <v>2494.3374909847721</v>
      </c>
      <c r="L751" s="357">
        <f t="shared" ca="1" si="319"/>
        <v>2792.4816674310118</v>
      </c>
      <c r="M751" s="359">
        <f t="shared" ca="1" si="335"/>
        <v>-1.0637495051185466</v>
      </c>
      <c r="N751" s="357">
        <f t="shared" ca="1" si="336"/>
        <v>-60.948357102422683</v>
      </c>
      <c r="O751" s="343"/>
      <c r="P751" s="363">
        <f t="shared" ca="1" si="337"/>
        <v>23</v>
      </c>
      <c r="Q751" s="357">
        <f t="shared" ca="1" si="338"/>
        <v>0</v>
      </c>
      <c r="R751" s="359">
        <f t="shared" ca="1" si="339"/>
        <v>0</v>
      </c>
      <c r="S751" s="360">
        <f t="shared" ca="1" si="340"/>
        <v>9.637999999999975</v>
      </c>
      <c r="T751" s="357">
        <f t="shared" ca="1" si="320"/>
        <v>94.548779999999766</v>
      </c>
      <c r="U751" s="364">
        <f t="shared" ca="1" si="321"/>
        <v>0</v>
      </c>
      <c r="V751" s="359">
        <f t="shared" ca="1" si="322"/>
        <v>0.9533259906915732</v>
      </c>
      <c r="W751" s="357">
        <f t="shared" ca="1" si="323"/>
        <v>11.292397270061519</v>
      </c>
      <c r="X751" s="343"/>
      <c r="Y751" s="367" t="str">
        <f t="shared" ca="1" si="341"/>
        <v/>
      </c>
      <c r="Z751" s="368" t="str">
        <f t="shared" ca="1" si="342"/>
        <v/>
      </c>
      <c r="AA751" s="369" t="str">
        <f t="shared" ca="1" si="343"/>
        <v/>
      </c>
      <c r="AB751" s="344"/>
      <c r="AC751" s="363" t="e">
        <f t="shared" ca="1" si="344"/>
        <v>#N/A</v>
      </c>
      <c r="AD751" s="376" t="e">
        <f t="shared" ca="1" si="345"/>
        <v>#N/A</v>
      </c>
      <c r="AE751" s="377" t="e">
        <f t="shared" ca="1" si="324"/>
        <v>#N/A</v>
      </c>
      <c r="AF751" s="344"/>
      <c r="AG751" s="359">
        <f t="shared" ca="1" si="346"/>
        <v>7.3967609126165588</v>
      </c>
      <c r="AH751" s="357">
        <f t="shared" ca="1" si="347"/>
        <v>-1.14703254116856</v>
      </c>
    </row>
    <row r="752" spans="1:34" x14ac:dyDescent="0.25">
      <c r="A752" s="402">
        <f t="shared" ca="1" si="325"/>
        <v>0.1</v>
      </c>
      <c r="B752" s="357">
        <f t="shared" ca="1" si="326"/>
        <v>29.800000000000093</v>
      </c>
      <c r="C752" s="342"/>
      <c r="D752" s="359">
        <f t="shared" ca="1" si="327"/>
        <v>-0.56895234755482738</v>
      </c>
      <c r="E752" s="360">
        <f t="shared" ca="1" si="328"/>
        <v>-8.7857610855905612</v>
      </c>
      <c r="F752" s="357">
        <f t="shared" ca="1" si="329"/>
        <v>8.8041640504289553</v>
      </c>
      <c r="G752" s="359">
        <f t="shared" ca="1" si="330"/>
        <v>35.071573235068449</v>
      </c>
      <c r="H752" s="360">
        <f t="shared" ca="1" si="331"/>
        <v>-64.117517937393686</v>
      </c>
      <c r="I752" s="357">
        <f t="shared" ca="1" si="332"/>
        <v>73.082633748618903</v>
      </c>
      <c r="J752" s="359">
        <f t="shared" ca="1" si="333"/>
        <v>1258.9917199951774</v>
      </c>
      <c r="K752" s="360">
        <f t="shared" ca="1" si="334"/>
        <v>2487.9696679964609</v>
      </c>
      <c r="L752" s="357">
        <f t="shared" ca="1" si="319"/>
        <v>2788.3782418973997</v>
      </c>
      <c r="M752" s="359">
        <f t="shared" ca="1" si="335"/>
        <v>-1.0702678083511215</v>
      </c>
      <c r="N752" s="357">
        <f t="shared" ca="1" si="336"/>
        <v>-61.321828367235703</v>
      </c>
      <c r="O752" s="343"/>
      <c r="P752" s="363">
        <f t="shared" ca="1" si="337"/>
        <v>23</v>
      </c>
      <c r="Q752" s="357">
        <f t="shared" ca="1" si="338"/>
        <v>0</v>
      </c>
      <c r="R752" s="359">
        <f t="shared" ca="1" si="339"/>
        <v>0</v>
      </c>
      <c r="S752" s="360">
        <f t="shared" ca="1" si="340"/>
        <v>9.637999999999975</v>
      </c>
      <c r="T752" s="357">
        <f t="shared" ca="1" si="320"/>
        <v>94.548779999999766</v>
      </c>
      <c r="U752" s="364">
        <f t="shared" ca="1" si="321"/>
        <v>0</v>
      </c>
      <c r="V752" s="359">
        <f t="shared" ca="1" si="322"/>
        <v>0.95394281802300196</v>
      </c>
      <c r="W752" s="357">
        <f t="shared" ca="1" si="323"/>
        <v>11.53268262641285</v>
      </c>
      <c r="X752" s="343"/>
      <c r="Y752" s="367" t="str">
        <f t="shared" ca="1" si="341"/>
        <v/>
      </c>
      <c r="Z752" s="368" t="str">
        <f t="shared" ca="1" si="342"/>
        <v/>
      </c>
      <c r="AA752" s="369" t="str">
        <f t="shared" ca="1" si="343"/>
        <v/>
      </c>
      <c r="AB752" s="344"/>
      <c r="AC752" s="363" t="e">
        <f t="shared" ca="1" si="344"/>
        <v>#N/A</v>
      </c>
      <c r="AD752" s="376" t="e">
        <f t="shared" ca="1" si="345"/>
        <v>#N/A</v>
      </c>
      <c r="AE752" s="377" t="e">
        <f t="shared" ca="1" si="324"/>
        <v>#N/A</v>
      </c>
      <c r="AF752" s="344"/>
      <c r="AG752" s="359">
        <f t="shared" ca="1" si="346"/>
        <v>7.4040755050302005</v>
      </c>
      <c r="AH752" s="357">
        <f t="shared" ca="1" si="347"/>
        <v>-1.1716535868501294</v>
      </c>
    </row>
    <row r="753" spans="1:34" x14ac:dyDescent="0.25">
      <c r="A753" s="402">
        <f t="shared" ca="1" si="325"/>
        <v>0.1</v>
      </c>
      <c r="B753" s="357">
        <f t="shared" ca="1" si="326"/>
        <v>29.900000000000095</v>
      </c>
      <c r="C753" s="342"/>
      <c r="D753" s="359">
        <f t="shared" ca="1" si="327"/>
        <v>-0.5742281468781697</v>
      </c>
      <c r="E753" s="360">
        <f t="shared" ca="1" si="328"/>
        <v>-8.7602015418343839</v>
      </c>
      <c r="F753" s="357">
        <f t="shared" ca="1" si="329"/>
        <v>8.779001595752483</v>
      </c>
      <c r="G753" s="359">
        <f t="shared" ca="1" si="330"/>
        <v>35.014150420380631</v>
      </c>
      <c r="H753" s="360">
        <f t="shared" ca="1" si="331"/>
        <v>-64.993538091577122</v>
      </c>
      <c r="I753" s="357">
        <f t="shared" ca="1" si="332"/>
        <v>73.825136121258367</v>
      </c>
      <c r="J753" s="359">
        <f t="shared" ca="1" si="333"/>
        <v>1262.4960061779498</v>
      </c>
      <c r="K753" s="360">
        <f t="shared" ca="1" si="334"/>
        <v>2481.5141151950124</v>
      </c>
      <c r="L753" s="357">
        <f t="shared" ca="1" si="319"/>
        <v>2784.2069731841702</v>
      </c>
      <c r="M753" s="359">
        <f t="shared" ca="1" si="335"/>
        <v>-1.076644695805151</v>
      </c>
      <c r="N753" s="357">
        <f t="shared" ca="1" si="336"/>
        <v>-61.687197104781518</v>
      </c>
      <c r="O753" s="343"/>
      <c r="P753" s="363">
        <f t="shared" ca="1" si="337"/>
        <v>23</v>
      </c>
      <c r="Q753" s="357">
        <f t="shared" ca="1" si="338"/>
        <v>0</v>
      </c>
      <c r="R753" s="359">
        <f t="shared" ca="1" si="339"/>
        <v>0</v>
      </c>
      <c r="S753" s="360">
        <f t="shared" ca="1" si="340"/>
        <v>9.637999999999975</v>
      </c>
      <c r="T753" s="357">
        <f t="shared" ca="1" si="320"/>
        <v>94.548779999999766</v>
      </c>
      <c r="U753" s="364">
        <f t="shared" ca="1" si="321"/>
        <v>0</v>
      </c>
      <c r="V753" s="359">
        <f t="shared" ca="1" si="322"/>
        <v>0.95456850009855132</v>
      </c>
      <c r="W753" s="357">
        <f t="shared" ca="1" si="323"/>
        <v>11.775930385075343</v>
      </c>
      <c r="X753" s="343"/>
      <c r="Y753" s="367" t="str">
        <f t="shared" ca="1" si="341"/>
        <v/>
      </c>
      <c r="Z753" s="368" t="str">
        <f t="shared" ca="1" si="342"/>
        <v/>
      </c>
      <c r="AA753" s="369" t="str">
        <f t="shared" ca="1" si="343"/>
        <v/>
      </c>
      <c r="AB753" s="344"/>
      <c r="AC753" s="363" t="e">
        <f t="shared" ca="1" si="344"/>
        <v>#N/A</v>
      </c>
      <c r="AD753" s="376" t="e">
        <f t="shared" ca="1" si="345"/>
        <v>#N/A</v>
      </c>
      <c r="AE753" s="377" t="e">
        <f t="shared" ca="1" si="324"/>
        <v>#N/A</v>
      </c>
      <c r="AF753" s="344"/>
      <c r="AG753" s="359">
        <f t="shared" ca="1" si="346"/>
        <v>7.4100133945584359</v>
      </c>
      <c r="AH753" s="357">
        <f t="shared" ca="1" si="347"/>
        <v>-1.1965846261063373</v>
      </c>
    </row>
    <row r="754" spans="1:34" x14ac:dyDescent="0.25">
      <c r="A754" s="402">
        <f t="shared" ca="1" si="325"/>
        <v>0.1</v>
      </c>
      <c r="B754" s="357">
        <f t="shared" ca="1" si="326"/>
        <v>30.000000000000096</v>
      </c>
      <c r="C754" s="342"/>
      <c r="D754" s="359">
        <f t="shared" ca="1" si="327"/>
        <v>-0.5794922662780676</v>
      </c>
      <c r="E754" s="360">
        <f t="shared" ca="1" si="328"/>
        <v>-8.7343419523269272</v>
      </c>
      <c r="F754" s="357">
        <f t="shared" ca="1" si="329"/>
        <v>8.7535444607801161</v>
      </c>
      <c r="G754" s="359">
        <f t="shared" ca="1" si="330"/>
        <v>34.956201193752825</v>
      </c>
      <c r="H754" s="360">
        <f t="shared" ca="1" si="331"/>
        <v>-65.866972286809812</v>
      </c>
      <c r="I754" s="357">
        <f t="shared" ca="1" si="332"/>
        <v>74.568049727275948</v>
      </c>
      <c r="J754" s="359">
        <f t="shared" ca="1" si="333"/>
        <v>1265.9945237586564</v>
      </c>
      <c r="K754" s="360">
        <f t="shared" ca="1" si="334"/>
        <v>2474.971089676093</v>
      </c>
      <c r="L754" s="357">
        <f t="shared" ca="1" si="319"/>
        <v>2779.9683503449055</v>
      </c>
      <c r="M754" s="359">
        <f t="shared" ca="1" si="335"/>
        <v>-1.08288431919771</v>
      </c>
      <c r="N754" s="357">
        <f t="shared" ca="1" si="336"/>
        <v>-62.044701190926254</v>
      </c>
      <c r="O754" s="343"/>
      <c r="P754" s="363">
        <f t="shared" ca="1" si="337"/>
        <v>23</v>
      </c>
      <c r="Q754" s="357">
        <f t="shared" ca="1" si="338"/>
        <v>0</v>
      </c>
      <c r="R754" s="359">
        <f t="shared" ca="1" si="339"/>
        <v>0</v>
      </c>
      <c r="S754" s="360">
        <f t="shared" ca="1" si="340"/>
        <v>9.637999999999975</v>
      </c>
      <c r="T754" s="357">
        <f t="shared" ca="1" si="320"/>
        <v>94.548779999999766</v>
      </c>
      <c r="U754" s="364">
        <f t="shared" ca="1" si="321"/>
        <v>0</v>
      </c>
      <c r="V754" s="359">
        <f t="shared" ca="1" si="322"/>
        <v>0.95520302693551495</v>
      </c>
      <c r="W754" s="357">
        <f t="shared" ca="1" si="323"/>
        <v>12.022114974245632</v>
      </c>
      <c r="X754" s="343"/>
      <c r="Y754" s="367" t="str">
        <f t="shared" ca="1" si="341"/>
        <v/>
      </c>
      <c r="Z754" s="368" t="str">
        <f t="shared" ca="1" si="342"/>
        <v/>
      </c>
      <c r="AA754" s="369" t="str">
        <f t="shared" ca="1" si="343"/>
        <v/>
      </c>
      <c r="AB754" s="344"/>
      <c r="AC754" s="363">
        <f t="shared" ca="1" si="344"/>
        <v>30.000000000000096</v>
      </c>
      <c r="AD754" s="376">
        <f t="shared" ca="1" si="345"/>
        <v>1265.9945237586564</v>
      </c>
      <c r="AE754" s="377" t="e">
        <f t="shared" ca="1" si="324"/>
        <v>#N/A</v>
      </c>
      <c r="AF754" s="344"/>
      <c r="AG754" s="359">
        <f t="shared" ca="1" si="346"/>
        <v>7.4146203551244119</v>
      </c>
      <c r="AH754" s="357">
        <f t="shared" ca="1" si="347"/>
        <v>-1.2218230322759258</v>
      </c>
    </row>
    <row r="755" spans="1:34" x14ac:dyDescent="0.25">
      <c r="A755" s="402">
        <f t="shared" ca="1" si="325"/>
        <v>0.1</v>
      </c>
      <c r="B755" s="357">
        <f t="shared" ca="1" si="326"/>
        <v>30.100000000000097</v>
      </c>
      <c r="C755" s="342"/>
      <c r="D755" s="359">
        <f t="shared" ca="1" si="327"/>
        <v>-0.58474349719038965</v>
      </c>
      <c r="E755" s="360">
        <f t="shared" ca="1" si="328"/>
        <v>-8.7081845163651579</v>
      </c>
      <c r="F755" s="357">
        <f t="shared" ca="1" si="329"/>
        <v>8.7277948262186094</v>
      </c>
      <c r="G755" s="359">
        <f t="shared" ca="1" si="330"/>
        <v>34.897726844033784</v>
      </c>
      <c r="H755" s="360">
        <f t="shared" ca="1" si="331"/>
        <v>-66.737790738446321</v>
      </c>
      <c r="I755" s="357">
        <f t="shared" ca="1" si="332"/>
        <v>75.311247842068369</v>
      </c>
      <c r="J755" s="359">
        <f t="shared" ca="1" si="333"/>
        <v>1269.4872201605458</v>
      </c>
      <c r="K755" s="360">
        <f t="shared" ca="1" si="334"/>
        <v>2468.3408515248302</v>
      </c>
      <c r="L755" s="357">
        <f t="shared" ca="1" si="319"/>
        <v>2775.6628688400315</v>
      </c>
      <c r="M755" s="359">
        <f t="shared" ca="1" si="335"/>
        <v>-1.0889906919086727</v>
      </c>
      <c r="N755" s="357">
        <f t="shared" ca="1" si="336"/>
        <v>-62.394570575398276</v>
      </c>
      <c r="O755" s="343"/>
      <c r="P755" s="363">
        <f t="shared" ca="1" si="337"/>
        <v>23</v>
      </c>
      <c r="Q755" s="357">
        <f t="shared" ca="1" si="338"/>
        <v>0</v>
      </c>
      <c r="R755" s="359">
        <f t="shared" ca="1" si="339"/>
        <v>0</v>
      </c>
      <c r="S755" s="360">
        <f t="shared" ca="1" si="340"/>
        <v>9.637999999999975</v>
      </c>
      <c r="T755" s="357">
        <f t="shared" ca="1" si="320"/>
        <v>94.548779999999766</v>
      </c>
      <c r="U755" s="364">
        <f t="shared" ca="1" si="321"/>
        <v>0</v>
      </c>
      <c r="V755" s="359">
        <f t="shared" ca="1" si="322"/>
        <v>0.95584638842723357</v>
      </c>
      <c r="W755" s="357">
        <f t="shared" ca="1" si="323"/>
        <v>12.271210569474265</v>
      </c>
      <c r="X755" s="343"/>
      <c r="Y755" s="367" t="str">
        <f t="shared" ca="1" si="341"/>
        <v/>
      </c>
      <c r="Z755" s="368" t="str">
        <f t="shared" ca="1" si="342"/>
        <v/>
      </c>
      <c r="AA755" s="369" t="str">
        <f t="shared" ca="1" si="343"/>
        <v/>
      </c>
      <c r="AB755" s="344"/>
      <c r="AC755" s="363" t="e">
        <f t="shared" ca="1" si="344"/>
        <v>#N/A</v>
      </c>
      <c r="AD755" s="376" t="e">
        <f t="shared" ca="1" si="345"/>
        <v>#N/A</v>
      </c>
      <c r="AE755" s="377" t="e">
        <f t="shared" ca="1" si="324"/>
        <v>#N/A</v>
      </c>
      <c r="AF755" s="344"/>
      <c r="AG755" s="359">
        <f t="shared" ca="1" si="346"/>
        <v>7.4179402424547112</v>
      </c>
      <c r="AH755" s="357">
        <f t="shared" ca="1" si="347"/>
        <v>-1.2473661521317352</v>
      </c>
    </row>
    <row r="756" spans="1:34" x14ac:dyDescent="0.25">
      <c r="A756" s="402">
        <f t="shared" ca="1" si="325"/>
        <v>0.1</v>
      </c>
      <c r="B756" s="357">
        <f t="shared" ca="1" si="326"/>
        <v>30.200000000000099</v>
      </c>
      <c r="C756" s="342"/>
      <c r="D756" s="359">
        <f t="shared" ca="1" si="327"/>
        <v>-0.58998066892788203</v>
      </c>
      <c r="E756" s="360">
        <f t="shared" ca="1" si="328"/>
        <v>-8.6817314855890384</v>
      </c>
      <c r="F756" s="357">
        <f t="shared" ca="1" si="329"/>
        <v>8.7017549251617421</v>
      </c>
      <c r="G756" s="359">
        <f t="shared" ca="1" si="330"/>
        <v>34.838728777140993</v>
      </c>
      <c r="H756" s="360">
        <f t="shared" ca="1" si="331"/>
        <v>-67.605963887005231</v>
      </c>
      <c r="I756" s="357">
        <f t="shared" ca="1" si="332"/>
        <v>76.054607854476828</v>
      </c>
      <c r="J756" s="359">
        <f t="shared" ca="1" si="333"/>
        <v>1272.9740429416045</v>
      </c>
      <c r="K756" s="360">
        <f t="shared" ca="1" si="334"/>
        <v>2461.6236637935576</v>
      </c>
      <c r="L756" s="357">
        <f t="shared" ca="1" si="319"/>
        <v>2771.2910305760947</v>
      </c>
      <c r="M756" s="359">
        <f t="shared" ca="1" si="335"/>
        <v>-1.0949676933039676</v>
      </c>
      <c r="N756" s="357">
        <f t="shared" ca="1" si="336"/>
        <v>-62.737027529492472</v>
      </c>
      <c r="O756" s="343"/>
      <c r="P756" s="363">
        <f t="shared" ca="1" si="337"/>
        <v>23</v>
      </c>
      <c r="Q756" s="357">
        <f t="shared" ca="1" si="338"/>
        <v>0</v>
      </c>
      <c r="R756" s="359">
        <f t="shared" ca="1" si="339"/>
        <v>0</v>
      </c>
      <c r="S756" s="360">
        <f t="shared" ca="1" si="340"/>
        <v>9.637999999999975</v>
      </c>
      <c r="T756" s="357">
        <f t="shared" ca="1" si="320"/>
        <v>94.548779999999766</v>
      </c>
      <c r="U756" s="364">
        <f t="shared" ca="1" si="321"/>
        <v>0</v>
      </c>
      <c r="V756" s="359">
        <f t="shared" ca="1" si="322"/>
        <v>0.95649857434323882</v>
      </c>
      <c r="W756" s="357">
        <f t="shared" ca="1" si="323"/>
        <v>12.523191097149068</v>
      </c>
      <c r="X756" s="343"/>
      <c r="Y756" s="367" t="str">
        <f t="shared" ca="1" si="341"/>
        <v/>
      </c>
      <c r="Z756" s="368" t="str">
        <f t="shared" ca="1" si="342"/>
        <v/>
      </c>
      <c r="AA756" s="369" t="str">
        <f t="shared" ca="1" si="343"/>
        <v/>
      </c>
      <c r="AB756" s="344"/>
      <c r="AC756" s="363" t="e">
        <f t="shared" ca="1" si="344"/>
        <v>#N/A</v>
      </c>
      <c r="AD756" s="376" t="e">
        <f t="shared" ca="1" si="345"/>
        <v>#N/A</v>
      </c>
      <c r="AE756" s="377" t="e">
        <f t="shared" ca="1" si="324"/>
        <v>#N/A</v>
      </c>
      <c r="AF756" s="344"/>
      <c r="AG756" s="359">
        <f t="shared" ca="1" si="346"/>
        <v>7.4200150829657137</v>
      </c>
      <c r="AH756" s="357">
        <f t="shared" ca="1" si="347"/>
        <v>-1.2732113062330668</v>
      </c>
    </row>
    <row r="757" spans="1:34" x14ac:dyDescent="0.25">
      <c r="A757" s="402">
        <f t="shared" ca="1" si="325"/>
        <v>0.1</v>
      </c>
      <c r="B757" s="357">
        <f t="shared" ca="1" si="326"/>
        <v>30.3000000000001</v>
      </c>
      <c r="C757" s="342"/>
      <c r="D757" s="359">
        <f t="shared" ca="1" si="327"/>
        <v>-0.59520264721628879</v>
      </c>
      <c r="E757" s="360">
        <f t="shared" ca="1" si="328"/>
        <v>-8.6549851620430882</v>
      </c>
      <c r="F757" s="357">
        <f t="shared" ca="1" si="329"/>
        <v>8.6754270411570698</v>
      </c>
      <c r="G757" s="359">
        <f t="shared" ca="1" si="330"/>
        <v>34.779208512419366</v>
      </c>
      <c r="H757" s="360">
        <f t="shared" ca="1" si="331"/>
        <v>-68.471462403209543</v>
      </c>
      <c r="I757" s="357">
        <f t="shared" ca="1" si="332"/>
        <v>76.798011096541302</v>
      </c>
      <c r="J757" s="359">
        <f t="shared" ca="1" si="333"/>
        <v>1276.4549398060824</v>
      </c>
      <c r="K757" s="360">
        <f t="shared" ca="1" si="334"/>
        <v>2454.819792479047</v>
      </c>
      <c r="L757" s="357">
        <f t="shared" ca="1" si="319"/>
        <v>2766.8533439454686</v>
      </c>
      <c r="M757" s="359">
        <f t="shared" ca="1" si="335"/>
        <v>-1.1008190730096901</v>
      </c>
      <c r="N757" s="357">
        <f t="shared" ca="1" si="336"/>
        <v>-63.072286890958871</v>
      </c>
      <c r="O757" s="343"/>
      <c r="P757" s="363">
        <f t="shared" ca="1" si="337"/>
        <v>23</v>
      </c>
      <c r="Q757" s="357">
        <f t="shared" ca="1" si="338"/>
        <v>0</v>
      </c>
      <c r="R757" s="359">
        <f t="shared" ca="1" si="339"/>
        <v>0</v>
      </c>
      <c r="S757" s="360">
        <f t="shared" ca="1" si="340"/>
        <v>9.637999999999975</v>
      </c>
      <c r="T757" s="357">
        <f t="shared" ca="1" si="320"/>
        <v>94.548779999999766</v>
      </c>
      <c r="U757" s="364">
        <f t="shared" ca="1" si="321"/>
        <v>0</v>
      </c>
      <c r="V757" s="359">
        <f t="shared" ca="1" si="322"/>
        <v>0.957159574329424</v>
      </c>
      <c r="W757" s="357">
        <f t="shared" ca="1" si="323"/>
        <v>12.778030238062181</v>
      </c>
      <c r="X757" s="343"/>
      <c r="Y757" s="367" t="str">
        <f t="shared" ca="1" si="341"/>
        <v/>
      </c>
      <c r="Z757" s="368" t="str">
        <f t="shared" ca="1" si="342"/>
        <v/>
      </c>
      <c r="AA757" s="369" t="str">
        <f t="shared" ca="1" si="343"/>
        <v/>
      </c>
      <c r="AB757" s="344"/>
      <c r="AC757" s="363" t="e">
        <f t="shared" ca="1" si="344"/>
        <v>#N/A</v>
      </c>
      <c r="AD757" s="376" t="e">
        <f t="shared" ca="1" si="345"/>
        <v>#N/A</v>
      </c>
      <c r="AE757" s="377" t="e">
        <f t="shared" ca="1" si="324"/>
        <v>#N/A</v>
      </c>
      <c r="AF757" s="344"/>
      <c r="AG757" s="359">
        <f t="shared" ca="1" si="346"/>
        <v>7.4208851591708598</v>
      </c>
      <c r="AH757" s="357">
        <f t="shared" ca="1" si="347"/>
        <v>-1.2993557892871033</v>
      </c>
    </row>
    <row r="758" spans="1:34" x14ac:dyDescent="0.25">
      <c r="A758" s="402">
        <f t="shared" ca="1" si="325"/>
        <v>0.1</v>
      </c>
      <c r="B758" s="357">
        <f t="shared" ca="1" si="326"/>
        <v>30.400000000000102</v>
      </c>
      <c r="C758" s="342"/>
      <c r="D758" s="359">
        <f t="shared" ca="1" si="327"/>
        <v>-0.60040833280082573</v>
      </c>
      <c r="E758" s="360">
        <f t="shared" ca="1" si="328"/>
        <v>-8.6279478963339518</v>
      </c>
      <c r="F758" s="357">
        <f t="shared" ca="1" si="329"/>
        <v>8.648813506368958</v>
      </c>
      <c r="G758" s="359">
        <f t="shared" ca="1" si="330"/>
        <v>34.719167679139282</v>
      </c>
      <c r="H758" s="360">
        <f t="shared" ca="1" si="331"/>
        <v>-69.334257192842941</v>
      </c>
      <c r="I758" s="357">
        <f t="shared" ca="1" si="332"/>
        <v>77.541342681278621</v>
      </c>
      <c r="J758" s="359">
        <f t="shared" ca="1" si="333"/>
        <v>1279.9298586156604</v>
      </c>
      <c r="K758" s="360">
        <f t="shared" ca="1" si="334"/>
        <v>2447.9295064992443</v>
      </c>
      <c r="L758" s="357">
        <f t="shared" ca="1" si="319"/>
        <v>2762.3503238665326</v>
      </c>
      <c r="M758" s="359">
        <f t="shared" ca="1" si="335"/>
        <v>-1.1065484551243561</v>
      </c>
      <c r="N758" s="357">
        <f t="shared" ca="1" si="336"/>
        <v>-63.400556305346974</v>
      </c>
      <c r="O758" s="343"/>
      <c r="P758" s="363">
        <f t="shared" ca="1" si="337"/>
        <v>23</v>
      </c>
      <c r="Q758" s="357">
        <f t="shared" ca="1" si="338"/>
        <v>0</v>
      </c>
      <c r="R758" s="359">
        <f t="shared" ca="1" si="339"/>
        <v>0</v>
      </c>
      <c r="S758" s="360">
        <f t="shared" ca="1" si="340"/>
        <v>9.637999999999975</v>
      </c>
      <c r="T758" s="357">
        <f t="shared" ca="1" si="320"/>
        <v>94.548779999999766</v>
      </c>
      <c r="U758" s="364">
        <f t="shared" ca="1" si="321"/>
        <v>0</v>
      </c>
      <c r="V758" s="359">
        <f t="shared" ca="1" si="322"/>
        <v>0.9578293779082504</v>
      </c>
      <c r="W758" s="357">
        <f t="shared" ca="1" si="323"/>
        <v>13.035701431057829</v>
      </c>
      <c r="X758" s="343"/>
      <c r="Y758" s="367" t="str">
        <f t="shared" ca="1" si="341"/>
        <v/>
      </c>
      <c r="Z758" s="368" t="str">
        <f t="shared" ca="1" si="342"/>
        <v/>
      </c>
      <c r="AA758" s="369" t="str">
        <f t="shared" ca="1" si="343"/>
        <v/>
      </c>
      <c r="AB758" s="344"/>
      <c r="AC758" s="363" t="e">
        <f t="shared" ca="1" si="344"/>
        <v>#N/A</v>
      </c>
      <c r="AD758" s="376" t="e">
        <f t="shared" ca="1" si="345"/>
        <v>#N/A</v>
      </c>
      <c r="AE758" s="377" t="e">
        <f t="shared" ca="1" si="324"/>
        <v>#N/A</v>
      </c>
      <c r="AF758" s="344"/>
      <c r="AG758" s="359">
        <f t="shared" ca="1" si="346"/>
        <v>7.4205890916265238</v>
      </c>
      <c r="AH758" s="357">
        <f t="shared" ca="1" si="347"/>
        <v>-1.3257968705190095</v>
      </c>
    </row>
    <row r="759" spans="1:34" x14ac:dyDescent="0.25">
      <c r="A759" s="402">
        <f t="shared" ca="1" si="325"/>
        <v>0.1</v>
      </c>
      <c r="B759" s="357">
        <f t="shared" ca="1" si="326"/>
        <v>30.500000000000103</v>
      </c>
      <c r="C759" s="342"/>
      <c r="D759" s="359">
        <f t="shared" ca="1" si="327"/>
        <v>-0.60559666012000712</v>
      </c>
      <c r="E759" s="360">
        <f t="shared" ca="1" si="328"/>
        <v>-8.6006220858769105</v>
      </c>
      <c r="F759" s="357">
        <f t="shared" ca="1" si="329"/>
        <v>8.621916699830857</v>
      </c>
      <c r="G759" s="359">
        <f t="shared" ca="1" si="330"/>
        <v>34.658608013127278</v>
      </c>
      <c r="H759" s="360">
        <f t="shared" ca="1" si="331"/>
        <v>-70.194319401430633</v>
      </c>
      <c r="I759" s="357">
        <f t="shared" ca="1" si="332"/>
        <v>78.284491348144243</v>
      </c>
      <c r="J759" s="359">
        <f t="shared" ca="1" si="333"/>
        <v>1283.3987474002736</v>
      </c>
      <c r="K759" s="360">
        <f t="shared" ca="1" si="334"/>
        <v>2440.9530776695306</v>
      </c>
      <c r="L759" s="357">
        <f t="shared" ca="1" si="319"/>
        <v>2757.7824918243541</v>
      </c>
      <c r="M759" s="359">
        <f t="shared" ca="1" si="335"/>
        <v>-1.1121593423587557</v>
      </c>
      <c r="N759" s="357">
        <f t="shared" ca="1" si="336"/>
        <v>-63.722036463201903</v>
      </c>
      <c r="O759" s="343"/>
      <c r="P759" s="363">
        <f t="shared" ca="1" si="337"/>
        <v>23</v>
      </c>
      <c r="Q759" s="357">
        <f t="shared" ca="1" si="338"/>
        <v>0</v>
      </c>
      <c r="R759" s="359">
        <f t="shared" ca="1" si="339"/>
        <v>0</v>
      </c>
      <c r="S759" s="360">
        <f t="shared" ca="1" si="340"/>
        <v>9.637999999999975</v>
      </c>
      <c r="T759" s="357">
        <f t="shared" ca="1" si="320"/>
        <v>94.548779999999766</v>
      </c>
      <c r="U759" s="364">
        <f t="shared" ca="1" si="321"/>
        <v>0</v>
      </c>
      <c r="V759" s="359">
        <f t="shared" ca="1" si="322"/>
        <v>0.95850797447897862</v>
      </c>
      <c r="W759" s="357">
        <f t="shared" ca="1" si="323"/>
        <v>13.296177876757445</v>
      </c>
      <c r="X759" s="343"/>
      <c r="Y759" s="367" t="str">
        <f t="shared" ca="1" si="341"/>
        <v/>
      </c>
      <c r="Z759" s="368" t="str">
        <f t="shared" ca="1" si="342"/>
        <v/>
      </c>
      <c r="AA759" s="369" t="str">
        <f t="shared" ca="1" si="343"/>
        <v/>
      </c>
      <c r="AB759" s="344"/>
      <c r="AC759" s="363" t="e">
        <f t="shared" ca="1" si="344"/>
        <v>#N/A</v>
      </c>
      <c r="AD759" s="376" t="e">
        <f t="shared" ca="1" si="345"/>
        <v>#N/A</v>
      </c>
      <c r="AE759" s="377" t="e">
        <f t="shared" ca="1" si="324"/>
        <v>#N/A</v>
      </c>
      <c r="AF759" s="344"/>
      <c r="AG759" s="359">
        <f t="shared" ca="1" si="346"/>
        <v>7.4191639174555943</v>
      </c>
      <c r="AH759" s="357">
        <f t="shared" ca="1" si="347"/>
        <v>-1.3525317940504111</v>
      </c>
    </row>
    <row r="760" spans="1:34" x14ac:dyDescent="0.25">
      <c r="A760" s="402">
        <f t="shared" ca="1" si="325"/>
        <v>0.1</v>
      </c>
      <c r="B760" s="357">
        <f t="shared" ca="1" si="326"/>
        <v>30.600000000000104</v>
      </c>
      <c r="C760" s="342"/>
      <c r="D760" s="359">
        <f t="shared" ca="1" si="327"/>
        <v>-0.61076659604384986</v>
      </c>
      <c r="E760" s="360">
        <f t="shared" ca="1" si="328"/>
        <v>-8.5730101732248389</v>
      </c>
      <c r="F760" s="357">
        <f t="shared" ca="1" si="329"/>
        <v>8.5947390457802477</v>
      </c>
      <c r="G760" s="359">
        <f t="shared" ca="1" si="330"/>
        <v>34.597531353522896</v>
      </c>
      <c r="H760" s="360">
        <f t="shared" ca="1" si="331"/>
        <v>-71.051620418753117</v>
      </c>
      <c r="I760" s="357">
        <f t="shared" ca="1" si="332"/>
        <v>79.027349315844916</v>
      </c>
      <c r="J760" s="359">
        <f t="shared" ca="1" si="333"/>
        <v>1286.861554368606</v>
      </c>
      <c r="K760" s="360">
        <f t="shared" ca="1" si="334"/>
        <v>2433.8907806785214</v>
      </c>
      <c r="L760" s="357">
        <f t="shared" ca="1" si="319"/>
        <v>2753.1503759119096</v>
      </c>
      <c r="M760" s="359">
        <f t="shared" ca="1" si="335"/>
        <v>-1.11765512009477</v>
      </c>
      <c r="N760" s="357">
        <f t="shared" ca="1" si="336"/>
        <v>-64.036921332617482</v>
      </c>
      <c r="O760" s="343"/>
      <c r="P760" s="363">
        <f t="shared" ca="1" si="337"/>
        <v>23</v>
      </c>
      <c r="Q760" s="357">
        <f t="shared" ca="1" si="338"/>
        <v>0</v>
      </c>
      <c r="R760" s="359">
        <f t="shared" ca="1" si="339"/>
        <v>0</v>
      </c>
      <c r="S760" s="360">
        <f t="shared" ca="1" si="340"/>
        <v>9.637999999999975</v>
      </c>
      <c r="T760" s="357">
        <f t="shared" ca="1" si="320"/>
        <v>94.548779999999766</v>
      </c>
      <c r="U760" s="364">
        <f t="shared" ca="1" si="321"/>
        <v>0</v>
      </c>
      <c r="V760" s="359">
        <f t="shared" ca="1" si="322"/>
        <v>0.95919535331793115</v>
      </c>
      <c r="W760" s="357">
        <f t="shared" ca="1" si="323"/>
        <v>13.559432541359357</v>
      </c>
      <c r="X760" s="343"/>
      <c r="Y760" s="367" t="str">
        <f t="shared" ca="1" si="341"/>
        <v/>
      </c>
      <c r="Z760" s="368" t="str">
        <f t="shared" ca="1" si="342"/>
        <v/>
      </c>
      <c r="AA760" s="369" t="str">
        <f t="shared" ca="1" si="343"/>
        <v/>
      </c>
      <c r="AB760" s="344"/>
      <c r="AC760" s="363" t="e">
        <f t="shared" ca="1" si="344"/>
        <v>#N/A</v>
      </c>
      <c r="AD760" s="376" t="e">
        <f t="shared" ca="1" si="345"/>
        <v>#N/A</v>
      </c>
      <c r="AE760" s="377" t="e">
        <f t="shared" ca="1" si="324"/>
        <v>#N/A</v>
      </c>
      <c r="AF760" s="344"/>
      <c r="AG760" s="359">
        <f t="shared" ca="1" si="346"/>
        <v>7.4166451655053924</v>
      </c>
      <c r="AH760" s="357">
        <f t="shared" ca="1" si="347"/>
        <v>-1.3795577792858975</v>
      </c>
    </row>
    <row r="761" spans="1:34" x14ac:dyDescent="0.25">
      <c r="A761" s="402">
        <f t="shared" ca="1" si="325"/>
        <v>0.1</v>
      </c>
      <c r="B761" s="357">
        <f t="shared" ca="1" si="326"/>
        <v>30.700000000000106</v>
      </c>
      <c r="C761" s="342"/>
      <c r="D761" s="359">
        <f t="shared" ca="1" si="327"/>
        <v>-0.61591713867357267</v>
      </c>
      <c r="E761" s="360">
        <f t="shared" ca="1" si="328"/>
        <v>-8.5451146444735251</v>
      </c>
      <c r="F761" s="357">
        <f t="shared" ca="1" si="329"/>
        <v>8.5672830120702645</v>
      </c>
      <c r="G761" s="359">
        <f t="shared" ca="1" si="330"/>
        <v>34.535939639655538</v>
      </c>
      <c r="H761" s="360">
        <f t="shared" ca="1" si="331"/>
        <v>-71.906131883200473</v>
      </c>
      <c r="I761" s="357">
        <f t="shared" ca="1" si="332"/>
        <v>79.769812142176633</v>
      </c>
      <c r="J761" s="359">
        <f t="shared" ca="1" si="333"/>
        <v>1290.3182279182649</v>
      </c>
      <c r="K761" s="360">
        <f t="shared" ca="1" si="334"/>
        <v>2426.7428930634237</v>
      </c>
      <c r="L761" s="357">
        <f t="shared" ca="1" si="319"/>
        <v>2748.4545108718767</v>
      </c>
      <c r="M761" s="359">
        <f t="shared" ca="1" si="335"/>
        <v>-1.1230390603561928</v>
      </c>
      <c r="N761" s="357">
        <f t="shared" ca="1" si="336"/>
        <v>-64.345398386747576</v>
      </c>
      <c r="O761" s="343"/>
      <c r="P761" s="363">
        <f t="shared" ca="1" si="337"/>
        <v>23</v>
      </c>
      <c r="Q761" s="357">
        <f t="shared" ca="1" si="338"/>
        <v>0</v>
      </c>
      <c r="R761" s="359">
        <f t="shared" ca="1" si="339"/>
        <v>0</v>
      </c>
      <c r="S761" s="360">
        <f t="shared" ca="1" si="340"/>
        <v>9.637999999999975</v>
      </c>
      <c r="T761" s="357">
        <f t="shared" ca="1" si="320"/>
        <v>94.548779999999766</v>
      </c>
      <c r="U761" s="364">
        <f t="shared" ca="1" si="321"/>
        <v>0</v>
      </c>
      <c r="V761" s="359">
        <f t="shared" ca="1" si="322"/>
        <v>0.95989150357877739</v>
      </c>
      <c r="W761" s="357">
        <f t="shared" ca="1" si="323"/>
        <v>13.825438160510114</v>
      </c>
      <c r="X761" s="343"/>
      <c r="Y761" s="367" t="str">
        <f t="shared" ca="1" si="341"/>
        <v/>
      </c>
      <c r="Z761" s="368" t="str">
        <f t="shared" ca="1" si="342"/>
        <v/>
      </c>
      <c r="AA761" s="369" t="str">
        <f t="shared" ca="1" si="343"/>
        <v/>
      </c>
      <c r="AB761" s="344"/>
      <c r="AC761" s="363" t="e">
        <f t="shared" ca="1" si="344"/>
        <v>#N/A</v>
      </c>
      <c r="AD761" s="376" t="e">
        <f t="shared" ca="1" si="345"/>
        <v>#N/A</v>
      </c>
      <c r="AE761" s="377" t="e">
        <f t="shared" ca="1" si="324"/>
        <v>#N/A</v>
      </c>
      <c r="AF761" s="344"/>
      <c r="AG761" s="359">
        <f t="shared" ca="1" si="346"/>
        <v>7.4130669282105224</v>
      </c>
      <c r="AH761" s="357">
        <f t="shared" ca="1" si="347"/>
        <v>-1.4068720213072621</v>
      </c>
    </row>
    <row r="762" spans="1:34" x14ac:dyDescent="0.25">
      <c r="A762" s="402">
        <f t="shared" ca="1" si="325"/>
        <v>0.1</v>
      </c>
      <c r="B762" s="357">
        <f t="shared" ca="1" si="326"/>
        <v>30.800000000000107</v>
      </c>
      <c r="C762" s="342"/>
      <c r="D762" s="359">
        <f t="shared" ca="1" si="327"/>
        <v>-0.62104731619996378</v>
      </c>
      <c r="E762" s="360">
        <f t="shared" ca="1" si="328"/>
        <v>-8.5169380277377709</v>
      </c>
      <c r="F762" s="357">
        <f t="shared" ca="1" si="329"/>
        <v>8.5395511086523115</v>
      </c>
      <c r="G762" s="359">
        <f t="shared" ca="1" si="330"/>
        <v>34.473834908035542</v>
      </c>
      <c r="H762" s="360">
        <f t="shared" ca="1" si="331"/>
        <v>-72.757825685974254</v>
      </c>
      <c r="I762" s="357">
        <f t="shared" ca="1" si="332"/>
        <v>80.51177859057087</v>
      </c>
      <c r="J762" s="359">
        <f t="shared" ca="1" si="333"/>
        <v>1293.7687166456494</v>
      </c>
      <c r="K762" s="360">
        <f t="shared" ca="1" si="334"/>
        <v>2419.509695184965</v>
      </c>
      <c r="L762" s="357">
        <f t="shared" ca="1" si="319"/>
        <v>2743.6954381390392</v>
      </c>
      <c r="M762" s="359">
        <f t="shared" ca="1" si="335"/>
        <v>-1.1283143256860562</v>
      </c>
      <c r="N762" s="357">
        <f t="shared" ca="1" si="336"/>
        <v>-64.647648825960431</v>
      </c>
      <c r="O762" s="343"/>
      <c r="P762" s="363">
        <f t="shared" ca="1" si="337"/>
        <v>23</v>
      </c>
      <c r="Q762" s="357">
        <f t="shared" ca="1" si="338"/>
        <v>0</v>
      </c>
      <c r="R762" s="359">
        <f t="shared" ca="1" si="339"/>
        <v>0</v>
      </c>
      <c r="S762" s="360">
        <f t="shared" ca="1" si="340"/>
        <v>9.637999999999975</v>
      </c>
      <c r="T762" s="357">
        <f t="shared" ca="1" si="320"/>
        <v>94.548779999999766</v>
      </c>
      <c r="U762" s="364">
        <f t="shared" ca="1" si="321"/>
        <v>0</v>
      </c>
      <c r="V762" s="359">
        <f t="shared" ca="1" si="322"/>
        <v>0.96059641429284792</v>
      </c>
      <c r="W762" s="357">
        <f t="shared" ca="1" si="323"/>
        <v>14.094167243244776</v>
      </c>
      <c r="X762" s="343"/>
      <c r="Y762" s="367" t="str">
        <f t="shared" ca="1" si="341"/>
        <v/>
      </c>
      <c r="Z762" s="368" t="str">
        <f t="shared" ca="1" si="342"/>
        <v/>
      </c>
      <c r="AA762" s="369" t="str">
        <f t="shared" ca="1" si="343"/>
        <v/>
      </c>
      <c r="AB762" s="344"/>
      <c r="AC762" s="363" t="e">
        <f t="shared" ca="1" si="344"/>
        <v>#N/A</v>
      </c>
      <c r="AD762" s="376" t="e">
        <f t="shared" ca="1" si="345"/>
        <v>#N/A</v>
      </c>
      <c r="AE762" s="377" t="e">
        <f t="shared" ca="1" si="324"/>
        <v>#N/A</v>
      </c>
      <c r="AF762" s="344"/>
      <c r="AG762" s="359">
        <f t="shared" ca="1" si="346"/>
        <v>7.4084619302424262</v>
      </c>
      <c r="AH762" s="357">
        <f t="shared" ca="1" si="347"/>
        <v>-1.4344716912751763</v>
      </c>
    </row>
    <row r="763" spans="1:34" x14ac:dyDescent="0.25">
      <c r="A763" s="402">
        <f t="shared" ca="1" si="325"/>
        <v>0.1</v>
      </c>
      <c r="B763" s="357">
        <f t="shared" ca="1" si="326"/>
        <v>30.900000000000109</v>
      </c>
      <c r="C763" s="342"/>
      <c r="D763" s="359">
        <f t="shared" ca="1" si="327"/>
        <v>-0.62615618581768306</v>
      </c>
      <c r="E763" s="360">
        <f t="shared" ca="1" si="328"/>
        <v>-8.4884828916930744</v>
      </c>
      <c r="F763" s="357">
        <f t="shared" ca="1" si="329"/>
        <v>8.5115458861245514</v>
      </c>
      <c r="G763" s="359">
        <f t="shared" ca="1" si="330"/>
        <v>34.411219289453776</v>
      </c>
      <c r="H763" s="360">
        <f t="shared" ca="1" si="331"/>
        <v>-73.606673975143565</v>
      </c>
      <c r="I763" s="357">
        <f t="shared" ca="1" si="332"/>
        <v>81.253150503041738</v>
      </c>
      <c r="J763" s="359">
        <f t="shared" ca="1" si="333"/>
        <v>1297.2129693555239</v>
      </c>
      <c r="K763" s="360">
        <f t="shared" ca="1" si="334"/>
        <v>2412.1914702019089</v>
      </c>
      <c r="L763" s="357">
        <f t="shared" ca="1" si="319"/>
        <v>2738.8737058833185</v>
      </c>
      <c r="M763" s="359">
        <f t="shared" ca="1" si="335"/>
        <v>-1.1334839729262363</v>
      </c>
      <c r="N763" s="357">
        <f t="shared" ca="1" si="336"/>
        <v>-64.943847794394202</v>
      </c>
      <c r="O763" s="343"/>
      <c r="P763" s="363">
        <f t="shared" ca="1" si="337"/>
        <v>23</v>
      </c>
      <c r="Q763" s="357">
        <f t="shared" ca="1" si="338"/>
        <v>0</v>
      </c>
      <c r="R763" s="359">
        <f t="shared" ca="1" si="339"/>
        <v>0</v>
      </c>
      <c r="S763" s="360">
        <f t="shared" ca="1" si="340"/>
        <v>9.637999999999975</v>
      </c>
      <c r="T763" s="357">
        <f t="shared" ca="1" si="320"/>
        <v>94.548779999999766</v>
      </c>
      <c r="U763" s="364">
        <f t="shared" ca="1" si="321"/>
        <v>0</v>
      </c>
      <c r="V763" s="359">
        <f t="shared" ca="1" si="322"/>
        <v>0.9613100743694728</v>
      </c>
      <c r="W763" s="357">
        <f t="shared" ca="1" si="323"/>
        <v>14.365592075993543</v>
      </c>
      <c r="X763" s="343"/>
      <c r="Y763" s="367" t="str">
        <f t="shared" ca="1" si="341"/>
        <v/>
      </c>
      <c r="Z763" s="368" t="str">
        <f t="shared" ca="1" si="342"/>
        <v/>
      </c>
      <c r="AA763" s="369" t="str">
        <f t="shared" ca="1" si="343"/>
        <v/>
      </c>
      <c r="AB763" s="344"/>
      <c r="AC763" s="363" t="e">
        <f t="shared" ca="1" si="344"/>
        <v>#N/A</v>
      </c>
      <c r="AD763" s="376" t="e">
        <f t="shared" ca="1" si="345"/>
        <v>#N/A</v>
      </c>
      <c r="AE763" s="377" t="e">
        <f t="shared" ca="1" si="324"/>
        <v>#N/A</v>
      </c>
      <c r="AF763" s="344"/>
      <c r="AG763" s="359">
        <f t="shared" ca="1" si="346"/>
        <v>7.4028615940358566</v>
      </c>
      <c r="AH763" s="357">
        <f t="shared" ca="1" si="347"/>
        <v>-1.4623539368380174</v>
      </c>
    </row>
    <row r="764" spans="1:34" x14ac:dyDescent="0.25">
      <c r="A764" s="402">
        <f t="shared" ca="1" si="325"/>
        <v>0.1</v>
      </c>
      <c r="B764" s="357">
        <f t="shared" ca="1" si="326"/>
        <v>31.00000000000011</v>
      </c>
      <c r="C764" s="342"/>
      <c r="D764" s="359">
        <f t="shared" ca="1" si="327"/>
        <v>-0.63124283269284964</v>
      </c>
      <c r="E764" s="360">
        <f t="shared" ca="1" si="328"/>
        <v>-8.4597518441780792</v>
      </c>
      <c r="F764" s="357">
        <f t="shared" ca="1" si="329"/>
        <v>8.4832699343413864</v>
      </c>
      <c r="G764" s="359">
        <f t="shared" ca="1" si="330"/>
        <v>34.348095006184494</v>
      </c>
      <c r="H764" s="360">
        <f t="shared" ca="1" si="331"/>
        <v>-74.452649159561375</v>
      </c>
      <c r="I764" s="357">
        <f t="shared" ca="1" si="332"/>
        <v>81.993832679236377</v>
      </c>
      <c r="J764" s="359">
        <f t="shared" ca="1" si="333"/>
        <v>1300.6509350703059</v>
      </c>
      <c r="K764" s="360">
        <f t="shared" ca="1" si="334"/>
        <v>2404.7885040451738</v>
      </c>
      <c r="L764" s="357">
        <f t="shared" ca="1" si="319"/>
        <v>2733.9898690534837</v>
      </c>
      <c r="M764" s="359">
        <f t="shared" ca="1" si="335"/>
        <v>-1.1385509568962215</v>
      </c>
      <c r="N764" s="357">
        <f t="shared" ca="1" si="336"/>
        <v>-65.234164590734807</v>
      </c>
      <c r="O764" s="343"/>
      <c r="P764" s="363">
        <f t="shared" ca="1" si="337"/>
        <v>23</v>
      </c>
      <c r="Q764" s="357">
        <f t="shared" ca="1" si="338"/>
        <v>0</v>
      </c>
      <c r="R764" s="359">
        <f t="shared" ca="1" si="339"/>
        <v>0</v>
      </c>
      <c r="S764" s="360">
        <f t="shared" ca="1" si="340"/>
        <v>9.637999999999975</v>
      </c>
      <c r="T764" s="357">
        <f t="shared" ca="1" si="320"/>
        <v>94.548779999999766</v>
      </c>
      <c r="U764" s="364">
        <f t="shared" ca="1" si="321"/>
        <v>0</v>
      </c>
      <c r="V764" s="359">
        <f t="shared" ca="1" si="322"/>
        <v>0.9620324725963415</v>
      </c>
      <c r="W764" s="357">
        <f t="shared" ca="1" si="323"/>
        <v>14.639684726652163</v>
      </c>
      <c r="X764" s="343"/>
      <c r="Y764" s="367" t="str">
        <f t="shared" ca="1" si="341"/>
        <v/>
      </c>
      <c r="Z764" s="368" t="str">
        <f t="shared" ca="1" si="342"/>
        <v/>
      </c>
      <c r="AA764" s="369" t="str">
        <f t="shared" ca="1" si="343"/>
        <v/>
      </c>
      <c r="AB764" s="344"/>
      <c r="AC764" s="363">
        <f t="shared" ca="1" si="344"/>
        <v>31.00000000000011</v>
      </c>
      <c r="AD764" s="376">
        <f t="shared" ca="1" si="345"/>
        <v>1300.6509350703059</v>
      </c>
      <c r="AE764" s="377" t="e">
        <f t="shared" ca="1" si="324"/>
        <v>#N/A</v>
      </c>
      <c r="AF764" s="344"/>
      <c r="AG764" s="359">
        <f t="shared" ca="1" si="346"/>
        <v>7.3962961022889608</v>
      </c>
      <c r="AH764" s="357">
        <f t="shared" ca="1" si="347"/>
        <v>-1.4905158825475804</v>
      </c>
    </row>
    <row r="765" spans="1:34" x14ac:dyDescent="0.25">
      <c r="A765" s="402">
        <f t="shared" ca="1" si="325"/>
        <v>0.1</v>
      </c>
      <c r="B765" s="357">
        <f t="shared" ca="1" si="326"/>
        <v>31.100000000000112</v>
      </c>
      <c r="C765" s="342"/>
      <c r="D765" s="359">
        <f t="shared" ca="1" si="327"/>
        <v>-0.6363063689813544</v>
      </c>
      <c r="E765" s="360">
        <f t="shared" ca="1" si="328"/>
        <v>-8.430747530853365</v>
      </c>
      <c r="F765" s="357">
        <f t="shared" ca="1" si="329"/>
        <v>8.4547258810795487</v>
      </c>
      <c r="G765" s="359">
        <f t="shared" ca="1" si="330"/>
        <v>34.284464369286361</v>
      </c>
      <c r="H765" s="360">
        <f t="shared" ca="1" si="331"/>
        <v>-75.295723912646707</v>
      </c>
      <c r="I765" s="357">
        <f t="shared" ca="1" si="332"/>
        <v>82.73373276130107</v>
      </c>
      <c r="J765" s="359">
        <f t="shared" ca="1" si="333"/>
        <v>1304.0825630390793</v>
      </c>
      <c r="K765" s="360">
        <f t="shared" ca="1" si="334"/>
        <v>2397.3010853915634</v>
      </c>
      <c r="L765" s="357">
        <f t="shared" ca="1" si="319"/>
        <v>2729.0444894215525</v>
      </c>
      <c r="M765" s="359">
        <f t="shared" ca="1" si="335"/>
        <v>-1.1435181339688847</v>
      </c>
      <c r="N765" s="357">
        <f t="shared" ca="1" si="336"/>
        <v>-65.518762873092555</v>
      </c>
      <c r="O765" s="343"/>
      <c r="P765" s="363">
        <f t="shared" ca="1" si="337"/>
        <v>23</v>
      </c>
      <c r="Q765" s="357">
        <f t="shared" ca="1" si="338"/>
        <v>0</v>
      </c>
      <c r="R765" s="359">
        <f t="shared" ca="1" si="339"/>
        <v>0</v>
      </c>
      <c r="S765" s="360">
        <f t="shared" ca="1" si="340"/>
        <v>9.637999999999975</v>
      </c>
      <c r="T765" s="357">
        <f t="shared" ca="1" si="320"/>
        <v>94.548779999999766</v>
      </c>
      <c r="U765" s="364">
        <f t="shared" ca="1" si="321"/>
        <v>0</v>
      </c>
      <c r="V765" s="359">
        <f t="shared" ca="1" si="322"/>
        <v>0.96276359763988761</v>
      </c>
      <c r="W765" s="357">
        <f t="shared" ca="1" si="323"/>
        <v>14.916417048713699</v>
      </c>
      <c r="X765" s="343"/>
      <c r="Y765" s="367" t="str">
        <f t="shared" ca="1" si="341"/>
        <v/>
      </c>
      <c r="Z765" s="368" t="str">
        <f t="shared" ca="1" si="342"/>
        <v/>
      </c>
      <c r="AA765" s="369" t="str">
        <f t="shared" ca="1" si="343"/>
        <v/>
      </c>
      <c r="AB765" s="344"/>
      <c r="AC765" s="363" t="e">
        <f t="shared" ca="1" si="344"/>
        <v>#N/A</v>
      </c>
      <c r="AD765" s="376" t="e">
        <f t="shared" ca="1" si="345"/>
        <v>#N/A</v>
      </c>
      <c r="AE765" s="377" t="e">
        <f t="shared" ca="1" si="324"/>
        <v>#N/A</v>
      </c>
      <c r="AF765" s="344"/>
      <c r="AG765" s="359">
        <f t="shared" ca="1" si="346"/>
        <v>7.3887944575381503</v>
      </c>
      <c r="AH765" s="357">
        <f t="shared" ca="1" si="347"/>
        <v>-1.518954630281407</v>
      </c>
    </row>
    <row r="766" spans="1:34" x14ac:dyDescent="0.25">
      <c r="A766" s="402">
        <f t="shared" ca="1" si="325"/>
        <v>0.1</v>
      </c>
      <c r="B766" s="357">
        <f t="shared" ca="1" si="326"/>
        <v>31.200000000000113</v>
      </c>
      <c r="C766" s="342"/>
      <c r="D766" s="359">
        <f t="shared" ca="1" si="327"/>
        <v>-0.6413459328954314</v>
      </c>
      <c r="E766" s="360">
        <f t="shared" ca="1" si="328"/>
        <v>-8.4014726339124532</v>
      </c>
      <c r="F766" s="357">
        <f t="shared" ca="1" si="329"/>
        <v>8.4259163907566386</v>
      </c>
      <c r="G766" s="359">
        <f t="shared" ca="1" si="330"/>
        <v>34.220329775996817</v>
      </c>
      <c r="H766" s="360">
        <f t="shared" ca="1" si="331"/>
        <v>-76.135871176037952</v>
      </c>
      <c r="I766" s="357">
        <f t="shared" ca="1" si="332"/>
        <v>83.472761124286649</v>
      </c>
      <c r="J766" s="359">
        <f t="shared" ca="1" si="333"/>
        <v>1307.5078027463435</v>
      </c>
      <c r="K766" s="360">
        <f t="shared" ca="1" si="334"/>
        <v>2389.729505637129</v>
      </c>
      <c r="L766" s="357">
        <f t="shared" ca="1" si="319"/>
        <v>2724.0381356279227</v>
      </c>
      <c r="M766" s="359">
        <f t="shared" ca="1" si="335"/>
        <v>-1.1483882655419244</v>
      </c>
      <c r="N766" s="357">
        <f t="shared" ca="1" si="336"/>
        <v>-65.797800857901137</v>
      </c>
      <c r="O766" s="343"/>
      <c r="P766" s="363">
        <f t="shared" ca="1" si="337"/>
        <v>23</v>
      </c>
      <c r="Q766" s="357">
        <f t="shared" ca="1" si="338"/>
        <v>0</v>
      </c>
      <c r="R766" s="359">
        <f t="shared" ca="1" si="339"/>
        <v>0</v>
      </c>
      <c r="S766" s="360">
        <f t="shared" ca="1" si="340"/>
        <v>9.637999999999975</v>
      </c>
      <c r="T766" s="357">
        <f t="shared" ca="1" si="320"/>
        <v>94.548779999999766</v>
      </c>
      <c r="U766" s="364">
        <f t="shared" ca="1" si="321"/>
        <v>0</v>
      </c>
      <c r="V766" s="359">
        <f t="shared" ca="1" si="322"/>
        <v>0.96350343804569516</v>
      </c>
      <c r="W766" s="357">
        <f t="shared" ca="1" si="323"/>
        <v>15.195760685459382</v>
      </c>
      <c r="X766" s="343"/>
      <c r="Y766" s="367" t="str">
        <f t="shared" ca="1" si="341"/>
        <v/>
      </c>
      <c r="Z766" s="368" t="str">
        <f t="shared" ca="1" si="342"/>
        <v/>
      </c>
      <c r="AA766" s="369" t="str">
        <f t="shared" ca="1" si="343"/>
        <v/>
      </c>
      <c r="AB766" s="344"/>
      <c r="AC766" s="363" t="e">
        <f t="shared" ca="1" si="344"/>
        <v>#N/A</v>
      </c>
      <c r="AD766" s="376" t="e">
        <f t="shared" ca="1" si="345"/>
        <v>#N/A</v>
      </c>
      <c r="AE766" s="377" t="e">
        <f t="shared" ca="1" si="324"/>
        <v>#N/A</v>
      </c>
      <c r="AF766" s="344"/>
      <c r="AG766" s="359">
        <f t="shared" ca="1" si="346"/>
        <v>7.3803845389120628</v>
      </c>
      <c r="AH766" s="357">
        <f t="shared" ca="1" si="347"/>
        <v>-1.5476672596714813</v>
      </c>
    </row>
    <row r="767" spans="1:34" x14ac:dyDescent="0.25">
      <c r="A767" s="402">
        <f t="shared" ca="1" si="325"/>
        <v>0.1</v>
      </c>
      <c r="B767" s="357">
        <f t="shared" ca="1" si="326"/>
        <v>31.300000000000114</v>
      </c>
      <c r="C767" s="342"/>
      <c r="D767" s="359">
        <f t="shared" ca="1" si="327"/>
        <v>-0.6463606878161261</v>
      </c>
      <c r="E767" s="360">
        <f t="shared" ca="1" si="328"/>
        <v>-8.3719298708412193</v>
      </c>
      <c r="F767" s="357">
        <f t="shared" ca="1" si="329"/>
        <v>8.3968441631983151</v>
      </c>
      <c r="G767" s="359">
        <f t="shared" ca="1" si="330"/>
        <v>34.155693707215207</v>
      </c>
      <c r="H767" s="360">
        <f t="shared" ca="1" si="331"/>
        <v>-76.973064163122075</v>
      </c>
      <c r="I767" s="357">
        <f t="shared" ca="1" si="332"/>
        <v>84.210830771826551</v>
      </c>
      <c r="J767" s="359">
        <f t="shared" ca="1" si="333"/>
        <v>1310.926603920504</v>
      </c>
      <c r="K767" s="360">
        <f t="shared" ca="1" si="334"/>
        <v>2382.074058870171</v>
      </c>
      <c r="L767" s="357">
        <f t="shared" ca="1" si="319"/>
        <v>2718.9713832272596</v>
      </c>
      <c r="M767" s="359">
        <f t="shared" ca="1" si="335"/>
        <v>-1.1531640214043597</v>
      </c>
      <c r="N767" s="357">
        <f t="shared" ca="1" si="336"/>
        <v>-66.071431512803542</v>
      </c>
      <c r="O767" s="343"/>
      <c r="P767" s="363">
        <f t="shared" ca="1" si="337"/>
        <v>23</v>
      </c>
      <c r="Q767" s="357">
        <f t="shared" ca="1" si="338"/>
        <v>0</v>
      </c>
      <c r="R767" s="359">
        <f t="shared" ca="1" si="339"/>
        <v>0</v>
      </c>
      <c r="S767" s="360">
        <f t="shared" ca="1" si="340"/>
        <v>9.637999999999975</v>
      </c>
      <c r="T767" s="357">
        <f t="shared" ca="1" si="320"/>
        <v>94.548779999999766</v>
      </c>
      <c r="U767" s="364">
        <f t="shared" ca="1" si="321"/>
        <v>0</v>
      </c>
      <c r="V767" s="359">
        <f t="shared" ca="1" si="322"/>
        <v>0.96425198223892761</v>
      </c>
      <c r="W767" s="357">
        <f t="shared" ca="1" si="323"/>
        <v>15.477687074206161</v>
      </c>
      <c r="X767" s="343"/>
      <c r="Y767" s="367" t="str">
        <f t="shared" ca="1" si="341"/>
        <v/>
      </c>
      <c r="Z767" s="368" t="str">
        <f t="shared" ca="1" si="342"/>
        <v/>
      </c>
      <c r="AA767" s="369" t="str">
        <f t="shared" ca="1" si="343"/>
        <v/>
      </c>
      <c r="AB767" s="344"/>
      <c r="AC767" s="363" t="e">
        <f t="shared" ca="1" si="344"/>
        <v>#N/A</v>
      </c>
      <c r="AD767" s="376" t="e">
        <f t="shared" ca="1" si="345"/>
        <v>#N/A</v>
      </c>
      <c r="AE767" s="377" t="e">
        <f t="shared" ca="1" si="324"/>
        <v>#N/A</v>
      </c>
      <c r="AF767" s="344"/>
      <c r="AG767" s="359">
        <f t="shared" ca="1" si="346"/>
        <v>7.3710931561704855</v>
      </c>
      <c r="AH767" s="357">
        <f t="shared" ca="1" si="347"/>
        <v>-1.5766508285390559</v>
      </c>
    </row>
    <row r="768" spans="1:34" x14ac:dyDescent="0.25">
      <c r="A768" s="402">
        <f t="shared" ca="1" si="325"/>
        <v>0.1</v>
      </c>
      <c r="B768" s="357">
        <f t="shared" ca="1" si="326"/>
        <v>31.400000000000116</v>
      </c>
      <c r="C768" s="342"/>
      <c r="D768" s="359">
        <f t="shared" ca="1" si="327"/>
        <v>-0.65134982144937248</v>
      </c>
      <c r="E768" s="360">
        <f t="shared" ca="1" si="328"/>
        <v>-8.3421219932221842</v>
      </c>
      <c r="F768" s="357">
        <f t="shared" ca="1" si="329"/>
        <v>8.3675119324506131</v>
      </c>
      <c r="G768" s="359">
        <f t="shared" ca="1" si="330"/>
        <v>34.090558725070267</v>
      </c>
      <c r="H768" s="360">
        <f t="shared" ca="1" si="331"/>
        <v>-77.807276362444298</v>
      </c>
      <c r="I768" s="357">
        <f t="shared" ca="1" si="332"/>
        <v>84.947857236832334</v>
      </c>
      <c r="J768" s="359">
        <f t="shared" ca="1" si="333"/>
        <v>1314.3389165421183</v>
      </c>
      <c r="K768" s="360">
        <f t="shared" ca="1" si="334"/>
        <v>2374.3350418438927</v>
      </c>
      <c r="L768" s="357">
        <f t="shared" ca="1" si="319"/>
        <v>2713.8448147351664</v>
      </c>
      <c r="M768" s="359">
        <f t="shared" ca="1" si="335"/>
        <v>-1.1578479829980581</v>
      </c>
      <c r="N768" s="357">
        <f t="shared" ca="1" si="336"/>
        <v>-66.339802743523833</v>
      </c>
      <c r="O768" s="343"/>
      <c r="P768" s="363">
        <f t="shared" ca="1" si="337"/>
        <v>23</v>
      </c>
      <c r="Q768" s="357">
        <f t="shared" ca="1" si="338"/>
        <v>0</v>
      </c>
      <c r="R768" s="359">
        <f t="shared" ca="1" si="339"/>
        <v>0</v>
      </c>
      <c r="S768" s="360">
        <f t="shared" ca="1" si="340"/>
        <v>9.637999999999975</v>
      </c>
      <c r="T768" s="357">
        <f t="shared" ca="1" si="320"/>
        <v>94.548779999999766</v>
      </c>
      <c r="U768" s="364">
        <f t="shared" ca="1" si="321"/>
        <v>0</v>
      </c>
      <c r="V768" s="359">
        <f t="shared" ca="1" si="322"/>
        <v>0.96500921852477362</v>
      </c>
      <c r="W768" s="357">
        <f t="shared" ca="1" si="323"/>
        <v>15.762167450608782</v>
      </c>
      <c r="X768" s="343"/>
      <c r="Y768" s="367" t="str">
        <f t="shared" ca="1" si="341"/>
        <v/>
      </c>
      <c r="Z768" s="368" t="str">
        <f t="shared" ca="1" si="342"/>
        <v/>
      </c>
      <c r="AA768" s="369" t="str">
        <f t="shared" ca="1" si="343"/>
        <v/>
      </c>
      <c r="AB768" s="344"/>
      <c r="AC768" s="363" t="e">
        <f t="shared" ca="1" si="344"/>
        <v>#N/A</v>
      </c>
      <c r="AD768" s="376" t="e">
        <f t="shared" ca="1" si="345"/>
        <v>#N/A</v>
      </c>
      <c r="AE768" s="377" t="e">
        <f t="shared" ca="1" si="324"/>
        <v>#N/A</v>
      </c>
      <c r="AF768" s="344"/>
      <c r="AG768" s="359">
        <f t="shared" ca="1" si="346"/>
        <v>7.3609461011349167</v>
      </c>
      <c r="AH768" s="357">
        <f t="shared" ca="1" si="347"/>
        <v>-1.6059023733353601</v>
      </c>
    </row>
    <row r="769" spans="1:34" x14ac:dyDescent="0.25">
      <c r="A769" s="402">
        <f t="shared" ca="1" si="325"/>
        <v>0.1</v>
      </c>
      <c r="B769" s="357">
        <f t="shared" ca="1" si="326"/>
        <v>31.500000000000117</v>
      </c>
      <c r="C769" s="342"/>
      <c r="D769" s="359">
        <f t="shared" ca="1" si="327"/>
        <v>-0.65631254502350711</v>
      </c>
      <c r="E769" s="360">
        <f t="shared" ca="1" si="328"/>
        <v>-8.3120517855804685</v>
      </c>
      <c r="F769" s="357">
        <f t="shared" ca="1" si="329"/>
        <v>8.3379224656341506</v>
      </c>
      <c r="G769" s="359">
        <f t="shared" ca="1" si="330"/>
        <v>34.024927470567917</v>
      </c>
      <c r="H769" s="360">
        <f t="shared" ca="1" si="331"/>
        <v>-78.638481541002349</v>
      </c>
      <c r="I769" s="357">
        <f t="shared" ca="1" si="332"/>
        <v>85.683758486961651</v>
      </c>
      <c r="J769" s="359">
        <f t="shared" ca="1" si="333"/>
        <v>1317.7446908519003</v>
      </c>
      <c r="K769" s="360">
        <f t="shared" ca="1" si="334"/>
        <v>2366.5127539487203</v>
      </c>
      <c r="L769" s="357">
        <f t="shared" ca="1" si="319"/>
        <v>2708.6590196756638</v>
      </c>
      <c r="M769" s="359">
        <f t="shared" ca="1" si="335"/>
        <v>-1.1624426465748039</v>
      </c>
      <c r="N769" s="357">
        <f t="shared" ca="1" si="336"/>
        <v>-66.603057574753848</v>
      </c>
      <c r="O769" s="343"/>
      <c r="P769" s="363">
        <f t="shared" ca="1" si="337"/>
        <v>23</v>
      </c>
      <c r="Q769" s="357">
        <f t="shared" ca="1" si="338"/>
        <v>0</v>
      </c>
      <c r="R769" s="359">
        <f t="shared" ca="1" si="339"/>
        <v>0</v>
      </c>
      <c r="S769" s="360">
        <f t="shared" ca="1" si="340"/>
        <v>9.637999999999975</v>
      </c>
      <c r="T769" s="357">
        <f t="shared" ca="1" si="320"/>
        <v>94.548779999999766</v>
      </c>
      <c r="U769" s="364">
        <f t="shared" ca="1" si="321"/>
        <v>0</v>
      </c>
      <c r="V769" s="359">
        <f t="shared" ca="1" si="322"/>
        <v>0.96577513508891732</v>
      </c>
      <c r="W769" s="357">
        <f t="shared" ca="1" si="323"/>
        <v>16.049172853014344</v>
      </c>
      <c r="X769" s="343"/>
      <c r="Y769" s="367" t="str">
        <f t="shared" ca="1" si="341"/>
        <v/>
      </c>
      <c r="Z769" s="368" t="str">
        <f t="shared" ca="1" si="342"/>
        <v/>
      </c>
      <c r="AA769" s="369" t="str">
        <f t="shared" ca="1" si="343"/>
        <v/>
      </c>
      <c r="AB769" s="344"/>
      <c r="AC769" s="363" t="e">
        <f t="shared" ca="1" si="344"/>
        <v>#N/A</v>
      </c>
      <c r="AD769" s="376" t="e">
        <f t="shared" ca="1" si="345"/>
        <v>#N/A</v>
      </c>
      <c r="AE769" s="377" t="e">
        <f t="shared" ca="1" si="324"/>
        <v>#N/A</v>
      </c>
      <c r="AF769" s="344"/>
      <c r="AG769" s="359">
        <f t="shared" ca="1" si="346"/>
        <v>7.3499681966170591</v>
      </c>
      <c r="AH769" s="357">
        <f t="shared" ca="1" si="347"/>
        <v>-1.6354189095879668</v>
      </c>
    </row>
    <row r="770" spans="1:34" x14ac:dyDescent="0.25">
      <c r="A770" s="402">
        <f t="shared" ca="1" si="325"/>
        <v>0.1</v>
      </c>
      <c r="B770" s="357">
        <f t="shared" ca="1" si="326"/>
        <v>31.600000000000119</v>
      </c>
      <c r="C770" s="342"/>
      <c r="D770" s="359">
        <f t="shared" ca="1" si="327"/>
        <v>-0.66124809252613292</v>
      </c>
      <c r="E770" s="360">
        <f t="shared" ca="1" si="328"/>
        <v>-8.2817220642683314</v>
      </c>
      <c r="F770" s="357">
        <f t="shared" ca="1" si="329"/>
        <v>8.3080785618371689</v>
      </c>
      <c r="G770" s="359">
        <f t="shared" ca="1" si="330"/>
        <v>33.958802661315303</v>
      </c>
      <c r="H770" s="360">
        <f t="shared" ca="1" si="331"/>
        <v>-79.466653747429177</v>
      </c>
      <c r="I770" s="357">
        <f t="shared" ca="1" si="332"/>
        <v>86.418454834624043</v>
      </c>
      <c r="J770" s="359">
        <f t="shared" ca="1" si="333"/>
        <v>1321.1438773584944</v>
      </c>
      <c r="K770" s="360">
        <f t="shared" ca="1" si="334"/>
        <v>2358.6074971842986</v>
      </c>
      <c r="L770" s="357">
        <f t="shared" ca="1" si="319"/>
        <v>2703.4145946295062</v>
      </c>
      <c r="M770" s="359">
        <f t="shared" ca="1" si="335"/>
        <v>-1.1669504262498445</v>
      </c>
      <c r="N770" s="357">
        <f t="shared" ca="1" si="336"/>
        <v>-66.861334325108515</v>
      </c>
      <c r="O770" s="343"/>
      <c r="P770" s="363">
        <f t="shared" ca="1" si="337"/>
        <v>23</v>
      </c>
      <c r="Q770" s="357">
        <f t="shared" ca="1" si="338"/>
        <v>0</v>
      </c>
      <c r="R770" s="359">
        <f t="shared" ca="1" si="339"/>
        <v>0</v>
      </c>
      <c r="S770" s="360">
        <f t="shared" ca="1" si="340"/>
        <v>9.637999999999975</v>
      </c>
      <c r="T770" s="357">
        <f t="shared" ca="1" si="320"/>
        <v>94.548779999999766</v>
      </c>
      <c r="U770" s="364">
        <f t="shared" ca="1" si="321"/>
        <v>0</v>
      </c>
      <c r="V770" s="359">
        <f t="shared" ca="1" si="322"/>
        <v>0.96654971999802552</v>
      </c>
      <c r="W770" s="357">
        <f t="shared" ca="1" si="323"/>
        <v>16.338674126867119</v>
      </c>
      <c r="X770" s="343"/>
      <c r="Y770" s="367" t="str">
        <f t="shared" ca="1" si="341"/>
        <v/>
      </c>
      <c r="Z770" s="368" t="str">
        <f t="shared" ca="1" si="342"/>
        <v/>
      </c>
      <c r="AA770" s="369" t="str">
        <f t="shared" ca="1" si="343"/>
        <v/>
      </c>
      <c r="AB770" s="344"/>
      <c r="AC770" s="363" t="e">
        <f t="shared" ca="1" si="344"/>
        <v>#N/A</v>
      </c>
      <c r="AD770" s="376" t="e">
        <f t="shared" ca="1" si="345"/>
        <v>#N/A</v>
      </c>
      <c r="AE770" s="377" t="e">
        <f t="shared" ca="1" si="324"/>
        <v>#N/A</v>
      </c>
      <c r="AF770" s="344"/>
      <c r="AG770" s="359">
        <f t="shared" ca="1" si="346"/>
        <v>7.3381833429505985</v>
      </c>
      <c r="AH770" s="357">
        <f t="shared" ca="1" si="347"/>
        <v>-1.6651974323526029</v>
      </c>
    </row>
    <row r="771" spans="1:34" x14ac:dyDescent="0.25">
      <c r="A771" s="402">
        <f t="shared" ca="1" si="325"/>
        <v>0.1</v>
      </c>
      <c r="B771" s="357">
        <f t="shared" ca="1" si="326"/>
        <v>31.70000000000012</v>
      </c>
      <c r="C771" s="342"/>
      <c r="D771" s="359">
        <f t="shared" ca="1" si="327"/>
        <v>-0.66615571997833045</v>
      </c>
      <c r="E771" s="360">
        <f t="shared" ca="1" si="328"/>
        <v>-8.2511356763855641</v>
      </c>
      <c r="F771" s="357">
        <f t="shared" ca="1" si="329"/>
        <v>8.2779830510446519</v>
      </c>
      <c r="G771" s="359">
        <f t="shared" ca="1" si="330"/>
        <v>33.892187089317467</v>
      </c>
      <c r="H771" s="360">
        <f t="shared" ca="1" si="331"/>
        <v>-80.29176731506773</v>
      </c>
      <c r="I771" s="357">
        <f t="shared" ca="1" si="332"/>
        <v>87.151868851300463</v>
      </c>
      <c r="J771" s="359">
        <f t="shared" ca="1" si="333"/>
        <v>1324.536426846026</v>
      </c>
      <c r="K771" s="360">
        <f t="shared" ca="1" si="334"/>
        <v>2350.6195761311737</v>
      </c>
      <c r="L771" s="357">
        <f t="shared" ca="1" si="319"/>
        <v>2698.112143283362</v>
      </c>
      <c r="M771" s="359">
        <f t="shared" ca="1" si="335"/>
        <v>-1.1713736569532207</v>
      </c>
      <c r="N771" s="357">
        <f t="shared" ca="1" si="336"/>
        <v>-67.11476677622467</v>
      </c>
      <c r="O771" s="343"/>
      <c r="P771" s="363">
        <f t="shared" ca="1" si="337"/>
        <v>23</v>
      </c>
      <c r="Q771" s="357">
        <f t="shared" ca="1" si="338"/>
        <v>0</v>
      </c>
      <c r="R771" s="359">
        <f t="shared" ca="1" si="339"/>
        <v>0</v>
      </c>
      <c r="S771" s="360">
        <f t="shared" ca="1" si="340"/>
        <v>9.637999999999975</v>
      </c>
      <c r="T771" s="357">
        <f t="shared" ca="1" si="320"/>
        <v>94.548779999999766</v>
      </c>
      <c r="U771" s="364">
        <f t="shared" ca="1" si="321"/>
        <v>0</v>
      </c>
      <c r="V771" s="359">
        <f t="shared" ca="1" si="322"/>
        <v>0.96733296120025292</v>
      </c>
      <c r="W771" s="357">
        <f t="shared" ca="1" si="323"/>
        <v>16.630641929161641</v>
      </c>
      <c r="X771" s="343"/>
      <c r="Y771" s="367" t="str">
        <f t="shared" ca="1" si="341"/>
        <v/>
      </c>
      <c r="Z771" s="368" t="str">
        <f t="shared" ca="1" si="342"/>
        <v/>
      </c>
      <c r="AA771" s="369" t="str">
        <f t="shared" ca="1" si="343"/>
        <v/>
      </c>
      <c r="AB771" s="344"/>
      <c r="AC771" s="363" t="e">
        <f t="shared" ca="1" si="344"/>
        <v>#N/A</v>
      </c>
      <c r="AD771" s="376" t="e">
        <f t="shared" ca="1" si="345"/>
        <v>#N/A</v>
      </c>
      <c r="AE771" s="377" t="e">
        <f t="shared" ca="1" si="324"/>
        <v>#N/A</v>
      </c>
      <c r="AF771" s="344"/>
      <c r="AG771" s="359">
        <f t="shared" ca="1" si="346"/>
        <v>7.3256145622300428</v>
      </c>
      <c r="AH771" s="357">
        <f t="shared" ca="1" si="347"/>
        <v>-1.6952349166701766</v>
      </c>
    </row>
    <row r="772" spans="1:34" x14ac:dyDescent="0.25">
      <c r="A772" s="402">
        <f t="shared" ca="1" si="325"/>
        <v>0.1</v>
      </c>
      <c r="B772" s="357">
        <f t="shared" ca="1" si="326"/>
        <v>31.800000000000122</v>
      </c>
      <c r="C772" s="342"/>
      <c r="D772" s="359">
        <f t="shared" ca="1" si="327"/>
        <v>-0.67103470474431626</v>
      </c>
      <c r="E772" s="360">
        <f t="shared" ca="1" si="328"/>
        <v>-8.2202954987331616</v>
      </c>
      <c r="F772" s="357">
        <f t="shared" ca="1" si="329"/>
        <v>8.2476387931009665</v>
      </c>
      <c r="G772" s="359">
        <f t="shared" ca="1" si="330"/>
        <v>33.825083618843038</v>
      </c>
      <c r="H772" s="360">
        <f t="shared" ca="1" si="331"/>
        <v>-81.113796864941051</v>
      </c>
      <c r="I772" s="357">
        <f t="shared" ca="1" si="332"/>
        <v>87.883925285962533</v>
      </c>
      <c r="J772" s="359">
        <f t="shared" ca="1" si="333"/>
        <v>1327.9222903814341</v>
      </c>
      <c r="K772" s="360">
        <f t="shared" ca="1" si="334"/>
        <v>2342.5492979221731</v>
      </c>
      <c r="L772" s="357">
        <f t="shared" ref="L772:L835" ca="1" si="348">SQRT(pos_x^2+pos_z^2)</f>
        <v>2692.7522764798732</v>
      </c>
      <c r="M772" s="359">
        <f t="shared" ca="1" si="335"/>
        <v>-1.1757145972804941</v>
      </c>
      <c r="N772" s="357">
        <f t="shared" ca="1" si="336"/>
        <v>-67.363484336095567</v>
      </c>
      <c r="O772" s="343"/>
      <c r="P772" s="363">
        <f t="shared" ca="1" si="337"/>
        <v>23</v>
      </c>
      <c r="Q772" s="357">
        <f t="shared" ca="1" si="338"/>
        <v>0</v>
      </c>
      <c r="R772" s="359">
        <f t="shared" ca="1" si="339"/>
        <v>0</v>
      </c>
      <c r="S772" s="360">
        <f t="shared" ca="1" si="340"/>
        <v>9.637999999999975</v>
      </c>
      <c r="T772" s="357">
        <f t="shared" ref="T772:T835" ca="1" si="349">m*g</f>
        <v>94.548779999999766</v>
      </c>
      <c r="U772" s="364">
        <f t="shared" ref="U772:U835" ca="1" si="350">IF(pos_xz&lt;L_rampe,Poids*COS(Beta),0)</f>
        <v>0</v>
      </c>
      <c r="V772" s="359">
        <f t="shared" ref="V772:V835" ca="1" si="351">Rho_moyen*(20000-Alt_rampe-pos_z)/(20000+Alt_rampe+pos_z)</f>
        <v>0.96812484652576924</v>
      </c>
      <c r="W772" s="357">
        <f t="shared" ref="W772:W835" ca="1" si="352">1/2*Rho*Sref*Cx*vit_xz^2</f>
        <v>16.925046732942224</v>
      </c>
      <c r="X772" s="343"/>
      <c r="Y772" s="367" t="str">
        <f t="shared" ca="1" si="341"/>
        <v/>
      </c>
      <c r="Z772" s="368" t="str">
        <f t="shared" ca="1" si="342"/>
        <v/>
      </c>
      <c r="AA772" s="369" t="str">
        <f t="shared" ca="1" si="343"/>
        <v/>
      </c>
      <c r="AB772" s="344"/>
      <c r="AC772" s="363" t="e">
        <f t="shared" ca="1" si="344"/>
        <v>#N/A</v>
      </c>
      <c r="AD772" s="376" t="e">
        <f t="shared" ca="1" si="345"/>
        <v>#N/A</v>
      </c>
      <c r="AE772" s="377" t="e">
        <f t="shared" ref="AE772:AE835" ca="1" si="353">IF(t&lt;T_para, pos_z, NA())</f>
        <v>#N/A</v>
      </c>
      <c r="AF772" s="344"/>
      <c r="AG772" s="359">
        <f t="shared" ca="1" si="346"/>
        <v>7.3122840403582821</v>
      </c>
      <c r="AH772" s="357">
        <f t="shared" ca="1" si="347"/>
        <v>-1.7255283180288115</v>
      </c>
    </row>
    <row r="773" spans="1:34" x14ac:dyDescent="0.25">
      <c r="A773" s="402">
        <f t="shared" ref="A773:A836" ca="1" si="354">IF(B772+0.01&lt;=T_ini+ROUNDUP(Temps_fin_propu,0), 0.01, IF(K772&gt;0, 0.1, 0.0001))</f>
        <v>0.1</v>
      </c>
      <c r="B773" s="357">
        <f t="shared" ref="B773:B836" ca="1" si="355">B772+pas</f>
        <v>31.900000000000123</v>
      </c>
      <c r="C773" s="342"/>
      <c r="D773" s="359">
        <f t="shared" ref="D773:D836" ca="1" si="356">IF(AND(L772&lt;L_rampe,Poussee&lt;Poids*SIN(M772)),0,(-W772+Poussee)/m*COS(M772)-U772/m*SIN(M772))</f>
        <v>-0.67588434487472915</v>
      </c>
      <c r="E773" s="360">
        <f t="shared" ref="E773:E836" ca="1" si="357">IF(AND(L772&lt;L_rampe,Poussee&lt;Poids*SIN(M772)),0,(-W772+Poussee)/m*SIN(M772)+U772/m*COS(M772)-Poids/m)</f>
        <v>-8.1892044367978496</v>
      </c>
      <c r="F773" s="357">
        <f t="shared" ref="F773:F836" ca="1" si="358">SQRT(acc_x^2+acc_z^2)</f>
        <v>8.2170486767035964</v>
      </c>
      <c r="G773" s="359">
        <f t="shared" ref="G773:G836" ca="1" si="359">G772+acc_x*pas</f>
        <v>33.757495184355562</v>
      </c>
      <c r="H773" s="360">
        <f t="shared" ref="H773:H836" ca="1" si="360">H772+acc_z*pas</f>
        <v>-81.932717308620838</v>
      </c>
      <c r="I773" s="357">
        <f t="shared" ref="I773:I836" ca="1" si="361">SQRT(vit_x^2+vit_z^2)</f>
        <v>88.61455098738675</v>
      </c>
      <c r="J773" s="359">
        <f t="shared" ref="J773:J836" ca="1" si="362">J772+0.5*(vit_x+G772)*pas*(K772&gt;=0)</f>
        <v>1331.301419321594</v>
      </c>
      <c r="K773" s="360">
        <f t="shared" ref="K773:K836" ca="1" si="363">K772+0.5*(vit_z+H772)*pas</f>
        <v>2334.3969722134948</v>
      </c>
      <c r="L773" s="357">
        <f t="shared" ca="1" si="348"/>
        <v>2687.3356122686318</v>
      </c>
      <c r="M773" s="359">
        <f t="shared" ref="M773:M836" ca="1" si="364">IF(AND(L772&gt;L_rampe,G773&gt;0),ATAN2(G773,H773),$M$4)</f>
        <v>-1.1799754322447258</v>
      </c>
      <c r="N773" s="357">
        <f t="shared" ref="N773:N836" ca="1" si="365">DEGREES(Beta)</f>
        <v>-67.607612196747823</v>
      </c>
      <c r="O773" s="343"/>
      <c r="P773" s="363">
        <f t="shared" ref="P773:P836" ca="1" si="366">MATCH(t-pas/2-T_ini,CdP_t)</f>
        <v>23</v>
      </c>
      <c r="Q773" s="357">
        <f t="shared" ref="Q773:Q836" ca="1" si="367">(INDEX(CdP,2,i_P+1)-INDEX(CdP,2,i_P+0))/(INDEX(CdP,1,i_P+1)-INDEX(CdP,1,i_P+0))*(t-pas/2-T_ini-INDEX(CdP,1,i_P+0))+INDEX(CdP,2,i_P+0)</f>
        <v>0</v>
      </c>
      <c r="R773" s="359">
        <f t="shared" ref="R773:R836" ca="1" si="368">Poussee/(g*ISP)</f>
        <v>0</v>
      </c>
      <c r="S773" s="360">
        <f t="shared" ref="S773:S836" ca="1" si="369">S772-Débit*pas</f>
        <v>9.637999999999975</v>
      </c>
      <c r="T773" s="357">
        <f t="shared" ca="1" si="349"/>
        <v>94.548779999999766</v>
      </c>
      <c r="U773" s="364">
        <f t="shared" ca="1" si="350"/>
        <v>0</v>
      </c>
      <c r="V773" s="359">
        <f t="shared" ca="1" si="351"/>
        <v>0.9689253636872992</v>
      </c>
      <c r="W773" s="357">
        <f t="shared" ca="1" si="352"/>
        <v>17.221858831846721</v>
      </c>
      <c r="X773" s="343"/>
      <c r="Y773" s="367" t="str">
        <f t="shared" ref="Y773:Y836" ca="1" si="370">IF(AND(pos_z&lt;=0,K772&gt;0),"Impact balistique","") &amp; IF(AND(H774&lt;0,vit_z&gt;=0),"Apogée","") &amp; IF(AND(Poussee=0,Q772&gt;0),"Fin de propulsion","") &amp; IF(AND(L774&gt;L_rampe,pos_xz&lt;=L_rampe),"Sortie de rampe","")</f>
        <v/>
      </c>
      <c r="Z773" s="368" t="str">
        <f t="shared" ref="Z773:Z836" ca="1" si="371">IF(ABS(t-T_para)&lt;pas/2,"Para","")</f>
        <v/>
      </c>
      <c r="AA773" s="369" t="str">
        <f t="shared" ref="AA773:AA836" ca="1" si="372">IF(ABS(t-T_satellite)&lt;pas/2,"Satellite","")</f>
        <v/>
      </c>
      <c r="AB773" s="344"/>
      <c r="AC773" s="363" t="e">
        <f t="shared" ref="AC773:AC836" ca="1" si="373">IF(ABS(t-ROUND(t,0))&lt;0.001,t,NA())</f>
        <v>#N/A</v>
      </c>
      <c r="AD773" s="376" t="e">
        <f t="shared" ref="AD773:AD836" ca="1" si="374">IF(ABS(t-ROUND(t,0))&lt;0.001,pos_x,NA())</f>
        <v>#N/A</v>
      </c>
      <c r="AE773" s="377" t="e">
        <f t="shared" ca="1" si="353"/>
        <v>#N/A</v>
      </c>
      <c r="AF773" s="344"/>
      <c r="AG773" s="359">
        <f t="shared" ref="AG773:AG836" ca="1" si="375">IF(AND(L772&lt;L_rampe,Poussee&lt;Poids*SIN(M772)),0,(-W772+Poussee)/m-Poids*SIN(M772)/m)</f>
        <v>7.2982131670020962</v>
      </c>
      <c r="AH773" s="357">
        <f t="shared" ref="AH773:AH836" ca="1" si="376">IF(AND(L772&lt;L_rampe,Poussee&lt;Poids*SIN(M772)), g*SIN(M772), (-W772+Poussee)/m)</f>
        <v>-1.7560745728306981</v>
      </c>
    </row>
    <row r="774" spans="1:34" x14ac:dyDescent="0.25">
      <c r="A774" s="402">
        <f t="shared" ca="1" si="354"/>
        <v>0.1</v>
      </c>
      <c r="B774" s="357">
        <f t="shared" ca="1" si="355"/>
        <v>32.000000000000121</v>
      </c>
      <c r="C774" s="342"/>
      <c r="D774" s="359">
        <f t="shared" ca="1" si="356"/>
        <v>-0.6807039584818102</v>
      </c>
      <c r="E774" s="360">
        <f t="shared" ca="1" si="357"/>
        <v>-8.1578654237653261</v>
      </c>
      <c r="F774" s="357">
        <f t="shared" ca="1" si="358"/>
        <v>8.186215618425809</v>
      </c>
      <c r="G774" s="359">
        <f t="shared" ca="1" si="359"/>
        <v>33.689424788507381</v>
      </c>
      <c r="H774" s="360">
        <f t="shared" ca="1" si="360"/>
        <v>-82.748503850997366</v>
      </c>
      <c r="I774" s="357">
        <f t="shared" ca="1" si="361"/>
        <v>89.343674830169263</v>
      </c>
      <c r="J774" s="359">
        <f t="shared" ca="1" si="362"/>
        <v>1334.6737653202372</v>
      </c>
      <c r="K774" s="360">
        <f t="shared" ca="1" si="363"/>
        <v>2326.1629111555139</v>
      </c>
      <c r="L774" s="357">
        <f t="shared" ca="1" si="348"/>
        <v>2681.8627759580831</v>
      </c>
      <c r="M774" s="359">
        <f t="shared" ca="1" si="364"/>
        <v>-1.184158275931779</v>
      </c>
      <c r="N774" s="357">
        <f t="shared" ca="1" si="365"/>
        <v>-67.847271486378915</v>
      </c>
      <c r="O774" s="343"/>
      <c r="P774" s="363">
        <f t="shared" ca="1" si="366"/>
        <v>23</v>
      </c>
      <c r="Q774" s="357">
        <f t="shared" ca="1" si="367"/>
        <v>0</v>
      </c>
      <c r="R774" s="359">
        <f t="shared" ca="1" si="368"/>
        <v>0</v>
      </c>
      <c r="S774" s="360">
        <f t="shared" ca="1" si="369"/>
        <v>9.637999999999975</v>
      </c>
      <c r="T774" s="357">
        <f t="shared" ca="1" si="349"/>
        <v>94.548779999999766</v>
      </c>
      <c r="U774" s="364">
        <f t="shared" ca="1" si="350"/>
        <v>0</v>
      </c>
      <c r="V774" s="359">
        <f t="shared" ca="1" si="351"/>
        <v>0.9697345002806822</v>
      </c>
      <c r="W774" s="357">
        <f t="shared" ca="1" si="352"/>
        <v>17.521048344692836</v>
      </c>
      <c r="X774" s="343"/>
      <c r="Y774" s="367" t="str">
        <f t="shared" ca="1" si="370"/>
        <v/>
      </c>
      <c r="Z774" s="368" t="str">
        <f t="shared" ca="1" si="371"/>
        <v/>
      </c>
      <c r="AA774" s="369" t="str">
        <f t="shared" ca="1" si="372"/>
        <v/>
      </c>
      <c r="AB774" s="344"/>
      <c r="AC774" s="363">
        <f t="shared" ca="1" si="373"/>
        <v>32.000000000000121</v>
      </c>
      <c r="AD774" s="376">
        <f t="shared" ca="1" si="374"/>
        <v>1334.6737653202372</v>
      </c>
      <c r="AE774" s="377" t="e">
        <f t="shared" ca="1" si="353"/>
        <v>#N/A</v>
      </c>
      <c r="AF774" s="344"/>
      <c r="AG774" s="359">
        <f t="shared" ca="1" si="375"/>
        <v>7.283422573552091</v>
      </c>
      <c r="AH774" s="357">
        <f t="shared" ca="1" si="376"/>
        <v>-1.7868705988635365</v>
      </c>
    </row>
    <row r="775" spans="1:34" x14ac:dyDescent="0.25">
      <c r="A775" s="402">
        <f t="shared" ca="1" si="354"/>
        <v>0.1</v>
      </c>
      <c r="B775" s="357">
        <f t="shared" ca="1" si="355"/>
        <v>32.100000000000122</v>
      </c>
      <c r="C775" s="342"/>
      <c r="D775" s="359">
        <f t="shared" ca="1" si="356"/>
        <v>-0.68549288314482404</v>
      </c>
      <c r="E775" s="360">
        <f t="shared" ca="1" si="357"/>
        <v>-8.1262814195601489</v>
      </c>
      <c r="F775" s="357">
        <f t="shared" ca="1" si="358"/>
        <v>8.1551425617662083</v>
      </c>
      <c r="G775" s="359">
        <f t="shared" ca="1" si="359"/>
        <v>33.620875500192902</v>
      </c>
      <c r="H775" s="360">
        <f t="shared" ca="1" si="360"/>
        <v>-83.561131992953378</v>
      </c>
      <c r="I775" s="357">
        <f t="shared" ca="1" si="361"/>
        <v>90.071227644255231</v>
      </c>
      <c r="J775" s="359">
        <f t="shared" ca="1" si="362"/>
        <v>1338.0392803346722</v>
      </c>
      <c r="K775" s="360">
        <f t="shared" ca="1" si="363"/>
        <v>2317.8474293633162</v>
      </c>
      <c r="L775" s="357">
        <f t="shared" ca="1" si="348"/>
        <v>2676.3344001683836</v>
      </c>
      <c r="M775" s="359">
        <f t="shared" ca="1" si="364"/>
        <v>-1.1882651740611667</v>
      </c>
      <c r="N775" s="357">
        <f t="shared" ca="1" si="365"/>
        <v>-68.082579416082993</v>
      </c>
      <c r="O775" s="343"/>
      <c r="P775" s="363">
        <f t="shared" ca="1" si="366"/>
        <v>23</v>
      </c>
      <c r="Q775" s="357">
        <f t="shared" ca="1" si="367"/>
        <v>0</v>
      </c>
      <c r="R775" s="359">
        <f t="shared" ca="1" si="368"/>
        <v>0</v>
      </c>
      <c r="S775" s="360">
        <f t="shared" ca="1" si="369"/>
        <v>9.637999999999975</v>
      </c>
      <c r="T775" s="357">
        <f t="shared" ca="1" si="349"/>
        <v>94.548779999999766</v>
      </c>
      <c r="U775" s="364">
        <f t="shared" ca="1" si="350"/>
        <v>0</v>
      </c>
      <c r="V775" s="359">
        <f t="shared" ca="1" si="351"/>
        <v>0.97055224378545168</v>
      </c>
      <c r="W775" s="357">
        <f t="shared" ca="1" si="352"/>
        <v>17.822585220105196</v>
      </c>
      <c r="X775" s="343"/>
      <c r="Y775" s="367" t="str">
        <f t="shared" ca="1" si="370"/>
        <v/>
      </c>
      <c r="Z775" s="368" t="str">
        <f t="shared" ca="1" si="371"/>
        <v/>
      </c>
      <c r="AA775" s="369" t="str">
        <f t="shared" ca="1" si="372"/>
        <v/>
      </c>
      <c r="AB775" s="344"/>
      <c r="AC775" s="363" t="e">
        <f t="shared" ca="1" si="373"/>
        <v>#N/A</v>
      </c>
      <c r="AD775" s="376" t="e">
        <f t="shared" ca="1" si="374"/>
        <v>#N/A</v>
      </c>
      <c r="AE775" s="377" t="e">
        <f t="shared" ca="1" si="353"/>
        <v>#N/A</v>
      </c>
      <c r="AF775" s="344"/>
      <c r="AG775" s="359">
        <f t="shared" ca="1" si="375"/>
        <v>7.2679321691805834</v>
      </c>
      <c r="AH775" s="357">
        <f t="shared" ca="1" si="376"/>
        <v>-1.8179132957763937</v>
      </c>
    </row>
    <row r="776" spans="1:34" x14ac:dyDescent="0.25">
      <c r="A776" s="402">
        <f t="shared" ca="1" si="354"/>
        <v>0.1</v>
      </c>
      <c r="B776" s="357">
        <f t="shared" ca="1" si="355"/>
        <v>32.200000000000124</v>
      </c>
      <c r="C776" s="342"/>
      <c r="D776" s="359">
        <f t="shared" ca="1" si="356"/>
        <v>-0.69025047534415696</v>
      </c>
      <c r="E776" s="360">
        <f t="shared" ca="1" si="357"/>
        <v>-8.0944554099104007</v>
      </c>
      <c r="F776" s="357">
        <f t="shared" ca="1" si="358"/>
        <v>8.1238324762233116</v>
      </c>
      <c r="G776" s="359">
        <f t="shared" ca="1" si="359"/>
        <v>33.551850452658485</v>
      </c>
      <c r="H776" s="360">
        <f t="shared" ca="1" si="360"/>
        <v>-84.370577533944413</v>
      </c>
      <c r="I776" s="357">
        <f t="shared" ca="1" si="361"/>
        <v>90.797142147805985</v>
      </c>
      <c r="J776" s="359">
        <f t="shared" ca="1" si="362"/>
        <v>1341.3979166323147</v>
      </c>
      <c r="K776" s="360">
        <f t="shared" ca="1" si="363"/>
        <v>2309.4508438869711</v>
      </c>
      <c r="L776" s="357">
        <f t="shared" ca="1" si="348"/>
        <v>2670.751124885237</v>
      </c>
      <c r="M776" s="359">
        <f t="shared" ca="1" si="364"/>
        <v>-1.1922981064547991</v>
      </c>
      <c r="N776" s="357">
        <f t="shared" ca="1" si="365"/>
        <v>-68.313649421299729</v>
      </c>
      <c r="O776" s="343"/>
      <c r="P776" s="363">
        <f t="shared" ca="1" si="366"/>
        <v>23</v>
      </c>
      <c r="Q776" s="357">
        <f t="shared" ca="1" si="367"/>
        <v>0</v>
      </c>
      <c r="R776" s="359">
        <f t="shared" ca="1" si="368"/>
        <v>0</v>
      </c>
      <c r="S776" s="360">
        <f t="shared" ca="1" si="369"/>
        <v>9.637999999999975</v>
      </c>
      <c r="T776" s="357">
        <f t="shared" ca="1" si="349"/>
        <v>94.548779999999766</v>
      </c>
      <c r="U776" s="364">
        <f t="shared" ca="1" si="350"/>
        <v>0</v>
      </c>
      <c r="V776" s="359">
        <f t="shared" ca="1" si="351"/>
        <v>0.97137858156542334</v>
      </c>
      <c r="W776" s="357">
        <f t="shared" ca="1" si="352"/>
        <v>18.12643924118095</v>
      </c>
      <c r="X776" s="343"/>
      <c r="Y776" s="367" t="str">
        <f t="shared" ca="1" si="370"/>
        <v/>
      </c>
      <c r="Z776" s="368" t="str">
        <f t="shared" ca="1" si="371"/>
        <v/>
      </c>
      <c r="AA776" s="369" t="str">
        <f t="shared" ca="1" si="372"/>
        <v/>
      </c>
      <c r="AB776" s="344"/>
      <c r="AC776" s="363" t="e">
        <f t="shared" ca="1" si="373"/>
        <v>#N/A</v>
      </c>
      <c r="AD776" s="376" t="e">
        <f t="shared" ca="1" si="374"/>
        <v>#N/A</v>
      </c>
      <c r="AE776" s="377" t="e">
        <f t="shared" ca="1" si="353"/>
        <v>#N/A</v>
      </c>
      <c r="AF776" s="344"/>
      <c r="AG776" s="359">
        <f t="shared" ca="1" si="375"/>
        <v>7.2517611750877835</v>
      </c>
      <c r="AH776" s="357">
        <f t="shared" ca="1" si="376"/>
        <v>-1.8491995455597887</v>
      </c>
    </row>
    <row r="777" spans="1:34" x14ac:dyDescent="0.25">
      <c r="A777" s="402">
        <f t="shared" ca="1" si="354"/>
        <v>0.1</v>
      </c>
      <c r="B777" s="357">
        <f t="shared" ca="1" si="355"/>
        <v>32.300000000000125</v>
      </c>
      <c r="C777" s="342"/>
      <c r="D777" s="359">
        <f t="shared" ca="1" si="356"/>
        <v>-0.69497610992258085</v>
      </c>
      <c r="E777" s="360">
        <f t="shared" ca="1" si="357"/>
        <v>-8.0623904054354121</v>
      </c>
      <c r="F777" s="357">
        <f t="shared" ca="1" si="358"/>
        <v>8.0922883563933947</v>
      </c>
      <c r="G777" s="359">
        <f t="shared" ca="1" si="359"/>
        <v>33.482352841666227</v>
      </c>
      <c r="H777" s="360">
        <f t="shared" ca="1" si="360"/>
        <v>-85.176816574487958</v>
      </c>
      <c r="I777" s="357">
        <f t="shared" ca="1" si="361"/>
        <v>91.521352883235949</v>
      </c>
      <c r="J777" s="359">
        <f t="shared" ca="1" si="362"/>
        <v>1344.7496267970309</v>
      </c>
      <c r="K777" s="360">
        <f t="shared" ca="1" si="363"/>
        <v>2300.9734741815496</v>
      </c>
      <c r="L777" s="357">
        <f t="shared" ca="1" si="348"/>
        <v>2665.1135975147222</v>
      </c>
      <c r="M777" s="359">
        <f t="shared" ca="1" si="364"/>
        <v>-1.1962589894160762</v>
      </c>
      <c r="N777" s="357">
        <f t="shared" ca="1" si="365"/>
        <v>-68.540591298126188</v>
      </c>
      <c r="O777" s="343"/>
      <c r="P777" s="363">
        <f t="shared" ca="1" si="366"/>
        <v>23</v>
      </c>
      <c r="Q777" s="357">
        <f t="shared" ca="1" si="367"/>
        <v>0</v>
      </c>
      <c r="R777" s="359">
        <f t="shared" ca="1" si="368"/>
        <v>0</v>
      </c>
      <c r="S777" s="360">
        <f t="shared" ca="1" si="369"/>
        <v>9.637999999999975</v>
      </c>
      <c r="T777" s="357">
        <f t="shared" ca="1" si="349"/>
        <v>94.548779999999766</v>
      </c>
      <c r="U777" s="364">
        <f t="shared" ca="1" si="350"/>
        <v>0</v>
      </c>
      <c r="V777" s="359">
        <f t="shared" ca="1" si="351"/>
        <v>0.97221350086930747</v>
      </c>
      <c r="W777" s="357">
        <f t="shared" ca="1" si="352"/>
        <v>18.432580030192721</v>
      </c>
      <c r="X777" s="343"/>
      <c r="Y777" s="367" t="str">
        <f t="shared" ca="1" si="370"/>
        <v/>
      </c>
      <c r="Z777" s="368" t="str">
        <f t="shared" ca="1" si="371"/>
        <v/>
      </c>
      <c r="AA777" s="369" t="str">
        <f t="shared" ca="1" si="372"/>
        <v/>
      </c>
      <c r="AB777" s="344"/>
      <c r="AC777" s="363" t="e">
        <f t="shared" ca="1" si="373"/>
        <v>#N/A</v>
      </c>
      <c r="AD777" s="376" t="e">
        <f t="shared" ca="1" si="374"/>
        <v>#N/A</v>
      </c>
      <c r="AE777" s="377" t="e">
        <f t="shared" ca="1" si="353"/>
        <v>#N/A</v>
      </c>
      <c r="AF777" s="344"/>
      <c r="AG777" s="359">
        <f t="shared" ca="1" si="375"/>
        <v>7.234928157023484</v>
      </c>
      <c r="AH777" s="357">
        <f t="shared" ca="1" si="376"/>
        <v>-1.8807262130297777</v>
      </c>
    </row>
    <row r="778" spans="1:34" x14ac:dyDescent="0.25">
      <c r="A778" s="402">
        <f t="shared" ca="1" si="354"/>
        <v>0.1</v>
      </c>
      <c r="B778" s="357">
        <f t="shared" ca="1" si="355"/>
        <v>32.400000000000126</v>
      </c>
      <c r="C778" s="342"/>
      <c r="D778" s="359">
        <f t="shared" ca="1" si="356"/>
        <v>-0.69966917957228514</v>
      </c>
      <c r="E778" s="360">
        <f t="shared" ca="1" si="357"/>
        <v>-8.0300894407549279</v>
      </c>
      <c r="F778" s="357">
        <f t="shared" ca="1" si="358"/>
        <v>8.0605132210900283</v>
      </c>
      <c r="G778" s="359">
        <f t="shared" ca="1" si="359"/>
        <v>33.412385923708996</v>
      </c>
      <c r="H778" s="360">
        <f t="shared" ca="1" si="360"/>
        <v>-85.979825518563445</v>
      </c>
      <c r="I778" s="357">
        <f t="shared" ca="1" si="361"/>
        <v>92.243796156259094</v>
      </c>
      <c r="J778" s="359">
        <f t="shared" ca="1" si="362"/>
        <v>1348.0943637352998</v>
      </c>
      <c r="K778" s="360">
        <f t="shared" ca="1" si="363"/>
        <v>2292.4156420768968</v>
      </c>
      <c r="L778" s="357">
        <f t="shared" ca="1" si="348"/>
        <v>2659.4224729391367</v>
      </c>
      <c r="M778" s="359">
        <f t="shared" ca="1" si="364"/>
        <v>-1.2001496780218484</v>
      </c>
      <c r="N778" s="357">
        <f t="shared" ca="1" si="365"/>
        <v>-68.763511334636561</v>
      </c>
      <c r="O778" s="343"/>
      <c r="P778" s="363">
        <f t="shared" ca="1" si="366"/>
        <v>23</v>
      </c>
      <c r="Q778" s="357">
        <f t="shared" ca="1" si="367"/>
        <v>0</v>
      </c>
      <c r="R778" s="359">
        <f t="shared" ca="1" si="368"/>
        <v>0</v>
      </c>
      <c r="S778" s="360">
        <f t="shared" ca="1" si="369"/>
        <v>9.637999999999975</v>
      </c>
      <c r="T778" s="357">
        <f t="shared" ca="1" si="349"/>
        <v>94.548779999999766</v>
      </c>
      <c r="U778" s="364">
        <f t="shared" ca="1" si="350"/>
        <v>0</v>
      </c>
      <c r="V778" s="359">
        <f t="shared" ca="1" si="351"/>
        <v>0.97305698883133085</v>
      </c>
      <c r="W778" s="357">
        <f t="shared" ca="1" si="352"/>
        <v>18.740977053326613</v>
      </c>
      <c r="X778" s="343"/>
      <c r="Y778" s="367" t="str">
        <f t="shared" ca="1" si="370"/>
        <v/>
      </c>
      <c r="Z778" s="368" t="str">
        <f t="shared" ca="1" si="371"/>
        <v/>
      </c>
      <c r="AA778" s="369" t="str">
        <f t="shared" ca="1" si="372"/>
        <v/>
      </c>
      <c r="AB778" s="344"/>
      <c r="AC778" s="363" t="e">
        <f t="shared" ca="1" si="373"/>
        <v>#N/A</v>
      </c>
      <c r="AD778" s="376" t="e">
        <f t="shared" ca="1" si="374"/>
        <v>#N/A</v>
      </c>
      <c r="AE778" s="377" t="e">
        <f t="shared" ca="1" si="353"/>
        <v>#N/A</v>
      </c>
      <c r="AF778" s="344"/>
      <c r="AG778" s="359">
        <f t="shared" ca="1" si="375"/>
        <v>7.2174510561680139</v>
      </c>
      <c r="AH778" s="357">
        <f t="shared" ca="1" si="376"/>
        <v>-1.912490146315913</v>
      </c>
    </row>
    <row r="779" spans="1:34" x14ac:dyDescent="0.25">
      <c r="A779" s="402">
        <f t="shared" ca="1" si="354"/>
        <v>0.1</v>
      </c>
      <c r="B779" s="357">
        <f t="shared" ca="1" si="355"/>
        <v>32.500000000000128</v>
      </c>
      <c r="C779" s="342"/>
      <c r="D779" s="359">
        <f t="shared" ca="1" si="356"/>
        <v>-0.70432909434629853</v>
      </c>
      <c r="E779" s="360">
        <f t="shared" ca="1" si="357"/>
        <v>-7.9975555736182455</v>
      </c>
      <c r="F779" s="357">
        <f t="shared" ca="1" si="358"/>
        <v>8.0285101124838185</v>
      </c>
      <c r="G779" s="359">
        <f t="shared" ca="1" si="359"/>
        <v>33.341953014274367</v>
      </c>
      <c r="H779" s="360">
        <f t="shared" ca="1" si="360"/>
        <v>-86.779581075925265</v>
      </c>
      <c r="I779" s="357">
        <f t="shared" ca="1" si="361"/>
        <v>92.96440997779294</v>
      </c>
      <c r="J779" s="359">
        <f t="shared" ca="1" si="362"/>
        <v>1351.4320806821991</v>
      </c>
      <c r="K779" s="360">
        <f t="shared" ca="1" si="363"/>
        <v>2283.7776717471725</v>
      </c>
      <c r="L779" s="357">
        <f t="shared" ca="1" si="348"/>
        <v>2653.678413573874</v>
      </c>
      <c r="M779" s="359">
        <f t="shared" ca="1" si="364"/>
        <v>-1.2039719683297965</v>
      </c>
      <c r="N779" s="357">
        <f t="shared" ca="1" si="365"/>
        <v>-68.982512437355751</v>
      </c>
      <c r="O779" s="343"/>
      <c r="P779" s="363">
        <f t="shared" ca="1" si="366"/>
        <v>23</v>
      </c>
      <c r="Q779" s="357">
        <f t="shared" ca="1" si="367"/>
        <v>0</v>
      </c>
      <c r="R779" s="359">
        <f t="shared" ca="1" si="368"/>
        <v>0</v>
      </c>
      <c r="S779" s="360">
        <f t="shared" ca="1" si="369"/>
        <v>9.637999999999975</v>
      </c>
      <c r="T779" s="357">
        <f t="shared" ca="1" si="349"/>
        <v>94.548779999999766</v>
      </c>
      <c r="U779" s="364">
        <f t="shared" ca="1" si="350"/>
        <v>0</v>
      </c>
      <c r="V779" s="359">
        <f t="shared" ca="1" si="351"/>
        <v>0.97390903247187754</v>
      </c>
      <c r="W779" s="357">
        <f t="shared" ca="1" si="352"/>
        <v>19.051599625453925</v>
      </c>
      <c r="X779" s="343"/>
      <c r="Y779" s="367" t="str">
        <f t="shared" ca="1" si="370"/>
        <v/>
      </c>
      <c r="Z779" s="368" t="str">
        <f t="shared" ca="1" si="371"/>
        <v/>
      </c>
      <c r="AA779" s="369" t="str">
        <f t="shared" ca="1" si="372"/>
        <v/>
      </c>
      <c r="AB779" s="344"/>
      <c r="AC779" s="363" t="e">
        <f t="shared" ca="1" si="373"/>
        <v>#N/A</v>
      </c>
      <c r="AD779" s="376" t="e">
        <f t="shared" ca="1" si="374"/>
        <v>#N/A</v>
      </c>
      <c r="AE779" s="377" t="e">
        <f t="shared" ca="1" si="353"/>
        <v>#N/A</v>
      </c>
      <c r="AF779" s="344"/>
      <c r="AG779" s="359">
        <f t="shared" ca="1" si="375"/>
        <v>7.1993472184530747</v>
      </c>
      <c r="AH779" s="357">
        <f t="shared" ca="1" si="376"/>
        <v>-1.9444881773528389</v>
      </c>
    </row>
    <row r="780" spans="1:34" x14ac:dyDescent="0.25">
      <c r="A780" s="402">
        <f t="shared" ca="1" si="354"/>
        <v>0.1</v>
      </c>
      <c r="B780" s="357">
        <f t="shared" ca="1" si="355"/>
        <v>32.600000000000129</v>
      </c>
      <c r="C780" s="342"/>
      <c r="D780" s="359">
        <f t="shared" ca="1" si="356"/>
        <v>-0.70895528119304574</v>
      </c>
      <c r="E780" s="360">
        <f t="shared" ca="1" si="357"/>
        <v>-7.9647918840519596</v>
      </c>
      <c r="F780" s="357">
        <f t="shared" ca="1" si="358"/>
        <v>7.9962820952609892</v>
      </c>
      <c r="G780" s="359">
        <f t="shared" ca="1" si="359"/>
        <v>33.271057486155065</v>
      </c>
      <c r="H780" s="360">
        <f t="shared" ca="1" si="360"/>
        <v>-87.576060264330465</v>
      </c>
      <c r="I780" s="357">
        <f t="shared" ca="1" si="361"/>
        <v>93.683134008575294</v>
      </c>
      <c r="J780" s="359">
        <f t="shared" ca="1" si="362"/>
        <v>1354.7627312072204</v>
      </c>
      <c r="K780" s="360">
        <f t="shared" ca="1" si="363"/>
        <v>2275.0598896801598</v>
      </c>
      <c r="L780" s="357">
        <f t="shared" ca="1" si="348"/>
        <v>2647.8820894253486</v>
      </c>
      <c r="M780" s="359">
        <f t="shared" ca="1" si="364"/>
        <v>-1.2077275995038299</v>
      </c>
      <c r="N780" s="357">
        <f t="shared" ca="1" si="365"/>
        <v>-69.197694253035635</v>
      </c>
      <c r="O780" s="343"/>
      <c r="P780" s="363">
        <f t="shared" ca="1" si="366"/>
        <v>23</v>
      </c>
      <c r="Q780" s="357">
        <f t="shared" ca="1" si="367"/>
        <v>0</v>
      </c>
      <c r="R780" s="359">
        <f t="shared" ca="1" si="368"/>
        <v>0</v>
      </c>
      <c r="S780" s="360">
        <f t="shared" ca="1" si="369"/>
        <v>9.637999999999975</v>
      </c>
      <c r="T780" s="357">
        <f t="shared" ca="1" si="349"/>
        <v>94.548779999999766</v>
      </c>
      <c r="U780" s="364">
        <f t="shared" ca="1" si="350"/>
        <v>0</v>
      </c>
      <c r="V780" s="359">
        <f t="shared" ca="1" si="351"/>
        <v>0.97476961869814194</v>
      </c>
      <c r="W780" s="357">
        <f t="shared" ca="1" si="352"/>
        <v>19.364416914934534</v>
      </c>
      <c r="X780" s="343"/>
      <c r="Y780" s="367" t="str">
        <f t="shared" ca="1" si="370"/>
        <v/>
      </c>
      <c r="Z780" s="368" t="str">
        <f t="shared" ca="1" si="371"/>
        <v/>
      </c>
      <c r="AA780" s="369" t="str">
        <f t="shared" ca="1" si="372"/>
        <v/>
      </c>
      <c r="AB780" s="344"/>
      <c r="AC780" s="363" t="e">
        <f t="shared" ca="1" si="373"/>
        <v>#N/A</v>
      </c>
      <c r="AD780" s="376" t="e">
        <f t="shared" ca="1" si="374"/>
        <v>#N/A</v>
      </c>
      <c r="AE780" s="377" t="e">
        <f t="shared" ca="1" si="353"/>
        <v>#N/A</v>
      </c>
      <c r="AF780" s="344"/>
      <c r="AG780" s="359">
        <f t="shared" ca="1" si="375"/>
        <v>7.1806334223995973</v>
      </c>
      <c r="AH780" s="357">
        <f t="shared" ca="1" si="376"/>
        <v>-1.9767171223753863</v>
      </c>
    </row>
    <row r="781" spans="1:34" x14ac:dyDescent="0.25">
      <c r="A781" s="402">
        <f t="shared" ca="1" si="354"/>
        <v>0.1</v>
      </c>
      <c r="B781" s="357">
        <f t="shared" ca="1" si="355"/>
        <v>32.700000000000131</v>
      </c>
      <c r="C781" s="342"/>
      <c r="D781" s="359">
        <f t="shared" ca="1" si="356"/>
        <v>-0.71354718351278834</v>
      </c>
      <c r="E781" s="360">
        <f t="shared" ca="1" si="357"/>
        <v>-7.9318014735250673</v>
      </c>
      <c r="F781" s="357">
        <f t="shared" ca="1" si="358"/>
        <v>7.9638322557995567</v>
      </c>
      <c r="G781" s="359">
        <f t="shared" ca="1" si="359"/>
        <v>33.199702767803785</v>
      </c>
      <c r="H781" s="360">
        <f t="shared" ca="1" si="360"/>
        <v>-88.369240411682966</v>
      </c>
      <c r="I781" s="357">
        <f t="shared" ca="1" si="361"/>
        <v>94.399909506356735</v>
      </c>
      <c r="J781" s="359">
        <f t="shared" ca="1" si="362"/>
        <v>1358.0862692199184</v>
      </c>
      <c r="K781" s="360">
        <f t="shared" ca="1" si="363"/>
        <v>2266.2626246463592</v>
      </c>
      <c r="L781" s="357">
        <f t="shared" ca="1" si="348"/>
        <v>2642.0341781499878</v>
      </c>
      <c r="M781" s="359">
        <f t="shared" ca="1" si="364"/>
        <v>-1.2114182558600877</v>
      </c>
      <c r="N781" s="357">
        <f t="shared" ca="1" si="365"/>
        <v>-69.409153285882326</v>
      </c>
      <c r="O781" s="343"/>
      <c r="P781" s="363">
        <f t="shared" ca="1" si="366"/>
        <v>23</v>
      </c>
      <c r="Q781" s="357">
        <f t="shared" ca="1" si="367"/>
        <v>0</v>
      </c>
      <c r="R781" s="359">
        <f t="shared" ca="1" si="368"/>
        <v>0</v>
      </c>
      <c r="S781" s="360">
        <f t="shared" ca="1" si="369"/>
        <v>9.637999999999975</v>
      </c>
      <c r="T781" s="357">
        <f t="shared" ca="1" si="349"/>
        <v>94.548779999999766</v>
      </c>
      <c r="U781" s="364">
        <f t="shared" ca="1" si="350"/>
        <v>0</v>
      </c>
      <c r="V781" s="359">
        <f t="shared" ca="1" si="351"/>
        <v>0.97563873430479842</v>
      </c>
      <c r="W781" s="357">
        <f t="shared" ca="1" si="352"/>
        <v>19.679397948450646</v>
      </c>
      <c r="X781" s="343"/>
      <c r="Y781" s="367" t="str">
        <f t="shared" ca="1" si="370"/>
        <v/>
      </c>
      <c r="Z781" s="368" t="str">
        <f t="shared" ca="1" si="371"/>
        <v/>
      </c>
      <c r="AA781" s="369" t="str">
        <f t="shared" ca="1" si="372"/>
        <v/>
      </c>
      <c r="AB781" s="344"/>
      <c r="AC781" s="363" t="e">
        <f t="shared" ca="1" si="373"/>
        <v>#N/A</v>
      </c>
      <c r="AD781" s="376" t="e">
        <f t="shared" ca="1" si="374"/>
        <v>#N/A</v>
      </c>
      <c r="AE781" s="377" t="e">
        <f t="shared" ca="1" si="353"/>
        <v>#N/A</v>
      </c>
      <c r="AF781" s="344"/>
      <c r="AG781" s="359">
        <f t="shared" ca="1" si="375"/>
        <v>7.1613259055465432</v>
      </c>
      <c r="AH781" s="357">
        <f t="shared" ca="1" si="376"/>
        <v>-2.0091737824169522</v>
      </c>
    </row>
    <row r="782" spans="1:34" x14ac:dyDescent="0.25">
      <c r="A782" s="402">
        <f t="shared" ca="1" si="354"/>
        <v>0.1</v>
      </c>
      <c r="B782" s="357">
        <f t="shared" ca="1" si="355"/>
        <v>32.800000000000132</v>
      </c>
      <c r="C782" s="342"/>
      <c r="D782" s="359">
        <f t="shared" ca="1" si="356"/>
        <v>-0.7181042607348268</v>
      </c>
      <c r="E782" s="360">
        <f t="shared" ca="1" si="357"/>
        <v>-7.8985874641302507</v>
      </c>
      <c r="F782" s="357">
        <f t="shared" ca="1" si="358"/>
        <v>7.9311637013619292</v>
      </c>
      <c r="G782" s="359">
        <f t="shared" ca="1" si="359"/>
        <v>33.127892341730302</v>
      </c>
      <c r="H782" s="360">
        <f t="shared" ca="1" si="360"/>
        <v>-89.159099158095998</v>
      </c>
      <c r="I782" s="357">
        <f t="shared" ca="1" si="361"/>
        <v>95.114679275538052</v>
      </c>
      <c r="J782" s="359">
        <f t="shared" ca="1" si="362"/>
        <v>1361.4026489753951</v>
      </c>
      <c r="K782" s="360">
        <f t="shared" ca="1" si="363"/>
        <v>2257.3862076678702</v>
      </c>
      <c r="L782" s="357">
        <f t="shared" ca="1" si="348"/>
        <v>2636.135365114309</v>
      </c>
      <c r="M782" s="359">
        <f t="shared" ca="1" si="364"/>
        <v>-1.215045568836139</v>
      </c>
      <c r="N782" s="357">
        <f t="shared" ca="1" si="365"/>
        <v>-69.616983010383109</v>
      </c>
      <c r="O782" s="343"/>
      <c r="P782" s="363">
        <f t="shared" ca="1" si="366"/>
        <v>23</v>
      </c>
      <c r="Q782" s="357">
        <f t="shared" ca="1" si="367"/>
        <v>0</v>
      </c>
      <c r="R782" s="359">
        <f t="shared" ca="1" si="368"/>
        <v>0</v>
      </c>
      <c r="S782" s="360">
        <f t="shared" ca="1" si="369"/>
        <v>9.637999999999975</v>
      </c>
      <c r="T782" s="357">
        <f t="shared" ca="1" si="349"/>
        <v>94.548779999999766</v>
      </c>
      <c r="U782" s="364">
        <f t="shared" ca="1" si="350"/>
        <v>0</v>
      </c>
      <c r="V782" s="359">
        <f t="shared" ca="1" si="351"/>
        <v>0.97651636597468305</v>
      </c>
      <c r="W782" s="357">
        <f t="shared" ca="1" si="352"/>
        <v>19.996511615868879</v>
      </c>
      <c r="X782" s="343"/>
      <c r="Y782" s="367" t="str">
        <f t="shared" ca="1" si="370"/>
        <v/>
      </c>
      <c r="Z782" s="368" t="str">
        <f t="shared" ca="1" si="371"/>
        <v/>
      </c>
      <c r="AA782" s="369" t="str">
        <f t="shared" ca="1" si="372"/>
        <v/>
      </c>
      <c r="AB782" s="344"/>
      <c r="AC782" s="363" t="e">
        <f t="shared" ca="1" si="373"/>
        <v>#N/A</v>
      </c>
      <c r="AD782" s="376" t="e">
        <f t="shared" ca="1" si="374"/>
        <v>#N/A</v>
      </c>
      <c r="AE782" s="377" t="e">
        <f t="shared" ca="1" si="353"/>
        <v>#N/A</v>
      </c>
      <c r="AF782" s="344"/>
      <c r="AG782" s="359">
        <f t="shared" ca="1" si="375"/>
        <v>7.141440389541323</v>
      </c>
      <c r="AH782" s="357">
        <f t="shared" ca="1" si="376"/>
        <v>-2.0418549438110287</v>
      </c>
    </row>
    <row r="783" spans="1:34" x14ac:dyDescent="0.25">
      <c r="A783" s="402">
        <f t="shared" ca="1" si="354"/>
        <v>0.1</v>
      </c>
      <c r="B783" s="357">
        <f t="shared" ca="1" si="355"/>
        <v>32.900000000000134</v>
      </c>
      <c r="C783" s="342"/>
      <c r="D783" s="359">
        <f t="shared" ca="1" si="356"/>
        <v>-0.72262598791433652</v>
      </c>
      <c r="E783" s="360">
        <f t="shared" ca="1" si="357"/>
        <v>-7.8651529977802923</v>
      </c>
      <c r="F783" s="357">
        <f t="shared" ca="1" si="358"/>
        <v>7.8982795593028667</v>
      </c>
      <c r="G783" s="359">
        <f t="shared" ca="1" si="359"/>
        <v>33.055629742938869</v>
      </c>
      <c r="H783" s="360">
        <f t="shared" ca="1" si="360"/>
        <v>-89.945614457874029</v>
      </c>
      <c r="I783" s="357">
        <f t="shared" ca="1" si="361"/>
        <v>95.827387619128913</v>
      </c>
      <c r="J783" s="359">
        <f t="shared" ca="1" si="362"/>
        <v>1364.7118250796286</v>
      </c>
      <c r="K783" s="360">
        <f t="shared" ca="1" si="363"/>
        <v>2248.4309719870716</v>
      </c>
      <c r="L783" s="357">
        <f t="shared" ca="1" si="348"/>
        <v>2630.1863434560864</v>
      </c>
      <c r="M783" s="359">
        <f t="shared" ca="1" si="364"/>
        <v>-1.2186111188859505</v>
      </c>
      <c r="N783" s="357">
        <f t="shared" ca="1" si="365"/>
        <v>-69.821273979879976</v>
      </c>
      <c r="O783" s="343"/>
      <c r="P783" s="363">
        <f t="shared" ca="1" si="366"/>
        <v>23</v>
      </c>
      <c r="Q783" s="357">
        <f t="shared" ca="1" si="367"/>
        <v>0</v>
      </c>
      <c r="R783" s="359">
        <f t="shared" ca="1" si="368"/>
        <v>0</v>
      </c>
      <c r="S783" s="360">
        <f t="shared" ca="1" si="369"/>
        <v>9.637999999999975</v>
      </c>
      <c r="T783" s="357">
        <f t="shared" ca="1" si="349"/>
        <v>94.548779999999766</v>
      </c>
      <c r="U783" s="364">
        <f t="shared" ca="1" si="350"/>
        <v>0</v>
      </c>
      <c r="V783" s="359">
        <f t="shared" ca="1" si="351"/>
        <v>0.97740250027949138</v>
      </c>
      <c r="W783" s="357">
        <f t="shared" ca="1" si="352"/>
        <v>20.315726675129316</v>
      </c>
      <c r="X783" s="343"/>
      <c r="Y783" s="367" t="str">
        <f t="shared" ca="1" si="370"/>
        <v/>
      </c>
      <c r="Z783" s="368" t="str">
        <f t="shared" ca="1" si="371"/>
        <v/>
      </c>
      <c r="AA783" s="369" t="str">
        <f t="shared" ca="1" si="372"/>
        <v/>
      </c>
      <c r="AB783" s="344"/>
      <c r="AC783" s="363" t="e">
        <f t="shared" ca="1" si="373"/>
        <v>#N/A</v>
      </c>
      <c r="AD783" s="376" t="e">
        <f t="shared" ca="1" si="374"/>
        <v>#N/A</v>
      </c>
      <c r="AE783" s="377" t="e">
        <f t="shared" ca="1" si="353"/>
        <v>#N/A</v>
      </c>
      <c r="AF783" s="344"/>
      <c r="AG783" s="359">
        <f t="shared" ca="1" si="375"/>
        <v>7.1209921039592876</v>
      </c>
      <c r="AH783" s="357">
        <f t="shared" ca="1" si="376"/>
        <v>-2.0747573786956766</v>
      </c>
    </row>
    <row r="784" spans="1:34" x14ac:dyDescent="0.25">
      <c r="A784" s="402">
        <f t="shared" ca="1" si="354"/>
        <v>0.1</v>
      </c>
      <c r="B784" s="357">
        <f t="shared" ca="1" si="355"/>
        <v>33.000000000000135</v>
      </c>
      <c r="C784" s="342"/>
      <c r="D784" s="359">
        <f t="shared" ca="1" si="356"/>
        <v>-0.72711185534781342</v>
      </c>
      <c r="E784" s="360">
        <f t="shared" ca="1" si="357"/>
        <v>-7.8315012354186253</v>
      </c>
      <c r="F784" s="357">
        <f t="shared" ca="1" si="358"/>
        <v>7.8651829762918295</v>
      </c>
      <c r="G784" s="359">
        <f t="shared" ca="1" si="359"/>
        <v>32.982918557404091</v>
      </c>
      <c r="H784" s="360">
        <f t="shared" ca="1" si="360"/>
        <v>-90.728764581415888</v>
      </c>
      <c r="I784" s="357">
        <f t="shared" ca="1" si="361"/>
        <v>96.537980292910305</v>
      </c>
      <c r="J784" s="359">
        <f t="shared" ca="1" si="362"/>
        <v>1368.0137524946458</v>
      </c>
      <c r="K784" s="360">
        <f t="shared" ca="1" si="363"/>
        <v>2239.397253035107</v>
      </c>
      <c r="L784" s="357">
        <f t="shared" ca="1" si="348"/>
        <v>2624.1878141466295</v>
      </c>
      <c r="M784" s="359">
        <f t="shared" ca="1" si="364"/>
        <v>-1.222116437303163</v>
      </c>
      <c r="N784" s="357">
        <f t="shared" ca="1" si="365"/>
        <v>-70.022113931035719</v>
      </c>
      <c r="O784" s="343"/>
      <c r="P784" s="363">
        <f t="shared" ca="1" si="366"/>
        <v>23</v>
      </c>
      <c r="Q784" s="357">
        <f t="shared" ca="1" si="367"/>
        <v>0</v>
      </c>
      <c r="R784" s="359">
        <f t="shared" ca="1" si="368"/>
        <v>0</v>
      </c>
      <c r="S784" s="360">
        <f t="shared" ca="1" si="369"/>
        <v>9.637999999999975</v>
      </c>
      <c r="T784" s="357">
        <f t="shared" ca="1" si="349"/>
        <v>94.548779999999766</v>
      </c>
      <c r="U784" s="364">
        <f t="shared" ca="1" si="350"/>
        <v>0</v>
      </c>
      <c r="V784" s="359">
        <f t="shared" ca="1" si="351"/>
        <v>0.97829712368048838</v>
      </c>
      <c r="W784" s="357">
        <f t="shared" ca="1" si="352"/>
        <v>20.637011757159765</v>
      </c>
      <c r="X784" s="343"/>
      <c r="Y784" s="367" t="str">
        <f t="shared" ca="1" si="370"/>
        <v/>
      </c>
      <c r="Z784" s="368" t="str">
        <f t="shared" ca="1" si="371"/>
        <v/>
      </c>
      <c r="AA784" s="369" t="str">
        <f t="shared" ca="1" si="372"/>
        <v/>
      </c>
      <c r="AB784" s="344"/>
      <c r="AC784" s="363">
        <f t="shared" ca="1" si="373"/>
        <v>33.000000000000135</v>
      </c>
      <c r="AD784" s="376">
        <f t="shared" ca="1" si="374"/>
        <v>1368.0137524946458</v>
      </c>
      <c r="AE784" s="377" t="e">
        <f t="shared" ca="1" si="353"/>
        <v>#N/A</v>
      </c>
      <c r="AF784" s="344"/>
      <c r="AG784" s="359">
        <f t="shared" ca="1" si="375"/>
        <v>7.0999958089166793</v>
      </c>
      <c r="AH784" s="357">
        <f t="shared" ca="1" si="376"/>
        <v>-2.1078778455207896</v>
      </c>
    </row>
    <row r="785" spans="1:34" x14ac:dyDescent="0.25">
      <c r="A785" s="402">
        <f t="shared" ca="1" si="354"/>
        <v>0.1</v>
      </c>
      <c r="B785" s="357">
        <f t="shared" ca="1" si="355"/>
        <v>33.100000000000136</v>
      </c>
      <c r="C785" s="342"/>
      <c r="D785" s="359">
        <f t="shared" ca="1" si="356"/>
        <v>-0.73156136820613615</v>
      </c>
      <c r="E785" s="360">
        <f t="shared" ca="1" si="357"/>
        <v>-7.7976353562431093</v>
      </c>
      <c r="F785" s="357">
        <f t="shared" ca="1" si="358"/>
        <v>7.8318771175487827</v>
      </c>
      <c r="G785" s="359">
        <f t="shared" ca="1" si="359"/>
        <v>32.909762420583476</v>
      </c>
      <c r="H785" s="360">
        <f t="shared" ca="1" si="360"/>
        <v>-91.5085281170402</v>
      </c>
      <c r="I785" s="357">
        <f t="shared" ca="1" si="361"/>
        <v>97.246404461688883</v>
      </c>
      <c r="J785" s="359">
        <f t="shared" ca="1" si="362"/>
        <v>1371.3083865435451</v>
      </c>
      <c r="K785" s="360">
        <f t="shared" ca="1" si="363"/>
        <v>2230.2853884001843</v>
      </c>
      <c r="L785" s="357">
        <f t="shared" ca="1" si="348"/>
        <v>2618.1404860541807</v>
      </c>
      <c r="M785" s="359">
        <f t="shared" ca="1" si="364"/>
        <v>-1.2255630079751851</v>
      </c>
      <c r="N785" s="357">
        <f t="shared" ca="1" si="365"/>
        <v>-70.219587884336164</v>
      </c>
      <c r="O785" s="343"/>
      <c r="P785" s="363">
        <f t="shared" ca="1" si="366"/>
        <v>23</v>
      </c>
      <c r="Q785" s="357">
        <f t="shared" ca="1" si="367"/>
        <v>0</v>
      </c>
      <c r="R785" s="359">
        <f t="shared" ca="1" si="368"/>
        <v>0</v>
      </c>
      <c r="S785" s="360">
        <f t="shared" ca="1" si="369"/>
        <v>9.637999999999975</v>
      </c>
      <c r="T785" s="357">
        <f t="shared" ca="1" si="349"/>
        <v>94.548779999999766</v>
      </c>
      <c r="U785" s="364">
        <f t="shared" ca="1" si="350"/>
        <v>0</v>
      </c>
      <c r="V785" s="359">
        <f t="shared" ca="1" si="351"/>
        <v>0.97920022252923111</v>
      </c>
      <c r="W785" s="357">
        <f t="shared" ca="1" si="352"/>
        <v>20.960335370813585</v>
      </c>
      <c r="X785" s="343"/>
      <c r="Y785" s="367" t="str">
        <f t="shared" ca="1" si="370"/>
        <v/>
      </c>
      <c r="Z785" s="368" t="str">
        <f t="shared" ca="1" si="371"/>
        <v/>
      </c>
      <c r="AA785" s="369" t="str">
        <f t="shared" ca="1" si="372"/>
        <v/>
      </c>
      <c r="AB785" s="344"/>
      <c r="AC785" s="363" t="e">
        <f t="shared" ca="1" si="373"/>
        <v>#N/A</v>
      </c>
      <c r="AD785" s="376" t="e">
        <f t="shared" ca="1" si="374"/>
        <v>#N/A</v>
      </c>
      <c r="AE785" s="377" t="e">
        <f t="shared" ca="1" si="353"/>
        <v>#N/A</v>
      </c>
      <c r="AF785" s="344"/>
      <c r="AG785" s="359">
        <f t="shared" ca="1" si="375"/>
        <v>7.0784658165383672</v>
      </c>
      <c r="AH785" s="357">
        <f t="shared" ca="1" si="376"/>
        <v>-2.1412130895579806</v>
      </c>
    </row>
    <row r="786" spans="1:34" x14ac:dyDescent="0.25">
      <c r="A786" s="402">
        <f t="shared" ca="1" si="354"/>
        <v>0.1</v>
      </c>
      <c r="B786" s="357">
        <f t="shared" ca="1" si="355"/>
        <v>33.200000000000138</v>
      </c>
      <c r="C786" s="342"/>
      <c r="D786" s="359">
        <f t="shared" ca="1" si="356"/>
        <v>-0.73597404618430096</v>
      </c>
      <c r="E786" s="360">
        <f t="shared" ca="1" si="357"/>
        <v>-7.7635585569422076</v>
      </c>
      <c r="F786" s="357">
        <f t="shared" ca="1" si="358"/>
        <v>7.7983651660926636</v>
      </c>
      <c r="G786" s="359">
        <f t="shared" ca="1" si="359"/>
        <v>32.836165015965044</v>
      </c>
      <c r="H786" s="360">
        <f t="shared" ca="1" si="360"/>
        <v>-92.28488397273442</v>
      </c>
      <c r="I786" s="357">
        <f t="shared" ca="1" si="361"/>
        <v>97.952608657537752</v>
      </c>
      <c r="J786" s="359">
        <f t="shared" ca="1" si="362"/>
        <v>1374.5956829153724</v>
      </c>
      <c r="K786" s="360">
        <f t="shared" ca="1" si="363"/>
        <v>2221.0957177956957</v>
      </c>
      <c r="L786" s="357">
        <f t="shared" ca="1" si="348"/>
        <v>2612.0450760084436</v>
      </c>
      <c r="M786" s="359">
        <f t="shared" ca="1" si="364"/>
        <v>-1.2289522690705614</v>
      </c>
      <c r="N786" s="357">
        <f t="shared" ca="1" si="365"/>
        <v>-70.413778240769105</v>
      </c>
      <c r="O786" s="343"/>
      <c r="P786" s="363">
        <f t="shared" ca="1" si="366"/>
        <v>23</v>
      </c>
      <c r="Q786" s="357">
        <f t="shared" ca="1" si="367"/>
        <v>0</v>
      </c>
      <c r="R786" s="359">
        <f t="shared" ca="1" si="368"/>
        <v>0</v>
      </c>
      <c r="S786" s="360">
        <f t="shared" ca="1" si="369"/>
        <v>9.637999999999975</v>
      </c>
      <c r="T786" s="357">
        <f t="shared" ca="1" si="349"/>
        <v>94.548779999999766</v>
      </c>
      <c r="U786" s="364">
        <f t="shared" ca="1" si="350"/>
        <v>0</v>
      </c>
      <c r="V786" s="359">
        <f t="shared" ca="1" si="351"/>
        <v>0.98011178306830771</v>
      </c>
      <c r="W786" s="357">
        <f t="shared" ca="1" si="352"/>
        <v>21.285665907829745</v>
      </c>
      <c r="X786" s="343"/>
      <c r="Y786" s="367" t="str">
        <f t="shared" ca="1" si="370"/>
        <v/>
      </c>
      <c r="Z786" s="368" t="str">
        <f t="shared" ca="1" si="371"/>
        <v/>
      </c>
      <c r="AA786" s="369" t="str">
        <f t="shared" ca="1" si="372"/>
        <v/>
      </c>
      <c r="AB786" s="344"/>
      <c r="AC786" s="363" t="e">
        <f t="shared" ca="1" si="373"/>
        <v>#N/A</v>
      </c>
      <c r="AD786" s="376" t="e">
        <f t="shared" ca="1" si="374"/>
        <v>#N/A</v>
      </c>
      <c r="AE786" s="377" t="e">
        <f t="shared" ca="1" si="353"/>
        <v>#N/A</v>
      </c>
      <c r="AF786" s="344"/>
      <c r="AG786" s="359">
        <f t="shared" ca="1" si="375"/>
        <v>7.0564160113388308</v>
      </c>
      <c r="AH786" s="357">
        <f t="shared" ca="1" si="376"/>
        <v>-2.1747598434129114</v>
      </c>
    </row>
    <row r="787" spans="1:34" x14ac:dyDescent="0.25">
      <c r="A787" s="402">
        <f t="shared" ca="1" si="354"/>
        <v>0.1</v>
      </c>
      <c r="B787" s="357">
        <f t="shared" ca="1" si="355"/>
        <v>33.300000000000139</v>
      </c>
      <c r="C787" s="342"/>
      <c r="D787" s="359">
        <f t="shared" ca="1" si="356"/>
        <v>-0.74034942316695518</v>
      </c>
      <c r="E787" s="360">
        <f t="shared" ca="1" si="357"/>
        <v>-7.7292740509427817</v>
      </c>
      <c r="F787" s="357">
        <f t="shared" ca="1" si="358"/>
        <v>7.7646503220016987</v>
      </c>
      <c r="G787" s="359">
        <f t="shared" ca="1" si="359"/>
        <v>32.762130073648351</v>
      </c>
      <c r="H787" s="360">
        <f t="shared" ca="1" si="360"/>
        <v>-93.057811377828699</v>
      </c>
      <c r="I787" s="357">
        <f t="shared" ca="1" si="361"/>
        <v>98.656542739922713</v>
      </c>
      <c r="J787" s="359">
        <f t="shared" ca="1" si="362"/>
        <v>1377.8755976698531</v>
      </c>
      <c r="K787" s="360">
        <f t="shared" ca="1" si="363"/>
        <v>2211.8285830281675</v>
      </c>
      <c r="L787" s="357">
        <f t="shared" ca="1" si="348"/>
        <v>2605.9023088662489</v>
      </c>
      <c r="M787" s="359">
        <f t="shared" ca="1" si="364"/>
        <v>-1.2322856146620291</v>
      </c>
      <c r="N787" s="357">
        <f t="shared" ca="1" si="365"/>
        <v>-70.604764874818741</v>
      </c>
      <c r="O787" s="343"/>
      <c r="P787" s="363">
        <f t="shared" ca="1" si="366"/>
        <v>23</v>
      </c>
      <c r="Q787" s="357">
        <f t="shared" ca="1" si="367"/>
        <v>0</v>
      </c>
      <c r="R787" s="359">
        <f t="shared" ca="1" si="368"/>
        <v>0</v>
      </c>
      <c r="S787" s="360">
        <f t="shared" ca="1" si="369"/>
        <v>9.637999999999975</v>
      </c>
      <c r="T787" s="357">
        <f t="shared" ca="1" si="349"/>
        <v>94.548779999999766</v>
      </c>
      <c r="U787" s="364">
        <f t="shared" ca="1" si="350"/>
        <v>0</v>
      </c>
      <c r="V787" s="359">
        <f t="shared" ca="1" si="351"/>
        <v>0.9810317914320843</v>
      </c>
      <c r="W787" s="357">
        <f t="shared" ca="1" si="352"/>
        <v>21.61297164781308</v>
      </c>
      <c r="X787" s="343"/>
      <c r="Y787" s="367" t="str">
        <f t="shared" ca="1" si="370"/>
        <v/>
      </c>
      <c r="Z787" s="368" t="str">
        <f t="shared" ca="1" si="371"/>
        <v/>
      </c>
      <c r="AA787" s="369" t="str">
        <f t="shared" ca="1" si="372"/>
        <v/>
      </c>
      <c r="AB787" s="344"/>
      <c r="AC787" s="363" t="e">
        <f t="shared" ca="1" si="373"/>
        <v>#N/A</v>
      </c>
      <c r="AD787" s="376" t="e">
        <f t="shared" ca="1" si="374"/>
        <v>#N/A</v>
      </c>
      <c r="AE787" s="377" t="e">
        <f t="shared" ca="1" si="353"/>
        <v>#N/A</v>
      </c>
      <c r="AF787" s="344"/>
      <c r="AG787" s="359">
        <f t="shared" ca="1" si="375"/>
        <v>7.0338598695719092</v>
      </c>
      <c r="AH787" s="357">
        <f t="shared" ca="1" si="376"/>
        <v>-2.2085148275399256</v>
      </c>
    </row>
    <row r="788" spans="1:34" x14ac:dyDescent="0.25">
      <c r="A788" s="402">
        <f t="shared" ca="1" si="354"/>
        <v>0.1</v>
      </c>
      <c r="B788" s="357">
        <f t="shared" ca="1" si="355"/>
        <v>33.400000000000141</v>
      </c>
      <c r="C788" s="342"/>
      <c r="D788" s="359">
        <f t="shared" ca="1" si="356"/>
        <v>-0.74468704690886589</v>
      </c>
      <c r="E788" s="360">
        <f t="shared" ca="1" si="357"/>
        <v>-7.6947850676688176</v>
      </c>
      <c r="F788" s="357">
        <f t="shared" ca="1" si="358"/>
        <v>7.7307358016849124</v>
      </c>
      <c r="G788" s="359">
        <f t="shared" ca="1" si="359"/>
        <v>32.687661368957464</v>
      </c>
      <c r="H788" s="360">
        <f t="shared" ca="1" si="360"/>
        <v>-93.827289884595586</v>
      </c>
      <c r="I788" s="357">
        <f t="shared" ca="1" si="361"/>
        <v>99.358157857619148</v>
      </c>
      <c r="J788" s="359">
        <f t="shared" ca="1" si="362"/>
        <v>1381.1480872419834</v>
      </c>
      <c r="K788" s="360">
        <f t="shared" ca="1" si="363"/>
        <v>2202.4843279650463</v>
      </c>
      <c r="L788" s="357">
        <f t="shared" ca="1" si="348"/>
        <v>2599.712917578368</v>
      </c>
      <c r="M788" s="359">
        <f t="shared" ca="1" si="364"/>
        <v>-1.2355643962876184</v>
      </c>
      <c r="N788" s="357">
        <f t="shared" ca="1" si="365"/>
        <v>-70.792625223910051</v>
      </c>
      <c r="O788" s="343"/>
      <c r="P788" s="363">
        <f t="shared" ca="1" si="366"/>
        <v>23</v>
      </c>
      <c r="Q788" s="357">
        <f t="shared" ca="1" si="367"/>
        <v>0</v>
      </c>
      <c r="R788" s="359">
        <f t="shared" ca="1" si="368"/>
        <v>0</v>
      </c>
      <c r="S788" s="360">
        <f t="shared" ca="1" si="369"/>
        <v>9.637999999999975</v>
      </c>
      <c r="T788" s="357">
        <f t="shared" ca="1" si="349"/>
        <v>94.548779999999766</v>
      </c>
      <c r="U788" s="364">
        <f t="shared" ca="1" si="350"/>
        <v>0</v>
      </c>
      <c r="V788" s="359">
        <f t="shared" ca="1" si="351"/>
        <v>0.98196023364746887</v>
      </c>
      <c r="W788" s="357">
        <f t="shared" ca="1" si="352"/>
        <v>21.942220763233703</v>
      </c>
      <c r="X788" s="343"/>
      <c r="Y788" s="367" t="str">
        <f t="shared" ca="1" si="370"/>
        <v/>
      </c>
      <c r="Z788" s="368" t="str">
        <f t="shared" ca="1" si="371"/>
        <v/>
      </c>
      <c r="AA788" s="369" t="str">
        <f t="shared" ca="1" si="372"/>
        <v/>
      </c>
      <c r="AB788" s="344"/>
      <c r="AC788" s="363" t="e">
        <f t="shared" ca="1" si="373"/>
        <v>#N/A</v>
      </c>
      <c r="AD788" s="376" t="e">
        <f t="shared" ca="1" si="374"/>
        <v>#N/A</v>
      </c>
      <c r="AE788" s="377" t="e">
        <f t="shared" ca="1" si="353"/>
        <v>#N/A</v>
      </c>
      <c r="AF788" s="344"/>
      <c r="AG788" s="359">
        <f t="shared" ca="1" si="375"/>
        <v>7.0108104776022895</v>
      </c>
      <c r="AH788" s="357">
        <f t="shared" ca="1" si="376"/>
        <v>-2.2424747507587814</v>
      </c>
    </row>
    <row r="789" spans="1:34" x14ac:dyDescent="0.25">
      <c r="A789" s="402">
        <f t="shared" ca="1" si="354"/>
        <v>0.1</v>
      </c>
      <c r="B789" s="357">
        <f t="shared" ca="1" si="355"/>
        <v>33.500000000000142</v>
      </c>
      <c r="C789" s="342"/>
      <c r="D789" s="359">
        <f t="shared" ca="1" si="356"/>
        <v>-0.74898647872954649</v>
      </c>
      <c r="E789" s="360">
        <f t="shared" ca="1" si="357"/>
        <v>-7.6600948518104097</v>
      </c>
      <c r="F789" s="357">
        <f t="shared" ca="1" si="358"/>
        <v>7.6966248371641459</v>
      </c>
      <c r="G789" s="359">
        <f t="shared" ca="1" si="359"/>
        <v>32.612762721084508</v>
      </c>
      <c r="H789" s="360">
        <f t="shared" ca="1" si="360"/>
        <v>-94.593299369776631</v>
      </c>
      <c r="I789" s="357">
        <f t="shared" ca="1" si="361"/>
        <v>100.05740641232883</v>
      </c>
      <c r="J789" s="359">
        <f t="shared" ca="1" si="362"/>
        <v>1384.4131084464855</v>
      </c>
      <c r="K789" s="360">
        <f t="shared" ca="1" si="363"/>
        <v>2193.0632985023276</v>
      </c>
      <c r="L789" s="357">
        <f t="shared" ca="1" si="348"/>
        <v>2593.4776432574795</v>
      </c>
      <c r="M789" s="359">
        <f t="shared" ca="1" si="364"/>
        <v>-1.238789924452095</v>
      </c>
      <c r="N789" s="357">
        <f t="shared" ca="1" si="365"/>
        <v>-70.977434374435148</v>
      </c>
      <c r="O789" s="343"/>
      <c r="P789" s="363">
        <f t="shared" ca="1" si="366"/>
        <v>23</v>
      </c>
      <c r="Q789" s="357">
        <f t="shared" ca="1" si="367"/>
        <v>0</v>
      </c>
      <c r="R789" s="359">
        <f t="shared" ca="1" si="368"/>
        <v>0</v>
      </c>
      <c r="S789" s="360">
        <f t="shared" ca="1" si="369"/>
        <v>9.637999999999975</v>
      </c>
      <c r="T789" s="357">
        <f t="shared" ca="1" si="349"/>
        <v>94.548779999999766</v>
      </c>
      <c r="U789" s="364">
        <f t="shared" ca="1" si="350"/>
        <v>0</v>
      </c>
      <c r="V789" s="359">
        <f t="shared" ca="1" si="351"/>
        <v>0.98289709563468475</v>
      </c>
      <c r="W789" s="357">
        <f t="shared" ca="1" si="352"/>
        <v>22.273381324443569</v>
      </c>
      <c r="X789" s="343"/>
      <c r="Y789" s="367" t="str">
        <f t="shared" ca="1" si="370"/>
        <v/>
      </c>
      <c r="Z789" s="368" t="str">
        <f t="shared" ca="1" si="371"/>
        <v/>
      </c>
      <c r="AA789" s="369" t="str">
        <f t="shared" ca="1" si="372"/>
        <v/>
      </c>
      <c r="AB789" s="344"/>
      <c r="AC789" s="363" t="e">
        <f t="shared" ca="1" si="373"/>
        <v>#N/A</v>
      </c>
      <c r="AD789" s="376" t="e">
        <f t="shared" ca="1" si="374"/>
        <v>#N/A</v>
      </c>
      <c r="AE789" s="377" t="e">
        <f t="shared" ca="1" si="353"/>
        <v>#N/A</v>
      </c>
      <c r="AF789" s="344"/>
      <c r="AG789" s="359">
        <f t="shared" ca="1" si="375"/>
        <v>6.9872805493488457</v>
      </c>
      <c r="AH789" s="357">
        <f t="shared" ca="1" si="376"/>
        <v>-2.2766363107733718</v>
      </c>
    </row>
    <row r="790" spans="1:34" x14ac:dyDescent="0.25">
      <c r="A790" s="402">
        <f t="shared" ca="1" si="354"/>
        <v>0.1</v>
      </c>
      <c r="B790" s="357">
        <f t="shared" ca="1" si="355"/>
        <v>33.600000000000144</v>
      </c>
      <c r="C790" s="342"/>
      <c r="D790" s="359">
        <f t="shared" ca="1" si="356"/>
        <v>-0.75324729322126394</v>
      </c>
      <c r="E790" s="360">
        <f t="shared" ca="1" si="357"/>
        <v>-7.6252066626024408</v>
      </c>
      <c r="F790" s="357">
        <f t="shared" ca="1" si="358"/>
        <v>7.6623206753660353</v>
      </c>
      <c r="G790" s="359">
        <f t="shared" ca="1" si="359"/>
        <v>32.537437991762381</v>
      </c>
      <c r="H790" s="360">
        <f t="shared" ca="1" si="360"/>
        <v>-95.355820036036874</v>
      </c>
      <c r="I790" s="357">
        <f t="shared" ca="1" si="361"/>
        <v>100.754242023911</v>
      </c>
      <c r="J790" s="359">
        <f t="shared" ca="1" si="362"/>
        <v>1387.6706184821278</v>
      </c>
      <c r="K790" s="360">
        <f t="shared" ca="1" si="363"/>
        <v>2183.5658425320371</v>
      </c>
      <c r="L790" s="357">
        <f t="shared" ca="1" si="348"/>
        <v>2587.197235247289</v>
      </c>
      <c r="M790" s="359">
        <f t="shared" ca="1" si="364"/>
        <v>-1.2419634700709827</v>
      </c>
      <c r="N790" s="357">
        <f t="shared" ca="1" si="365"/>
        <v>-71.159265144489638</v>
      </c>
      <c r="O790" s="343"/>
      <c r="P790" s="363">
        <f t="shared" ca="1" si="366"/>
        <v>23</v>
      </c>
      <c r="Q790" s="357">
        <f t="shared" ca="1" si="367"/>
        <v>0</v>
      </c>
      <c r="R790" s="359">
        <f t="shared" ca="1" si="368"/>
        <v>0</v>
      </c>
      <c r="S790" s="360">
        <f t="shared" ca="1" si="369"/>
        <v>9.637999999999975</v>
      </c>
      <c r="T790" s="357">
        <f t="shared" ca="1" si="349"/>
        <v>94.548779999999766</v>
      </c>
      <c r="U790" s="364">
        <f t="shared" ca="1" si="350"/>
        <v>0</v>
      </c>
      <c r="V790" s="359">
        <f t="shared" ca="1" si="351"/>
        <v>0.98384236320805729</v>
      </c>
      <c r="W790" s="357">
        <f t="shared" ca="1" si="352"/>
        <v>22.606421304708981</v>
      </c>
      <c r="X790" s="343"/>
      <c r="Y790" s="367" t="str">
        <f t="shared" ca="1" si="370"/>
        <v/>
      </c>
      <c r="Z790" s="368" t="str">
        <f t="shared" ca="1" si="371"/>
        <v/>
      </c>
      <c r="AA790" s="369" t="str">
        <f t="shared" ca="1" si="372"/>
        <v/>
      </c>
      <c r="AB790" s="344"/>
      <c r="AC790" s="363" t="e">
        <f t="shared" ca="1" si="373"/>
        <v>#N/A</v>
      </c>
      <c r="AD790" s="376" t="e">
        <f t="shared" ca="1" si="374"/>
        <v>#N/A</v>
      </c>
      <c r="AE790" s="377" t="e">
        <f t="shared" ca="1" si="353"/>
        <v>#N/A</v>
      </c>
      <c r="AF790" s="344"/>
      <c r="AG790" s="359">
        <f t="shared" ca="1" si="375"/>
        <v>6.9632824428476763</v>
      </c>
      <c r="AH790" s="357">
        <f t="shared" ca="1" si="376"/>
        <v>-2.3109961946922213</v>
      </c>
    </row>
    <row r="791" spans="1:34" x14ac:dyDescent="0.25">
      <c r="A791" s="402">
        <f t="shared" ca="1" si="354"/>
        <v>0.1</v>
      </c>
      <c r="B791" s="357">
        <f t="shared" ca="1" si="355"/>
        <v>33.700000000000145</v>
      </c>
      <c r="C791" s="342"/>
      <c r="D791" s="359">
        <f t="shared" ca="1" si="356"/>
        <v>-0.75746907796972274</v>
      </c>
      <c r="E791" s="360">
        <f t="shared" ca="1" si="357"/>
        <v>-7.5901237731123707</v>
      </c>
      <c r="F791" s="357">
        <f t="shared" ca="1" si="358"/>
        <v>7.62782657742334</v>
      </c>
      <c r="G791" s="359">
        <f t="shared" ca="1" si="359"/>
        <v>32.461691083965412</v>
      </c>
      <c r="H791" s="360">
        <f t="shared" ca="1" si="360"/>
        <v>-96.114832413348111</v>
      </c>
      <c r="I791" s="357">
        <f t="shared" ca="1" si="361"/>
        <v>101.4486194971464</v>
      </c>
      <c r="J791" s="359">
        <f t="shared" ca="1" si="362"/>
        <v>1390.9205749359141</v>
      </c>
      <c r="K791" s="360">
        <f t="shared" ca="1" si="363"/>
        <v>2173.9923099095677</v>
      </c>
      <c r="L791" s="357">
        <f t="shared" ca="1" si="348"/>
        <v>2580.8724511928117</v>
      </c>
      <c r="M791" s="359">
        <f t="shared" ca="1" si="364"/>
        <v>-1.2450862658593405</v>
      </c>
      <c r="N791" s="357">
        <f t="shared" ca="1" si="365"/>
        <v>-71.338188163443775</v>
      </c>
      <c r="O791" s="343"/>
      <c r="P791" s="363">
        <f t="shared" ca="1" si="366"/>
        <v>23</v>
      </c>
      <c r="Q791" s="357">
        <f t="shared" ca="1" si="367"/>
        <v>0</v>
      </c>
      <c r="R791" s="359">
        <f t="shared" ca="1" si="368"/>
        <v>0</v>
      </c>
      <c r="S791" s="360">
        <f t="shared" ca="1" si="369"/>
        <v>9.637999999999975</v>
      </c>
      <c r="T791" s="357">
        <f t="shared" ca="1" si="349"/>
        <v>94.548779999999766</v>
      </c>
      <c r="U791" s="364">
        <f t="shared" ca="1" si="350"/>
        <v>0</v>
      </c>
      <c r="V791" s="359">
        <f t="shared" ca="1" si="351"/>
        <v>0.98479602207681272</v>
      </c>
      <c r="W791" s="357">
        <f t="shared" ca="1" si="352"/>
        <v>22.941308585257268</v>
      </c>
      <c r="X791" s="343"/>
      <c r="Y791" s="367" t="str">
        <f t="shared" ca="1" si="370"/>
        <v/>
      </c>
      <c r="Z791" s="368" t="str">
        <f t="shared" ca="1" si="371"/>
        <v/>
      </c>
      <c r="AA791" s="369" t="str">
        <f t="shared" ca="1" si="372"/>
        <v/>
      </c>
      <c r="AB791" s="344"/>
      <c r="AC791" s="363" t="e">
        <f t="shared" ca="1" si="373"/>
        <v>#N/A</v>
      </c>
      <c r="AD791" s="376" t="e">
        <f t="shared" ca="1" si="374"/>
        <v>#N/A</v>
      </c>
      <c r="AE791" s="377" t="e">
        <f t="shared" ca="1" si="353"/>
        <v>#N/A</v>
      </c>
      <c r="AF791" s="344"/>
      <c r="AG791" s="359">
        <f t="shared" ca="1" si="375"/>
        <v>6.9388281759800954</v>
      </c>
      <c r="AH791" s="357">
        <f t="shared" ca="1" si="376"/>
        <v>-2.3455510795506371</v>
      </c>
    </row>
    <row r="792" spans="1:34" x14ac:dyDescent="0.25">
      <c r="A792" s="402">
        <f t="shared" ca="1" si="354"/>
        <v>0.1</v>
      </c>
      <c r="B792" s="357">
        <f t="shared" ca="1" si="355"/>
        <v>33.800000000000146</v>
      </c>
      <c r="C792" s="342"/>
      <c r="D792" s="359">
        <f t="shared" ca="1" si="356"/>
        <v>-0.76165143328673679</v>
      </c>
      <c r="E792" s="360">
        <f t="shared" ca="1" si="357"/>
        <v>-7.5548494695366788</v>
      </c>
      <c r="F792" s="357">
        <f t="shared" ca="1" si="358"/>
        <v>7.5931458179852163</v>
      </c>
      <c r="G792" s="359">
        <f t="shared" ca="1" si="359"/>
        <v>32.38552594063674</v>
      </c>
      <c r="H792" s="360">
        <f t="shared" ca="1" si="360"/>
        <v>-96.870317360301783</v>
      </c>
      <c r="I792" s="357">
        <f t="shared" ca="1" si="361"/>
        <v>102.14049478995703</v>
      </c>
      <c r="J792" s="359">
        <f t="shared" ca="1" si="362"/>
        <v>1394.1629357871443</v>
      </c>
      <c r="K792" s="360">
        <f t="shared" ca="1" si="363"/>
        <v>2164.3430524208852</v>
      </c>
      <c r="L792" s="357">
        <f t="shared" ca="1" si="348"/>
        <v>2574.5040571118125</v>
      </c>
      <c r="M792" s="359">
        <f t="shared" ca="1" si="364"/>
        <v>-1.2481595076674046</v>
      </c>
      <c r="N792" s="357">
        <f t="shared" ca="1" si="365"/>
        <v>-71.514271948469002</v>
      </c>
      <c r="O792" s="343"/>
      <c r="P792" s="363">
        <f t="shared" ca="1" si="366"/>
        <v>23</v>
      </c>
      <c r="Q792" s="357">
        <f t="shared" ca="1" si="367"/>
        <v>0</v>
      </c>
      <c r="R792" s="359">
        <f t="shared" ca="1" si="368"/>
        <v>0</v>
      </c>
      <c r="S792" s="360">
        <f t="shared" ca="1" si="369"/>
        <v>9.637999999999975</v>
      </c>
      <c r="T792" s="357">
        <f t="shared" ca="1" si="349"/>
        <v>94.548779999999766</v>
      </c>
      <c r="U792" s="364">
        <f t="shared" ca="1" si="350"/>
        <v>0</v>
      </c>
      <c r="V792" s="359">
        <f t="shared" ca="1" si="351"/>
        <v>0.98575805784588821</v>
      </c>
      <c r="W792" s="357">
        <f t="shared" ca="1" si="352"/>
        <v>23.27801096033636</v>
      </c>
      <c r="X792" s="343"/>
      <c r="Y792" s="367" t="str">
        <f t="shared" ca="1" si="370"/>
        <v/>
      </c>
      <c r="Z792" s="368" t="str">
        <f t="shared" ca="1" si="371"/>
        <v/>
      </c>
      <c r="AA792" s="369" t="str">
        <f t="shared" ca="1" si="372"/>
        <v/>
      </c>
      <c r="AB792" s="344"/>
      <c r="AC792" s="363" t="e">
        <f t="shared" ca="1" si="373"/>
        <v>#N/A</v>
      </c>
      <c r="AD792" s="376" t="e">
        <f t="shared" ca="1" si="374"/>
        <v>#N/A</v>
      </c>
      <c r="AE792" s="377" t="e">
        <f t="shared" ca="1" si="353"/>
        <v>#N/A</v>
      </c>
      <c r="AF792" s="344"/>
      <c r="AG792" s="359">
        <f t="shared" ca="1" si="375"/>
        <v>6.9139294414085724</v>
      </c>
      <c r="AH792" s="357">
        <f t="shared" ca="1" si="376"/>
        <v>-2.3802976328343357</v>
      </c>
    </row>
    <row r="793" spans="1:34" x14ac:dyDescent="0.25">
      <c r="A793" s="402">
        <f t="shared" ca="1" si="354"/>
        <v>0.1</v>
      </c>
      <c r="B793" s="357">
        <f t="shared" ca="1" si="355"/>
        <v>33.900000000000148</v>
      </c>
      <c r="C793" s="342"/>
      <c r="D793" s="359">
        <f t="shared" ca="1" si="356"/>
        <v>-0.76579397195424714</v>
      </c>
      <c r="E793" s="360">
        <f t="shared" ca="1" si="357"/>
        <v>-7.5193870505054567</v>
      </c>
      <c r="F793" s="357">
        <f t="shared" ca="1" si="358"/>
        <v>7.5582816845358849</v>
      </c>
      <c r="G793" s="359">
        <f t="shared" ca="1" si="359"/>
        <v>32.308946543441316</v>
      </c>
      <c r="H793" s="360">
        <f t="shared" ca="1" si="360"/>
        <v>-97.622256065352332</v>
      </c>
      <c r="I793" s="357">
        <f t="shared" ca="1" si="361"/>
        <v>102.82982498300855</v>
      </c>
      <c r="J793" s="359">
        <f t="shared" ca="1" si="362"/>
        <v>1397.3976594113483</v>
      </c>
      <c r="K793" s="360">
        <f t="shared" ca="1" si="363"/>
        <v>2154.6184237496027</v>
      </c>
      <c r="L793" s="357">
        <f t="shared" ca="1" si="348"/>
        <v>2568.0928274674061</v>
      </c>
      <c r="M793" s="359">
        <f t="shared" ca="1" si="364"/>
        <v>-1.251184355765139</v>
      </c>
      <c r="N793" s="357">
        <f t="shared" ca="1" si="365"/>
        <v>-71.687582978137357</v>
      </c>
      <c r="O793" s="343"/>
      <c r="P793" s="363">
        <f t="shared" ca="1" si="366"/>
        <v>23</v>
      </c>
      <c r="Q793" s="357">
        <f t="shared" ca="1" si="367"/>
        <v>0</v>
      </c>
      <c r="R793" s="359">
        <f t="shared" ca="1" si="368"/>
        <v>0</v>
      </c>
      <c r="S793" s="360">
        <f t="shared" ca="1" si="369"/>
        <v>9.637999999999975</v>
      </c>
      <c r="T793" s="357">
        <f t="shared" ca="1" si="349"/>
        <v>94.548779999999766</v>
      </c>
      <c r="U793" s="364">
        <f t="shared" ca="1" si="350"/>
        <v>0</v>
      </c>
      <c r="V793" s="359">
        <f t="shared" ca="1" si="351"/>
        <v>0.98672845601675219</v>
      </c>
      <c r="W793" s="357">
        <f t="shared" ca="1" si="352"/>
        <v>23.616496142285392</v>
      </c>
      <c r="X793" s="343"/>
      <c r="Y793" s="367" t="str">
        <f t="shared" ca="1" si="370"/>
        <v/>
      </c>
      <c r="Z793" s="368" t="str">
        <f t="shared" ca="1" si="371"/>
        <v/>
      </c>
      <c r="AA793" s="369" t="str">
        <f t="shared" ca="1" si="372"/>
        <v/>
      </c>
      <c r="AB793" s="344"/>
      <c r="AC793" s="363" t="e">
        <f t="shared" ca="1" si="373"/>
        <v>#N/A</v>
      </c>
      <c r="AD793" s="376" t="e">
        <f t="shared" ca="1" si="374"/>
        <v>#N/A</v>
      </c>
      <c r="AE793" s="377" t="e">
        <f t="shared" ca="1" si="353"/>
        <v>#N/A</v>
      </c>
      <c r="AF793" s="344"/>
      <c r="AG793" s="359">
        <f t="shared" ca="1" si="375"/>
        <v>6.8885976207614927</v>
      </c>
      <c r="AH793" s="357">
        <f t="shared" ca="1" si="376"/>
        <v>-2.4152325130044012</v>
      </c>
    </row>
    <row r="794" spans="1:34" x14ac:dyDescent="0.25">
      <c r="A794" s="402">
        <f t="shared" ca="1" si="354"/>
        <v>0.1</v>
      </c>
      <c r="B794" s="357">
        <f t="shared" ca="1" si="355"/>
        <v>34.000000000000149</v>
      </c>
      <c r="C794" s="342"/>
      <c r="D794" s="359">
        <f t="shared" ca="1" si="356"/>
        <v>-0.76989631897907229</v>
      </c>
      <c r="E794" s="360">
        <f t="shared" ca="1" si="357"/>
        <v>-7.4837398263947934</v>
      </c>
      <c r="F794" s="357">
        <f t="shared" ca="1" si="358"/>
        <v>7.5232374767213814</v>
      </c>
      <c r="G794" s="359">
        <f t="shared" ca="1" si="359"/>
        <v>32.231956911543406</v>
      </c>
      <c r="H794" s="360">
        <f t="shared" ca="1" si="360"/>
        <v>-98.37063004799181</v>
      </c>
      <c r="I794" s="357">
        <f t="shared" ca="1" si="361"/>
        <v>103.51656825062575</v>
      </c>
      <c r="J794" s="359">
        <f t="shared" ca="1" si="362"/>
        <v>1400.6247045840976</v>
      </c>
      <c r="K794" s="360">
        <f t="shared" ca="1" si="363"/>
        <v>2144.8187794439355</v>
      </c>
      <c r="L794" s="357">
        <f t="shared" ca="1" si="348"/>
        <v>2561.6395452418092</v>
      </c>
      <c r="M794" s="359">
        <f t="shared" ca="1" si="364"/>
        <v>-1.2541619360776775</v>
      </c>
      <c r="N794" s="357">
        <f t="shared" ca="1" si="365"/>
        <v>-71.858185763207047</v>
      </c>
      <c r="O794" s="343"/>
      <c r="P794" s="363">
        <f t="shared" ca="1" si="366"/>
        <v>23</v>
      </c>
      <c r="Q794" s="357">
        <f t="shared" ca="1" si="367"/>
        <v>0</v>
      </c>
      <c r="R794" s="359">
        <f t="shared" ca="1" si="368"/>
        <v>0</v>
      </c>
      <c r="S794" s="360">
        <f t="shared" ca="1" si="369"/>
        <v>9.637999999999975</v>
      </c>
      <c r="T794" s="357">
        <f t="shared" ca="1" si="349"/>
        <v>94.548779999999766</v>
      </c>
      <c r="U794" s="364">
        <f t="shared" ca="1" si="350"/>
        <v>0</v>
      </c>
      <c r="V794" s="359">
        <f t="shared" ca="1" si="351"/>
        <v>0.98770720198823891</v>
      </c>
      <c r="W794" s="357">
        <f t="shared" ca="1" si="352"/>
        <v>23.956731766615249</v>
      </c>
      <c r="X794" s="343"/>
      <c r="Y794" s="367" t="str">
        <f t="shared" ca="1" si="370"/>
        <v/>
      </c>
      <c r="Z794" s="368" t="str">
        <f t="shared" ca="1" si="371"/>
        <v/>
      </c>
      <c r="AA794" s="369" t="str">
        <f t="shared" ca="1" si="372"/>
        <v/>
      </c>
      <c r="AB794" s="344"/>
      <c r="AC794" s="363">
        <f t="shared" ca="1" si="373"/>
        <v>34.000000000000149</v>
      </c>
      <c r="AD794" s="376">
        <f t="shared" ca="1" si="374"/>
        <v>1400.6247045840976</v>
      </c>
      <c r="AE794" s="377" t="e">
        <f t="shared" ca="1" si="353"/>
        <v>#N/A</v>
      </c>
      <c r="AF794" s="344"/>
      <c r="AG794" s="359">
        <f t="shared" ca="1" si="375"/>
        <v>6.86284379810537</v>
      </c>
      <c r="AH794" s="357">
        <f t="shared" ca="1" si="376"/>
        <v>-2.450352370023392</v>
      </c>
    </row>
    <row r="795" spans="1:34" x14ac:dyDescent="0.25">
      <c r="A795" s="402">
        <f t="shared" ca="1" si="354"/>
        <v>0.1</v>
      </c>
      <c r="B795" s="357">
        <f t="shared" ca="1" si="355"/>
        <v>34.100000000000151</v>
      </c>
      <c r="C795" s="342"/>
      <c r="D795" s="359">
        <f t="shared" ca="1" si="356"/>
        <v>-0.77395811135781012</v>
      </c>
      <c r="E795" s="360">
        <f t="shared" ca="1" si="357"/>
        <v>-7.4479111186465072</v>
      </c>
      <c r="F795" s="357">
        <f t="shared" ca="1" si="358"/>
        <v>7.4880165056839196</v>
      </c>
      <c r="G795" s="359">
        <f t="shared" ca="1" si="359"/>
        <v>32.154561100407626</v>
      </c>
      <c r="H795" s="360">
        <f t="shared" ca="1" si="360"/>
        <v>-99.115421159856467</v>
      </c>
      <c r="I795" s="357">
        <f t="shared" ca="1" si="361"/>
        <v>104.20068383295559</v>
      </c>
      <c r="J795" s="359">
        <f t="shared" ca="1" si="362"/>
        <v>1403.8440304846952</v>
      </c>
      <c r="K795" s="360">
        <f t="shared" ca="1" si="363"/>
        <v>2134.9444768835428</v>
      </c>
      <c r="L795" s="357">
        <f t="shared" ca="1" si="348"/>
        <v>2555.1450020112475</v>
      </c>
      <c r="M795" s="359">
        <f t="shared" ca="1" si="364"/>
        <v>-1.2570933413735665</v>
      </c>
      <c r="N795" s="357">
        <f t="shared" ca="1" si="365"/>
        <v>-72.026142914703797</v>
      </c>
      <c r="O795" s="343"/>
      <c r="P795" s="363">
        <f t="shared" ca="1" si="366"/>
        <v>23</v>
      </c>
      <c r="Q795" s="357">
        <f t="shared" ca="1" si="367"/>
        <v>0</v>
      </c>
      <c r="R795" s="359">
        <f t="shared" ca="1" si="368"/>
        <v>0</v>
      </c>
      <c r="S795" s="360">
        <f t="shared" ca="1" si="369"/>
        <v>9.637999999999975</v>
      </c>
      <c r="T795" s="357">
        <f t="shared" ca="1" si="349"/>
        <v>94.548779999999766</v>
      </c>
      <c r="U795" s="364">
        <f t="shared" ca="1" si="350"/>
        <v>0</v>
      </c>
      <c r="V795" s="359">
        <f t="shared" ca="1" si="351"/>
        <v>0.98869428105739199</v>
      </c>
      <c r="W795" s="357">
        <f t="shared" ca="1" si="352"/>
        <v>24.298685397097305</v>
      </c>
      <c r="X795" s="343"/>
      <c r="Y795" s="367" t="str">
        <f t="shared" ca="1" si="370"/>
        <v/>
      </c>
      <c r="Z795" s="368" t="str">
        <f t="shared" ca="1" si="371"/>
        <v/>
      </c>
      <c r="AA795" s="369" t="str">
        <f t="shared" ca="1" si="372"/>
        <v/>
      </c>
      <c r="AB795" s="344"/>
      <c r="AC795" s="363" t="e">
        <f t="shared" ca="1" si="373"/>
        <v>#N/A</v>
      </c>
      <c r="AD795" s="376" t="e">
        <f t="shared" ca="1" si="374"/>
        <v>#N/A</v>
      </c>
      <c r="AE795" s="377" t="e">
        <f t="shared" ca="1" si="353"/>
        <v>#N/A</v>
      </c>
      <c r="AF795" s="344"/>
      <c r="AG795" s="359">
        <f t="shared" ca="1" si="375"/>
        <v>6.8366787727412692</v>
      </c>
      <c r="AH795" s="357">
        <f t="shared" ca="1" si="376"/>
        <v>-2.4856538458824766</v>
      </c>
    </row>
    <row r="796" spans="1:34" x14ac:dyDescent="0.25">
      <c r="A796" s="402">
        <f t="shared" ca="1" si="354"/>
        <v>0.1</v>
      </c>
      <c r="B796" s="357">
        <f t="shared" ca="1" si="355"/>
        <v>34.200000000000152</v>
      </c>
      <c r="C796" s="342"/>
      <c r="D796" s="359">
        <f t="shared" ca="1" si="356"/>
        <v>-0.7779789978513495</v>
      </c>
      <c r="E796" s="360">
        <f t="shared" ca="1" si="357"/>
        <v>-7.4119042590949231</v>
      </c>
      <c r="F796" s="357">
        <f t="shared" ca="1" si="358"/>
        <v>7.4526220934035861</v>
      </c>
      <c r="G796" s="359">
        <f t="shared" ca="1" si="359"/>
        <v>32.076763200622494</v>
      </c>
      <c r="H796" s="360">
        <f t="shared" ca="1" si="360"/>
        <v>-99.856611585765961</v>
      </c>
      <c r="I796" s="357">
        <f t="shared" ca="1" si="361"/>
        <v>104.8821320093148</v>
      </c>
      <c r="J796" s="359">
        <f t="shared" ca="1" si="362"/>
        <v>1407.0555966997467</v>
      </c>
      <c r="K796" s="360">
        <f t="shared" ca="1" si="363"/>
        <v>2124.9958752462617</v>
      </c>
      <c r="L796" s="357">
        <f t="shared" ca="1" si="348"/>
        <v>2548.6099980220015</v>
      </c>
      <c r="M796" s="359">
        <f t="shared" ca="1" si="364"/>
        <v>-1.2599796324076622</v>
      </c>
      <c r="N796" s="357">
        <f t="shared" ca="1" si="365"/>
        <v>-72.191515209403931</v>
      </c>
      <c r="O796" s="343"/>
      <c r="P796" s="363">
        <f t="shared" ca="1" si="366"/>
        <v>23</v>
      </c>
      <c r="Q796" s="357">
        <f t="shared" ca="1" si="367"/>
        <v>0</v>
      </c>
      <c r="R796" s="359">
        <f t="shared" ca="1" si="368"/>
        <v>0</v>
      </c>
      <c r="S796" s="360">
        <f t="shared" ca="1" si="369"/>
        <v>9.637999999999975</v>
      </c>
      <c r="T796" s="357">
        <f t="shared" ca="1" si="349"/>
        <v>94.548779999999766</v>
      </c>
      <c r="U796" s="364">
        <f t="shared" ca="1" si="350"/>
        <v>0</v>
      </c>
      <c r="V796" s="359">
        <f t="shared" ca="1" si="351"/>
        <v>0.98968967842031774</v>
      </c>
      <c r="W796" s="357">
        <f t="shared" ca="1" si="352"/>
        <v>24.642324530858783</v>
      </c>
      <c r="X796" s="343"/>
      <c r="Y796" s="367" t="str">
        <f t="shared" ca="1" si="370"/>
        <v/>
      </c>
      <c r="Z796" s="368" t="str">
        <f t="shared" ca="1" si="371"/>
        <v/>
      </c>
      <c r="AA796" s="369" t="str">
        <f t="shared" ca="1" si="372"/>
        <v/>
      </c>
      <c r="AB796" s="344"/>
      <c r="AC796" s="363" t="e">
        <f t="shared" ca="1" si="373"/>
        <v>#N/A</v>
      </c>
      <c r="AD796" s="376" t="e">
        <f t="shared" ca="1" si="374"/>
        <v>#N/A</v>
      </c>
      <c r="AE796" s="377" t="e">
        <f t="shared" ca="1" si="353"/>
        <v>#N/A</v>
      </c>
      <c r="AF796" s="344"/>
      <c r="AG796" s="359">
        <f t="shared" ca="1" si="375"/>
        <v>6.8101130713602007</v>
      </c>
      <c r="AH796" s="357">
        <f t="shared" ca="1" si="376"/>
        <v>-2.5211335751294217</v>
      </c>
    </row>
    <row r="797" spans="1:34" x14ac:dyDescent="0.25">
      <c r="A797" s="402">
        <f t="shared" ca="1" si="354"/>
        <v>0.1</v>
      </c>
      <c r="B797" s="357">
        <f t="shared" ca="1" si="355"/>
        <v>34.300000000000153</v>
      </c>
      <c r="C797" s="342"/>
      <c r="D797" s="359">
        <f t="shared" ca="1" si="356"/>
        <v>-0.78195863876845639</v>
      </c>
      <c r="E797" s="360">
        <f t="shared" ca="1" si="357"/>
        <v>-7.375722589300385</v>
      </c>
      <c r="F797" s="357">
        <f t="shared" ca="1" si="358"/>
        <v>7.4170575720470575</v>
      </c>
      <c r="G797" s="359">
        <f t="shared" ca="1" si="359"/>
        <v>31.998567336745648</v>
      </c>
      <c r="H797" s="360">
        <f t="shared" ca="1" si="360"/>
        <v>-100.594183844696</v>
      </c>
      <c r="I797" s="357">
        <f t="shared" ca="1" si="361"/>
        <v>105.56087407266361</v>
      </c>
      <c r="J797" s="359">
        <f t="shared" ca="1" si="362"/>
        <v>1410.2593632266151</v>
      </c>
      <c r="K797" s="360">
        <f t="shared" ca="1" si="363"/>
        <v>2114.9733354747386</v>
      </c>
      <c r="L797" s="357">
        <f t="shared" ca="1" si="348"/>
        <v>2542.0353422675853</v>
      </c>
      <c r="M797" s="359">
        <f t="shared" ca="1" si="364"/>
        <v>-1.2628218390204631</v>
      </c>
      <c r="N797" s="357">
        <f t="shared" ca="1" si="365"/>
        <v>-72.354361652821595</v>
      </c>
      <c r="O797" s="343"/>
      <c r="P797" s="363">
        <f t="shared" ca="1" si="366"/>
        <v>23</v>
      </c>
      <c r="Q797" s="357">
        <f t="shared" ca="1" si="367"/>
        <v>0</v>
      </c>
      <c r="R797" s="359">
        <f t="shared" ca="1" si="368"/>
        <v>0</v>
      </c>
      <c r="S797" s="360">
        <f t="shared" ca="1" si="369"/>
        <v>9.637999999999975</v>
      </c>
      <c r="T797" s="357">
        <f t="shared" ca="1" si="349"/>
        <v>94.548779999999766</v>
      </c>
      <c r="U797" s="364">
        <f t="shared" ca="1" si="350"/>
        <v>0</v>
      </c>
      <c r="V797" s="359">
        <f t="shared" ca="1" si="351"/>
        <v>0.99069337917305389</v>
      </c>
      <c r="W797" s="357">
        <f t="shared" ca="1" si="352"/>
        <v>24.987616603483705</v>
      </c>
      <c r="X797" s="343"/>
      <c r="Y797" s="367" t="str">
        <f t="shared" ca="1" si="370"/>
        <v/>
      </c>
      <c r="Z797" s="368" t="str">
        <f t="shared" ca="1" si="371"/>
        <v/>
      </c>
      <c r="AA797" s="369" t="str">
        <f t="shared" ca="1" si="372"/>
        <v/>
      </c>
      <c r="AB797" s="344"/>
      <c r="AC797" s="363" t="e">
        <f t="shared" ca="1" si="373"/>
        <v>#N/A</v>
      </c>
      <c r="AD797" s="376" t="e">
        <f t="shared" ca="1" si="374"/>
        <v>#N/A</v>
      </c>
      <c r="AE797" s="377" t="e">
        <f t="shared" ca="1" si="353"/>
        <v>#N/A</v>
      </c>
      <c r="AF797" s="344"/>
      <c r="AG797" s="359">
        <f t="shared" ca="1" si="375"/>
        <v>6.7831569595904861</v>
      </c>
      <c r="AH797" s="357">
        <f t="shared" ca="1" si="376"/>
        <v>-2.5567881853972656</v>
      </c>
    </row>
    <row r="798" spans="1:34" x14ac:dyDescent="0.25">
      <c r="A798" s="402">
        <f t="shared" ca="1" si="354"/>
        <v>0.1</v>
      </c>
      <c r="B798" s="357">
        <f t="shared" ca="1" si="355"/>
        <v>34.400000000000155</v>
      </c>
      <c r="C798" s="342"/>
      <c r="D798" s="359">
        <f t="shared" ca="1" si="356"/>
        <v>-0.78589670575795767</v>
      </c>
      <c r="E798" s="360">
        <f t="shared" ca="1" si="357"/>
        <v>-7.339369459889161</v>
      </c>
      <c r="F798" s="357">
        <f t="shared" ca="1" si="358"/>
        <v>7.3813262833229993</v>
      </c>
      <c r="G798" s="359">
        <f t="shared" ca="1" si="359"/>
        <v>31.919977666169853</v>
      </c>
      <c r="H798" s="360">
        <f t="shared" ca="1" si="360"/>
        <v>-101.32812079068492</v>
      </c>
      <c r="I798" s="357">
        <f t="shared" ca="1" si="361"/>
        <v>106.23687230514844</v>
      </c>
      <c r="J798" s="359">
        <f t="shared" ca="1" si="362"/>
        <v>1413.4552904767609</v>
      </c>
      <c r="K798" s="360">
        <f t="shared" ca="1" si="363"/>
        <v>2104.8772202429695</v>
      </c>
      <c r="L798" s="357">
        <f t="shared" ca="1" si="348"/>
        <v>2535.4218525670467</v>
      </c>
      <c r="M798" s="359">
        <f t="shared" ca="1" si="364"/>
        <v>-1.2656209611956004</v>
      </c>
      <c r="N798" s="357">
        <f t="shared" ca="1" si="365"/>
        <v>-72.514739539798441</v>
      </c>
      <c r="O798" s="343"/>
      <c r="P798" s="363">
        <f t="shared" ca="1" si="366"/>
        <v>23</v>
      </c>
      <c r="Q798" s="357">
        <f t="shared" ca="1" si="367"/>
        <v>0</v>
      </c>
      <c r="R798" s="359">
        <f t="shared" ca="1" si="368"/>
        <v>0</v>
      </c>
      <c r="S798" s="360">
        <f t="shared" ca="1" si="369"/>
        <v>9.637999999999975</v>
      </c>
      <c r="T798" s="357">
        <f t="shared" ca="1" si="349"/>
        <v>94.548779999999766</v>
      </c>
      <c r="U798" s="364">
        <f t="shared" ca="1" si="350"/>
        <v>0</v>
      </c>
      <c r="V798" s="359">
        <f t="shared" ca="1" si="351"/>
        <v>0.99170536831244216</v>
      </c>
      <c r="W798" s="357">
        <f t="shared" ca="1" si="352"/>
        <v>25.334528994117299</v>
      </c>
      <c r="X798" s="343"/>
      <c r="Y798" s="367" t="str">
        <f t="shared" ca="1" si="370"/>
        <v/>
      </c>
      <c r="Z798" s="368" t="str">
        <f t="shared" ca="1" si="371"/>
        <v/>
      </c>
      <c r="AA798" s="369" t="str">
        <f t="shared" ca="1" si="372"/>
        <v/>
      </c>
      <c r="AB798" s="344"/>
      <c r="AC798" s="363" t="e">
        <f t="shared" ca="1" si="373"/>
        <v>#N/A</v>
      </c>
      <c r="AD798" s="376" t="e">
        <f t="shared" ca="1" si="374"/>
        <v>#N/A</v>
      </c>
      <c r="AE798" s="377" t="e">
        <f t="shared" ca="1" si="353"/>
        <v>#N/A</v>
      </c>
      <c r="AF798" s="344"/>
      <c r="AG798" s="359">
        <f t="shared" ca="1" si="375"/>
        <v>6.7558204529683277</v>
      </c>
      <c r="AH798" s="357">
        <f t="shared" ca="1" si="376"/>
        <v>-2.5926142979335722</v>
      </c>
    </row>
    <row r="799" spans="1:34" x14ac:dyDescent="0.25">
      <c r="A799" s="402">
        <f t="shared" ca="1" si="354"/>
        <v>0.1</v>
      </c>
      <c r="B799" s="357">
        <f t="shared" ca="1" si="355"/>
        <v>34.500000000000156</v>
      </c>
      <c r="C799" s="342"/>
      <c r="D799" s="359">
        <f t="shared" ca="1" si="356"/>
        <v>-0.78979288160903816</v>
      </c>
      <c r="E799" s="360">
        <f t="shared" ca="1" si="357"/>
        <v>-7.3028482298995767</v>
      </c>
      <c r="F799" s="357">
        <f t="shared" ca="1" si="358"/>
        <v>7.3454315778439927</v>
      </c>
      <c r="G799" s="359">
        <f t="shared" ca="1" si="359"/>
        <v>31.840998378008948</v>
      </c>
      <c r="H799" s="360">
        <f t="shared" ca="1" si="360"/>
        <v>-102.05840561367488</v>
      </c>
      <c r="I799" s="357">
        <f t="shared" ca="1" si="361"/>
        <v>106.91008995466122</v>
      </c>
      <c r="J799" s="359">
        <f t="shared" ca="1" si="362"/>
        <v>1416.6433392789697</v>
      </c>
      <c r="K799" s="360">
        <f t="shared" ca="1" si="363"/>
        <v>2094.7078939227517</v>
      </c>
      <c r="L799" s="357">
        <f t="shared" ca="1" si="348"/>
        <v>2528.7703556443716</v>
      </c>
      <c r="M799" s="359">
        <f t="shared" ca="1" si="364"/>
        <v>-1.2683779700771445</v>
      </c>
      <c r="N799" s="357">
        <f t="shared" ca="1" si="365"/>
        <v>-72.672704512791</v>
      </c>
      <c r="O799" s="343"/>
      <c r="P799" s="363">
        <f t="shared" ca="1" si="366"/>
        <v>23</v>
      </c>
      <c r="Q799" s="357">
        <f t="shared" ca="1" si="367"/>
        <v>0</v>
      </c>
      <c r="R799" s="359">
        <f t="shared" ca="1" si="368"/>
        <v>0</v>
      </c>
      <c r="S799" s="360">
        <f t="shared" ca="1" si="369"/>
        <v>9.637999999999975</v>
      </c>
      <c r="T799" s="357">
        <f t="shared" ca="1" si="349"/>
        <v>94.548779999999766</v>
      </c>
      <c r="U799" s="364">
        <f t="shared" ca="1" si="350"/>
        <v>0</v>
      </c>
      <c r="V799" s="359">
        <f t="shared" ca="1" si="351"/>
        <v>0.99272563073701792</v>
      </c>
      <c r="W799" s="357">
        <f t="shared" ca="1" si="352"/>
        <v>25.683029030573042</v>
      </c>
      <c r="X799" s="343"/>
      <c r="Y799" s="367" t="str">
        <f t="shared" ca="1" si="370"/>
        <v/>
      </c>
      <c r="Z799" s="368" t="str">
        <f t="shared" ca="1" si="371"/>
        <v/>
      </c>
      <c r="AA799" s="369" t="str">
        <f t="shared" ca="1" si="372"/>
        <v/>
      </c>
      <c r="AB799" s="344"/>
      <c r="AC799" s="363" t="e">
        <f t="shared" ca="1" si="373"/>
        <v>#N/A</v>
      </c>
      <c r="AD799" s="376" t="e">
        <f t="shared" ca="1" si="374"/>
        <v>#N/A</v>
      </c>
      <c r="AE799" s="377" t="e">
        <f t="shared" ca="1" si="353"/>
        <v>#N/A</v>
      </c>
      <c r="AF799" s="344"/>
      <c r="AG799" s="359">
        <f t="shared" ca="1" si="375"/>
        <v>6.7281133273612408</v>
      </c>
      <c r="AH799" s="357">
        <f t="shared" ca="1" si="376"/>
        <v>-2.628608528130044</v>
      </c>
    </row>
    <row r="800" spans="1:34" x14ac:dyDescent="0.25">
      <c r="A800" s="402">
        <f t="shared" ca="1" si="354"/>
        <v>0.1</v>
      </c>
      <c r="B800" s="357">
        <f t="shared" ca="1" si="355"/>
        <v>34.600000000000158</v>
      </c>
      <c r="C800" s="342"/>
      <c r="D800" s="359">
        <f t="shared" ca="1" si="356"/>
        <v>-0.79364686005922092</v>
      </c>
      <c r="E800" s="360">
        <f t="shared" ca="1" si="357"/>
        <v>-7.2661622661340584</v>
      </c>
      <c r="F800" s="357">
        <f t="shared" ca="1" si="358"/>
        <v>7.3093768144946729</v>
      </c>
      <c r="G800" s="359">
        <f t="shared" ca="1" si="359"/>
        <v>31.761633692003027</v>
      </c>
      <c r="H800" s="360">
        <f t="shared" ca="1" si="360"/>
        <v>-102.78502184028828</v>
      </c>
      <c r="I800" s="357">
        <f t="shared" ca="1" si="361"/>
        <v>107.58049121236397</v>
      </c>
      <c r="J800" s="359">
        <f t="shared" ca="1" si="362"/>
        <v>1419.8234708824702</v>
      </c>
      <c r="K800" s="360">
        <f t="shared" ca="1" si="363"/>
        <v>2084.4657225500537</v>
      </c>
      <c r="L800" s="357">
        <f t="shared" ca="1" si="348"/>
        <v>2522.0816872089736</v>
      </c>
      <c r="M800" s="359">
        <f t="shared" ca="1" si="364"/>
        <v>-1.2710938089483237</v>
      </c>
      <c r="N800" s="357">
        <f t="shared" ca="1" si="365"/>
        <v>-72.828310617947139</v>
      </c>
      <c r="O800" s="343"/>
      <c r="P800" s="363">
        <f t="shared" ca="1" si="366"/>
        <v>23</v>
      </c>
      <c r="Q800" s="357">
        <f t="shared" ca="1" si="367"/>
        <v>0</v>
      </c>
      <c r="R800" s="359">
        <f t="shared" ca="1" si="368"/>
        <v>0</v>
      </c>
      <c r="S800" s="360">
        <f t="shared" ca="1" si="369"/>
        <v>9.637999999999975</v>
      </c>
      <c r="T800" s="357">
        <f t="shared" ca="1" si="349"/>
        <v>94.548779999999766</v>
      </c>
      <c r="U800" s="364">
        <f t="shared" ca="1" si="350"/>
        <v>0</v>
      </c>
      <c r="V800" s="359">
        <f t="shared" ca="1" si="351"/>
        <v>0.99375415124790534</v>
      </c>
      <c r="W800" s="357">
        <f t="shared" ca="1" si="352"/>
        <v>26.033083994440442</v>
      </c>
      <c r="X800" s="343"/>
      <c r="Y800" s="367" t="str">
        <f t="shared" ca="1" si="370"/>
        <v/>
      </c>
      <c r="Z800" s="368" t="str">
        <f t="shared" ca="1" si="371"/>
        <v/>
      </c>
      <c r="AA800" s="369" t="str">
        <f t="shared" ca="1" si="372"/>
        <v/>
      </c>
      <c r="AB800" s="344"/>
      <c r="AC800" s="363" t="e">
        <f t="shared" ca="1" si="373"/>
        <v>#N/A</v>
      </c>
      <c r="AD800" s="376" t="e">
        <f t="shared" ca="1" si="374"/>
        <v>#N/A</v>
      </c>
      <c r="AE800" s="377" t="e">
        <f t="shared" ca="1" si="353"/>
        <v>#N/A</v>
      </c>
      <c r="AF800" s="344"/>
      <c r="AG800" s="359">
        <f t="shared" ca="1" si="375"/>
        <v>6.7000451288723362</v>
      </c>
      <c r="AH800" s="357">
        <f t="shared" ca="1" si="376"/>
        <v>-2.664767486052408</v>
      </c>
    </row>
    <row r="801" spans="1:34" x14ac:dyDescent="0.25">
      <c r="A801" s="402">
        <f t="shared" ca="1" si="354"/>
        <v>0.1</v>
      </c>
      <c r="B801" s="357">
        <f t="shared" ca="1" si="355"/>
        <v>34.700000000000159</v>
      </c>
      <c r="C801" s="342"/>
      <c r="D801" s="359">
        <f t="shared" ca="1" si="356"/>
        <v>-0.79745834560960027</v>
      </c>
      <c r="E801" s="360">
        <f t="shared" ca="1" si="357"/>
        <v>-7.2293149425169343</v>
      </c>
      <c r="F801" s="357">
        <f t="shared" ca="1" si="358"/>
        <v>7.2731653598059367</v>
      </c>
      <c r="G801" s="359">
        <f t="shared" ca="1" si="359"/>
        <v>31.681887857442067</v>
      </c>
      <c r="H801" s="360">
        <f t="shared" ca="1" si="360"/>
        <v>-103.50795333453998</v>
      </c>
      <c r="I801" s="357">
        <f t="shared" ca="1" si="361"/>
        <v>108.24804119113121</v>
      </c>
      <c r="J801" s="359">
        <f t="shared" ca="1" si="362"/>
        <v>1422.9956469599424</v>
      </c>
      <c r="K801" s="360">
        <f t="shared" ca="1" si="363"/>
        <v>2074.1510737913122</v>
      </c>
      <c r="L801" s="357">
        <f t="shared" ca="1" si="348"/>
        <v>2515.3566920372541</v>
      </c>
      <c r="M801" s="359">
        <f t="shared" ca="1" si="364"/>
        <v>-1.2737693941731922</v>
      </c>
      <c r="N801" s="357">
        <f t="shared" ca="1" si="365"/>
        <v>-72.981610359059673</v>
      </c>
      <c r="O801" s="343"/>
      <c r="P801" s="363">
        <f t="shared" ca="1" si="366"/>
        <v>23</v>
      </c>
      <c r="Q801" s="357">
        <f t="shared" ca="1" si="367"/>
        <v>0</v>
      </c>
      <c r="R801" s="359">
        <f t="shared" ca="1" si="368"/>
        <v>0</v>
      </c>
      <c r="S801" s="360">
        <f t="shared" ca="1" si="369"/>
        <v>9.637999999999975</v>
      </c>
      <c r="T801" s="357">
        <f t="shared" ca="1" si="349"/>
        <v>94.548779999999766</v>
      </c>
      <c r="U801" s="364">
        <f t="shared" ca="1" si="350"/>
        <v>0</v>
      </c>
      <c r="V801" s="359">
        <f t="shared" ca="1" si="351"/>
        <v>0.99479091454972457</v>
      </c>
      <c r="W801" s="357">
        <f t="shared" ca="1" si="352"/>
        <v>26.384661126192356</v>
      </c>
      <c r="X801" s="343"/>
      <c r="Y801" s="367" t="str">
        <f t="shared" ca="1" si="370"/>
        <v/>
      </c>
      <c r="Z801" s="368" t="str">
        <f t="shared" ca="1" si="371"/>
        <v/>
      </c>
      <c r="AA801" s="369" t="str">
        <f t="shared" ca="1" si="372"/>
        <v/>
      </c>
      <c r="AB801" s="344"/>
      <c r="AC801" s="363" t="e">
        <f t="shared" ca="1" si="373"/>
        <v>#N/A</v>
      </c>
      <c r="AD801" s="376" t="e">
        <f t="shared" ca="1" si="374"/>
        <v>#N/A</v>
      </c>
      <c r="AE801" s="377" t="e">
        <f t="shared" ca="1" si="353"/>
        <v>#N/A</v>
      </c>
      <c r="AF801" s="344"/>
      <c r="AG801" s="359">
        <f t="shared" ca="1" si="375"/>
        <v>6.6716251832521358</v>
      </c>
      <c r="AH801" s="357">
        <f t="shared" ca="1" si="376"/>
        <v>-2.7010877769703785</v>
      </c>
    </row>
    <row r="802" spans="1:34" x14ac:dyDescent="0.25">
      <c r="A802" s="402">
        <f t="shared" ca="1" si="354"/>
        <v>0.1</v>
      </c>
      <c r="B802" s="357">
        <f t="shared" ca="1" si="355"/>
        <v>34.800000000000161</v>
      </c>
      <c r="C802" s="342"/>
      <c r="D802" s="359">
        <f t="shared" ca="1" si="356"/>
        <v>-0.801227053346939</v>
      </c>
      <c r="E802" s="360">
        <f t="shared" ca="1" si="357"/>
        <v>-7.1923096394577737</v>
      </c>
      <c r="F802" s="357">
        <f t="shared" ca="1" si="358"/>
        <v>7.2368005873350016</v>
      </c>
      <c r="G802" s="359">
        <f t="shared" ca="1" si="359"/>
        <v>31.601765152107372</v>
      </c>
      <c r="H802" s="360">
        <f t="shared" ca="1" si="360"/>
        <v>-104.22718429848575</v>
      </c>
      <c r="I802" s="357">
        <f t="shared" ca="1" si="361"/>
        <v>108.9127059048643</v>
      </c>
      <c r="J802" s="359">
        <f t="shared" ca="1" si="362"/>
        <v>1426.1598296104198</v>
      </c>
      <c r="K802" s="360">
        <f t="shared" ca="1" si="363"/>
        <v>2063.7643169096609</v>
      </c>
      <c r="L802" s="357">
        <f t="shared" ca="1" si="348"/>
        <v>2508.5962240552026</v>
      </c>
      <c r="M802" s="359">
        <f t="shared" ca="1" si="364"/>
        <v>-1.2764056161027291</v>
      </c>
      <c r="N802" s="357">
        <f t="shared" ca="1" si="365"/>
        <v>-73.132654749481958</v>
      </c>
      <c r="O802" s="343"/>
      <c r="P802" s="363">
        <f t="shared" ca="1" si="366"/>
        <v>23</v>
      </c>
      <c r="Q802" s="357">
        <f t="shared" ca="1" si="367"/>
        <v>0</v>
      </c>
      <c r="R802" s="359">
        <f t="shared" ca="1" si="368"/>
        <v>0</v>
      </c>
      <c r="S802" s="360">
        <f t="shared" ca="1" si="369"/>
        <v>9.637999999999975</v>
      </c>
      <c r="T802" s="357">
        <f t="shared" ca="1" si="349"/>
        <v>94.548779999999766</v>
      </c>
      <c r="U802" s="364">
        <f t="shared" ca="1" si="350"/>
        <v>0</v>
      </c>
      <c r="V802" s="359">
        <f t="shared" ca="1" si="351"/>
        <v>0.99583590525150845</v>
      </c>
      <c r="W802" s="357">
        <f t="shared" ca="1" si="352"/>
        <v>26.737727630290266</v>
      </c>
      <c r="X802" s="343"/>
      <c r="Y802" s="367" t="str">
        <f t="shared" ca="1" si="370"/>
        <v/>
      </c>
      <c r="Z802" s="368" t="str">
        <f t="shared" ca="1" si="371"/>
        <v/>
      </c>
      <c r="AA802" s="369" t="str">
        <f t="shared" ca="1" si="372"/>
        <v/>
      </c>
      <c r="AB802" s="344"/>
      <c r="AC802" s="363" t="e">
        <f t="shared" ca="1" si="373"/>
        <v>#N/A</v>
      </c>
      <c r="AD802" s="376" t="e">
        <f t="shared" ca="1" si="374"/>
        <v>#N/A</v>
      </c>
      <c r="AE802" s="377" t="e">
        <f t="shared" ca="1" si="353"/>
        <v>#N/A</v>
      </c>
      <c r="AF802" s="344"/>
      <c r="AG802" s="359">
        <f t="shared" ca="1" si="375"/>
        <v>6.6428626048430068</v>
      </c>
      <c r="AH802" s="357">
        <f t="shared" ca="1" si="376"/>
        <v>-2.7375660018875725</v>
      </c>
    </row>
    <row r="803" spans="1:34" x14ac:dyDescent="0.25">
      <c r="A803" s="402">
        <f t="shared" ca="1" si="354"/>
        <v>0.1</v>
      </c>
      <c r="B803" s="357">
        <f t="shared" ca="1" si="355"/>
        <v>34.900000000000162</v>
      </c>
      <c r="C803" s="342"/>
      <c r="D803" s="359">
        <f t="shared" ca="1" si="356"/>
        <v>-0.80495270877223568</v>
      </c>
      <c r="E803" s="360">
        <f t="shared" ca="1" si="357"/>
        <v>-7.1551497432201394</v>
      </c>
      <c r="F803" s="357">
        <f t="shared" ca="1" si="358"/>
        <v>7.2002858770512015</v>
      </c>
      <c r="G803" s="359">
        <f t="shared" ca="1" si="359"/>
        <v>31.52126988123015</v>
      </c>
      <c r="H803" s="360">
        <f t="shared" ca="1" si="360"/>
        <v>-104.94269927280777</v>
      </c>
      <c r="I803" s="357">
        <f t="shared" ca="1" si="361"/>
        <v>109.57445224863464</v>
      </c>
      <c r="J803" s="359">
        <f t="shared" ca="1" si="362"/>
        <v>1429.3159813620866</v>
      </c>
      <c r="K803" s="360">
        <f t="shared" ca="1" si="363"/>
        <v>2053.3058227310962</v>
      </c>
      <c r="L803" s="357">
        <f t="shared" ca="1" si="348"/>
        <v>2501.8011464220112</v>
      </c>
      <c r="M803" s="359">
        <f t="shared" ca="1" si="364"/>
        <v>-1.2790033399467842</v>
      </c>
      <c r="N803" s="357">
        <f t="shared" ca="1" si="365"/>
        <v>-73.28149336208682</v>
      </c>
      <c r="O803" s="343"/>
      <c r="P803" s="363">
        <f t="shared" ca="1" si="366"/>
        <v>23</v>
      </c>
      <c r="Q803" s="357">
        <f t="shared" ca="1" si="367"/>
        <v>0</v>
      </c>
      <c r="R803" s="359">
        <f t="shared" ca="1" si="368"/>
        <v>0</v>
      </c>
      <c r="S803" s="360">
        <f t="shared" ca="1" si="369"/>
        <v>9.637999999999975</v>
      </c>
      <c r="T803" s="357">
        <f t="shared" ca="1" si="349"/>
        <v>94.548779999999766</v>
      </c>
      <c r="U803" s="364">
        <f t="shared" ca="1" si="350"/>
        <v>0</v>
      </c>
      <c r="V803" s="359">
        <f t="shared" ca="1" si="351"/>
        <v>0.99688910786762974</v>
      </c>
      <c r="W803" s="357">
        <f t="shared" ca="1" si="352"/>
        <v>27.092250680286167</v>
      </c>
      <c r="X803" s="343"/>
      <c r="Y803" s="367" t="str">
        <f t="shared" ca="1" si="370"/>
        <v/>
      </c>
      <c r="Z803" s="368" t="str">
        <f t="shared" ca="1" si="371"/>
        <v/>
      </c>
      <c r="AA803" s="369" t="str">
        <f t="shared" ca="1" si="372"/>
        <v/>
      </c>
      <c r="AB803" s="344"/>
      <c r="AC803" s="363" t="e">
        <f t="shared" ca="1" si="373"/>
        <v>#N/A</v>
      </c>
      <c r="AD803" s="376" t="e">
        <f t="shared" ca="1" si="374"/>
        <v>#N/A</v>
      </c>
      <c r="AE803" s="377" t="e">
        <f t="shared" ca="1" si="353"/>
        <v>#N/A</v>
      </c>
      <c r="AF803" s="344"/>
      <c r="AG803" s="359">
        <f t="shared" ca="1" si="375"/>
        <v>6.6137663050801514</v>
      </c>
      <c r="AH803" s="357">
        <f t="shared" ca="1" si="376"/>
        <v>-2.7741987580712113</v>
      </c>
    </row>
    <row r="804" spans="1:34" x14ac:dyDescent="0.25">
      <c r="A804" s="402">
        <f t="shared" ca="1" si="354"/>
        <v>0.1</v>
      </c>
      <c r="B804" s="357">
        <f t="shared" ca="1" si="355"/>
        <v>35.000000000000163</v>
      </c>
      <c r="C804" s="342"/>
      <c r="D804" s="359">
        <f t="shared" ca="1" si="356"/>
        <v>-0.80863504763542526</v>
      </c>
      <c r="E804" s="360">
        <f t="shared" ca="1" si="357"/>
        <v>-7.1178386452955538</v>
      </c>
      <c r="F804" s="357">
        <f t="shared" ca="1" si="358"/>
        <v>7.1636246147273228</v>
      </c>
      <c r="G804" s="359">
        <f t="shared" ca="1" si="359"/>
        <v>31.440406376466608</v>
      </c>
      <c r="H804" s="360">
        <f t="shared" ca="1" si="360"/>
        <v>-105.65448313733732</v>
      </c>
      <c r="I804" s="357">
        <f t="shared" ca="1" si="361"/>
        <v>110.23324797961483</v>
      </c>
      <c r="J804" s="359">
        <f t="shared" ca="1" si="362"/>
        <v>1432.4640651749714</v>
      </c>
      <c r="K804" s="360">
        <f t="shared" ca="1" si="363"/>
        <v>2042.7759636105889</v>
      </c>
      <c r="L804" s="357">
        <f t="shared" ca="1" si="348"/>
        <v>2494.9723316146765</v>
      </c>
      <c r="M804" s="359">
        <f t="shared" ca="1" si="364"/>
        <v>-1.2815634066132429</v>
      </c>
      <c r="N804" s="357">
        <f t="shared" ca="1" si="365"/>
        <v>-73.428174377347034</v>
      </c>
      <c r="O804" s="343"/>
      <c r="P804" s="363">
        <f t="shared" ca="1" si="366"/>
        <v>23</v>
      </c>
      <c r="Q804" s="357">
        <f t="shared" ca="1" si="367"/>
        <v>0</v>
      </c>
      <c r="R804" s="359">
        <f t="shared" ca="1" si="368"/>
        <v>0</v>
      </c>
      <c r="S804" s="360">
        <f t="shared" ca="1" si="369"/>
        <v>9.637999999999975</v>
      </c>
      <c r="T804" s="357">
        <f t="shared" ca="1" si="349"/>
        <v>94.548779999999766</v>
      </c>
      <c r="U804" s="364">
        <f t="shared" ca="1" si="350"/>
        <v>0</v>
      </c>
      <c r="V804" s="359">
        <f t="shared" ca="1" si="351"/>
        <v>0.99795050681873565</v>
      </c>
      <c r="W804" s="357">
        <f t="shared" ca="1" si="352"/>
        <v>27.448197423919595</v>
      </c>
      <c r="X804" s="343"/>
      <c r="Y804" s="367" t="str">
        <f t="shared" ca="1" si="370"/>
        <v/>
      </c>
      <c r="Z804" s="368" t="str">
        <f t="shared" ca="1" si="371"/>
        <v/>
      </c>
      <c r="AA804" s="369" t="str">
        <f t="shared" ca="1" si="372"/>
        <v/>
      </c>
      <c r="AB804" s="344"/>
      <c r="AC804" s="363">
        <f t="shared" ca="1" si="373"/>
        <v>35.000000000000163</v>
      </c>
      <c r="AD804" s="376">
        <f t="shared" ca="1" si="374"/>
        <v>1432.4640651749714</v>
      </c>
      <c r="AE804" s="377" t="e">
        <f t="shared" ca="1" si="353"/>
        <v>#N/A</v>
      </c>
      <c r="AF804" s="344"/>
      <c r="AG804" s="359">
        <f t="shared" ca="1" si="375"/>
        <v>6.5843450005717301</v>
      </c>
      <c r="AH804" s="357">
        <f t="shared" ca="1" si="376"/>
        <v>-2.8109826395814732</v>
      </c>
    </row>
    <row r="805" spans="1:34" x14ac:dyDescent="0.25">
      <c r="A805" s="402">
        <f t="shared" ca="1" si="354"/>
        <v>0.1</v>
      </c>
      <c r="B805" s="357">
        <f t="shared" ca="1" si="355"/>
        <v>35.100000000000165</v>
      </c>
      <c r="C805" s="342"/>
      <c r="D805" s="359">
        <f t="shared" ca="1" si="356"/>
        <v>-0.81227381577585478</v>
      </c>
      <c r="E805" s="360">
        <f t="shared" ca="1" si="357"/>
        <v>-7.0803797417826022</v>
      </c>
      <c r="F805" s="357">
        <f t="shared" ca="1" si="358"/>
        <v>7.1268201913364235</v>
      </c>
      <c r="G805" s="359">
        <f t="shared" ca="1" si="359"/>
        <v>31.359178994889024</v>
      </c>
      <c r="H805" s="360">
        <f t="shared" ca="1" si="360"/>
        <v>-106.36252111151558</v>
      </c>
      <c r="I805" s="357">
        <f t="shared" ca="1" si="361"/>
        <v>110.88906169875857</v>
      </c>
      <c r="J805" s="359">
        <f t="shared" ca="1" si="362"/>
        <v>1435.6040444435391</v>
      </c>
      <c r="K805" s="360">
        <f t="shared" ca="1" si="363"/>
        <v>2032.1751133981463</v>
      </c>
      <c r="L805" s="357">
        <f t="shared" ca="1" si="348"/>
        <v>2488.1106615135541</v>
      </c>
      <c r="M805" s="359">
        <f t="shared" ca="1" si="364"/>
        <v>-1.2840866335157202</v>
      </c>
      <c r="N805" s="357">
        <f t="shared" ca="1" si="365"/>
        <v>-73.572744629612842</v>
      </c>
      <c r="O805" s="343"/>
      <c r="P805" s="363">
        <f t="shared" ca="1" si="366"/>
        <v>23</v>
      </c>
      <c r="Q805" s="357">
        <f t="shared" ca="1" si="367"/>
        <v>0</v>
      </c>
      <c r="R805" s="359">
        <f t="shared" ca="1" si="368"/>
        <v>0</v>
      </c>
      <c r="S805" s="360">
        <f t="shared" ca="1" si="369"/>
        <v>9.637999999999975</v>
      </c>
      <c r="T805" s="357">
        <f t="shared" ca="1" si="349"/>
        <v>94.548779999999766</v>
      </c>
      <c r="U805" s="364">
        <f t="shared" ca="1" si="350"/>
        <v>0</v>
      </c>
      <c r="V805" s="359">
        <f t="shared" ca="1" si="351"/>
        <v>0.99902008643269447</v>
      </c>
      <c r="W805" s="357">
        <f t="shared" ca="1" si="352"/>
        <v>27.805534988208414</v>
      </c>
      <c r="X805" s="343"/>
      <c r="Y805" s="367" t="str">
        <f t="shared" ca="1" si="370"/>
        <v/>
      </c>
      <c r="Z805" s="368" t="str">
        <f t="shared" ca="1" si="371"/>
        <v/>
      </c>
      <c r="AA805" s="369" t="str">
        <f t="shared" ca="1" si="372"/>
        <v/>
      </c>
      <c r="AB805" s="344"/>
      <c r="AC805" s="363" t="e">
        <f t="shared" ca="1" si="373"/>
        <v>#N/A</v>
      </c>
      <c r="AD805" s="376" t="e">
        <f t="shared" ca="1" si="374"/>
        <v>#N/A</v>
      </c>
      <c r="AE805" s="377" t="e">
        <f t="shared" ca="1" si="353"/>
        <v>#N/A</v>
      </c>
      <c r="AF805" s="344"/>
      <c r="AG805" s="359">
        <f t="shared" ca="1" si="375"/>
        <v>6.5546072207794825</v>
      </c>
      <c r="AH805" s="357">
        <f t="shared" ca="1" si="376"/>
        <v>-2.8479142378003388</v>
      </c>
    </row>
    <row r="806" spans="1:34" x14ac:dyDescent="0.25">
      <c r="A806" s="402">
        <f t="shared" ca="1" si="354"/>
        <v>0.1</v>
      </c>
      <c r="B806" s="357">
        <f t="shared" ca="1" si="355"/>
        <v>35.200000000000166</v>
      </c>
      <c r="C806" s="342"/>
      <c r="D806" s="359">
        <f t="shared" ca="1" si="356"/>
        <v>-0.81586876896822247</v>
      </c>
      <c r="E806" s="360">
        <f t="shared" ca="1" si="357"/>
        <v>-7.0427764327710243</v>
      </c>
      <c r="F806" s="357">
        <f t="shared" ca="1" si="358"/>
        <v>7.0898760024539698</v>
      </c>
      <c r="G806" s="359">
        <f t="shared" ca="1" si="359"/>
        <v>31.277592117992203</v>
      </c>
      <c r="H806" s="360">
        <f t="shared" ca="1" si="360"/>
        <v>-107.06679875479269</v>
      </c>
      <c r="I806" s="357">
        <f t="shared" ca="1" si="361"/>
        <v>111.54186283319265</v>
      </c>
      <c r="J806" s="359">
        <f t="shared" ca="1" si="362"/>
        <v>1438.7358829991831</v>
      </c>
      <c r="K806" s="360">
        <f t="shared" ca="1" si="363"/>
        <v>2021.5036474048309</v>
      </c>
      <c r="L806" s="357">
        <f t="shared" ca="1" si="348"/>
        <v>2481.2170274888235</v>
      </c>
      <c r="M806" s="359">
        <f t="shared" ca="1" si="364"/>
        <v>-1.2865738153510451</v>
      </c>
      <c r="N806" s="357">
        <f t="shared" ca="1" si="365"/>
        <v>-73.715249651658567</v>
      </c>
      <c r="O806" s="343"/>
      <c r="P806" s="363">
        <f t="shared" ca="1" si="366"/>
        <v>23</v>
      </c>
      <c r="Q806" s="357">
        <f t="shared" ca="1" si="367"/>
        <v>0</v>
      </c>
      <c r="R806" s="359">
        <f t="shared" ca="1" si="368"/>
        <v>0</v>
      </c>
      <c r="S806" s="360">
        <f t="shared" ca="1" si="369"/>
        <v>9.637999999999975</v>
      </c>
      <c r="T806" s="357">
        <f t="shared" ca="1" si="349"/>
        <v>94.548779999999766</v>
      </c>
      <c r="U806" s="364">
        <f t="shared" ca="1" si="350"/>
        <v>0</v>
      </c>
      <c r="V806" s="359">
        <f t="shared" ca="1" si="351"/>
        <v>1.0000978309455495</v>
      </c>
      <c r="W806" s="357">
        <f t="shared" ca="1" si="352"/>
        <v>28.164230484531902</v>
      </c>
      <c r="X806" s="343"/>
      <c r="Y806" s="367" t="str">
        <f t="shared" ca="1" si="370"/>
        <v/>
      </c>
      <c r="Z806" s="368" t="str">
        <f t="shared" ca="1" si="371"/>
        <v/>
      </c>
      <c r="AA806" s="369" t="str">
        <f t="shared" ca="1" si="372"/>
        <v/>
      </c>
      <c r="AB806" s="344"/>
      <c r="AC806" s="363" t="e">
        <f t="shared" ca="1" si="373"/>
        <v>#N/A</v>
      </c>
      <c r="AD806" s="376" t="e">
        <f t="shared" ca="1" si="374"/>
        <v>#N/A</v>
      </c>
      <c r="AE806" s="377" t="e">
        <f t="shared" ca="1" si="353"/>
        <v>#N/A</v>
      </c>
      <c r="AF806" s="344"/>
      <c r="AG806" s="359">
        <f t="shared" ca="1" si="375"/>
        <v>6.5245613153202289</v>
      </c>
      <c r="AH806" s="357">
        <f t="shared" ca="1" si="376"/>
        <v>-2.884990141959793</v>
      </c>
    </row>
    <row r="807" spans="1:34" x14ac:dyDescent="0.25">
      <c r="A807" s="402">
        <f t="shared" ca="1" si="354"/>
        <v>0.1</v>
      </c>
      <c r="B807" s="357">
        <f t="shared" ca="1" si="355"/>
        <v>35.300000000000168</v>
      </c>
      <c r="C807" s="342"/>
      <c r="D807" s="359">
        <f t="shared" ca="1" si="356"/>
        <v>-0.81941967277366945</v>
      </c>
      <c r="E807" s="360">
        <f t="shared" ca="1" si="357"/>
        <v>-7.0050321217307214</v>
      </c>
      <c r="F807" s="357">
        <f t="shared" ca="1" si="358"/>
        <v>7.052795447665253</v>
      </c>
      <c r="G807" s="359">
        <f t="shared" ca="1" si="359"/>
        <v>31.195650150714837</v>
      </c>
      <c r="H807" s="360">
        <f t="shared" ca="1" si="360"/>
        <v>-107.76730196696576</v>
      </c>
      <c r="I807" s="357">
        <f t="shared" ca="1" si="361"/>
        <v>112.19162161928571</v>
      </c>
      <c r="J807" s="359">
        <f t="shared" ca="1" si="362"/>
        <v>1441.8595451126184</v>
      </c>
      <c r="K807" s="360">
        <f t="shared" ca="1" si="363"/>
        <v>2010.7619423687429</v>
      </c>
      <c r="L807" s="357">
        <f t="shared" ca="1" si="348"/>
        <v>2474.2923304878277</v>
      </c>
      <c r="M807" s="359">
        <f t="shared" ca="1" si="364"/>
        <v>-1.2890257248477457</v>
      </c>
      <c r="N807" s="357">
        <f t="shared" ca="1" si="365"/>
        <v>-73.85573371756756</v>
      </c>
      <c r="O807" s="343"/>
      <c r="P807" s="363">
        <f t="shared" ca="1" si="366"/>
        <v>23</v>
      </c>
      <c r="Q807" s="357">
        <f t="shared" ca="1" si="367"/>
        <v>0</v>
      </c>
      <c r="R807" s="359">
        <f t="shared" ca="1" si="368"/>
        <v>0</v>
      </c>
      <c r="S807" s="360">
        <f t="shared" ca="1" si="369"/>
        <v>9.637999999999975</v>
      </c>
      <c r="T807" s="357">
        <f t="shared" ca="1" si="349"/>
        <v>94.548779999999766</v>
      </c>
      <c r="U807" s="364">
        <f t="shared" ca="1" si="350"/>
        <v>0</v>
      </c>
      <c r="V807" s="359">
        <f t="shared" ca="1" si="351"/>
        <v>1.0011837245024851</v>
      </c>
      <c r="W807" s="357">
        <f t="shared" ca="1" si="352"/>
        <v>28.524251013704831</v>
      </c>
      <c r="X807" s="343"/>
      <c r="Y807" s="367" t="str">
        <f t="shared" ca="1" si="370"/>
        <v/>
      </c>
      <c r="Z807" s="368" t="str">
        <f t="shared" ca="1" si="371"/>
        <v/>
      </c>
      <c r="AA807" s="369" t="str">
        <f t="shared" ca="1" si="372"/>
        <v/>
      </c>
      <c r="AB807" s="344"/>
      <c r="AC807" s="363" t="e">
        <f t="shared" ca="1" si="373"/>
        <v>#N/A</v>
      </c>
      <c r="AD807" s="376" t="e">
        <f t="shared" ca="1" si="374"/>
        <v>#N/A</v>
      </c>
      <c r="AE807" s="377" t="e">
        <f t="shared" ca="1" si="353"/>
        <v>#N/A</v>
      </c>
      <c r="AF807" s="344"/>
      <c r="AG807" s="359">
        <f t="shared" ca="1" si="375"/>
        <v>6.4942154609073643</v>
      </c>
      <c r="AH807" s="357">
        <f t="shared" ca="1" si="376"/>
        <v>-2.9222069396692234</v>
      </c>
    </row>
    <row r="808" spans="1:34" x14ac:dyDescent="0.25">
      <c r="A808" s="402">
        <f t="shared" ca="1" si="354"/>
        <v>0.1</v>
      </c>
      <c r="B808" s="357">
        <f t="shared" ca="1" si="355"/>
        <v>35.400000000000169</v>
      </c>
      <c r="C808" s="342"/>
      <c r="D808" s="359">
        <f t="shared" ca="1" si="356"/>
        <v>-0.82292630239574016</v>
      </c>
      <c r="E808" s="360">
        <f t="shared" ca="1" si="357"/>
        <v>-6.9671502149055833</v>
      </c>
      <c r="F808" s="357">
        <f t="shared" ca="1" si="358"/>
        <v>7.0155819299779854</v>
      </c>
      <c r="G808" s="359">
        <f t="shared" ca="1" si="359"/>
        <v>31.113357520475262</v>
      </c>
      <c r="H808" s="360">
        <f t="shared" ca="1" si="360"/>
        <v>-108.46401698845632</v>
      </c>
      <c r="I808" s="357">
        <f t="shared" ca="1" si="361"/>
        <v>112.83830908636062</v>
      </c>
      <c r="J808" s="359">
        <f t="shared" ca="1" si="362"/>
        <v>1444.9749954961781</v>
      </c>
      <c r="K808" s="360">
        <f t="shared" ca="1" si="363"/>
        <v>1999.9503764209717</v>
      </c>
      <c r="L808" s="357">
        <f t="shared" ca="1" si="348"/>
        <v>2467.3374811232384</v>
      </c>
      <c r="M808" s="359">
        <f t="shared" ca="1" si="364"/>
        <v>-1.291443113486697</v>
      </c>
      <c r="N808" s="357">
        <f t="shared" ca="1" si="365"/>
        <v>-73.994239884022349</v>
      </c>
      <c r="O808" s="343"/>
      <c r="P808" s="363">
        <f t="shared" ca="1" si="366"/>
        <v>23</v>
      </c>
      <c r="Q808" s="357">
        <f t="shared" ca="1" si="367"/>
        <v>0</v>
      </c>
      <c r="R808" s="359">
        <f t="shared" ca="1" si="368"/>
        <v>0</v>
      </c>
      <c r="S808" s="360">
        <f t="shared" ca="1" si="369"/>
        <v>9.637999999999975</v>
      </c>
      <c r="T808" s="357">
        <f t="shared" ca="1" si="349"/>
        <v>94.548779999999766</v>
      </c>
      <c r="U808" s="364">
        <f t="shared" ca="1" si="350"/>
        <v>0</v>
      </c>
      <c r="V808" s="359">
        <f t="shared" ca="1" si="351"/>
        <v>1.0022777511587955</v>
      </c>
      <c r="W808" s="357">
        <f t="shared" ca="1" si="352"/>
        <v>28.885563671040938</v>
      </c>
      <c r="X808" s="343"/>
      <c r="Y808" s="367" t="str">
        <f t="shared" ca="1" si="370"/>
        <v/>
      </c>
      <c r="Z808" s="368" t="str">
        <f t="shared" ca="1" si="371"/>
        <v/>
      </c>
      <c r="AA808" s="369" t="str">
        <f t="shared" ca="1" si="372"/>
        <v/>
      </c>
      <c r="AB808" s="344"/>
      <c r="AC808" s="363" t="e">
        <f t="shared" ca="1" si="373"/>
        <v>#N/A</v>
      </c>
      <c r="AD808" s="376" t="e">
        <f t="shared" ca="1" si="374"/>
        <v>#N/A</v>
      </c>
      <c r="AE808" s="377" t="e">
        <f t="shared" ca="1" si="353"/>
        <v>#N/A</v>
      </c>
      <c r="AF808" s="344"/>
      <c r="AG808" s="359">
        <f t="shared" ca="1" si="375"/>
        <v>6.4635776679506227</v>
      </c>
      <c r="AH808" s="357">
        <f t="shared" ca="1" si="376"/>
        <v>-2.9595612174418866</v>
      </c>
    </row>
    <row r="809" spans="1:34" x14ac:dyDescent="0.25">
      <c r="A809" s="402">
        <f t="shared" ca="1" si="354"/>
        <v>0.1</v>
      </c>
      <c r="B809" s="357">
        <f t="shared" ca="1" si="355"/>
        <v>35.500000000000171</v>
      </c>
      <c r="C809" s="342"/>
      <c r="D809" s="359">
        <f t="shared" ca="1" si="356"/>
        <v>-0.82638844254093224</v>
      </c>
      <c r="E809" s="360">
        <f t="shared" ca="1" si="357"/>
        <v>-6.9291341207120709</v>
      </c>
      <c r="F809" s="357">
        <f t="shared" ca="1" si="358"/>
        <v>6.978238855240015</v>
      </c>
      <c r="G809" s="359">
        <f t="shared" ca="1" si="359"/>
        <v>31.03071867622117</v>
      </c>
      <c r="H809" s="360">
        <f t="shared" ca="1" si="360"/>
        <v>-109.15693040052753</v>
      </c>
      <c r="I809" s="357">
        <f t="shared" ca="1" si="361"/>
        <v>113.48189704101881</v>
      </c>
      <c r="J809" s="359">
        <f t="shared" ca="1" si="362"/>
        <v>1448.0821993060129</v>
      </c>
      <c r="K809" s="360">
        <f t="shared" ca="1" si="363"/>
        <v>1989.0693290515226</v>
      </c>
      <c r="L809" s="357">
        <f t="shared" ca="1" si="348"/>
        <v>2460.3533997619961</v>
      </c>
      <c r="M809" s="359">
        <f t="shared" ca="1" si="364"/>
        <v>-1.2938267121950473</v>
      </c>
      <c r="N809" s="357">
        <f t="shared" ca="1" si="365"/>
        <v>-74.130810030063657</v>
      </c>
      <c r="O809" s="343"/>
      <c r="P809" s="363">
        <f t="shared" ca="1" si="366"/>
        <v>23</v>
      </c>
      <c r="Q809" s="357">
        <f t="shared" ca="1" si="367"/>
        <v>0</v>
      </c>
      <c r="R809" s="359">
        <f t="shared" ca="1" si="368"/>
        <v>0</v>
      </c>
      <c r="S809" s="360">
        <f t="shared" ca="1" si="369"/>
        <v>9.637999999999975</v>
      </c>
      <c r="T809" s="357">
        <f t="shared" ca="1" si="349"/>
        <v>94.548779999999766</v>
      </c>
      <c r="U809" s="364">
        <f t="shared" ca="1" si="350"/>
        <v>0</v>
      </c>
      <c r="V809" s="359">
        <f t="shared" ca="1" si="351"/>
        <v>1.0033798948808703</v>
      </c>
      <c r="W809" s="357">
        <f t="shared" ca="1" si="352"/>
        <v>29.248135551404769</v>
      </c>
      <c r="X809" s="343"/>
      <c r="Y809" s="367" t="str">
        <f t="shared" ca="1" si="370"/>
        <v/>
      </c>
      <c r="Z809" s="368" t="str">
        <f t="shared" ca="1" si="371"/>
        <v/>
      </c>
      <c r="AA809" s="369" t="str">
        <f t="shared" ca="1" si="372"/>
        <v/>
      </c>
      <c r="AB809" s="344"/>
      <c r="AC809" s="363" t="e">
        <f t="shared" ca="1" si="373"/>
        <v>#N/A</v>
      </c>
      <c r="AD809" s="376" t="e">
        <f t="shared" ca="1" si="374"/>
        <v>#N/A</v>
      </c>
      <c r="AE809" s="377" t="e">
        <f t="shared" ca="1" si="353"/>
        <v>#N/A</v>
      </c>
      <c r="AF809" s="344"/>
      <c r="AG809" s="359">
        <f t="shared" ca="1" si="375"/>
        <v>6.4326557868313463</v>
      </c>
      <c r="AH809" s="357">
        <f t="shared" ca="1" si="376"/>
        <v>-2.9970495612202752</v>
      </c>
    </row>
    <row r="810" spans="1:34" x14ac:dyDescent="0.25">
      <c r="A810" s="402">
        <f t="shared" ca="1" si="354"/>
        <v>0.1</v>
      </c>
      <c r="B810" s="357">
        <f t="shared" ca="1" si="355"/>
        <v>35.600000000000172</v>
      </c>
      <c r="C810" s="342"/>
      <c r="D810" s="359">
        <f t="shared" ca="1" si="356"/>
        <v>-0.82980588728357996</v>
      </c>
      <c r="E810" s="360">
        <f t="shared" ca="1" si="357"/>
        <v>-6.8909872491424942</v>
      </c>
      <c r="F810" s="357">
        <f t="shared" ca="1" si="358"/>
        <v>6.9407696315621177</v>
      </c>
      <c r="G810" s="359">
        <f t="shared" ca="1" si="359"/>
        <v>30.947738087492812</v>
      </c>
      <c r="H810" s="360">
        <f t="shared" ca="1" si="360"/>
        <v>-109.84602912544177</v>
      </c>
      <c r="I810" s="357">
        <f t="shared" ca="1" si="361"/>
        <v>114.12235805204629</v>
      </c>
      <c r="J810" s="359">
        <f t="shared" ca="1" si="362"/>
        <v>1451.1811221441985</v>
      </c>
      <c r="K810" s="360">
        <f t="shared" ca="1" si="363"/>
        <v>1978.1191810752241</v>
      </c>
      <c r="L810" s="357">
        <f t="shared" ca="1" si="348"/>
        <v>2453.3410166149774</v>
      </c>
      <c r="M810" s="359">
        <f t="shared" ca="1" si="364"/>
        <v>-1.2961772320144926</v>
      </c>
      <c r="N810" s="357">
        <f t="shared" ca="1" si="365"/>
        <v>-74.265484895379714</v>
      </c>
      <c r="O810" s="343"/>
      <c r="P810" s="363">
        <f t="shared" ca="1" si="366"/>
        <v>23</v>
      </c>
      <c r="Q810" s="357">
        <f t="shared" ca="1" si="367"/>
        <v>0</v>
      </c>
      <c r="R810" s="359">
        <f t="shared" ca="1" si="368"/>
        <v>0</v>
      </c>
      <c r="S810" s="360">
        <f t="shared" ca="1" si="369"/>
        <v>9.637999999999975</v>
      </c>
      <c r="T810" s="357">
        <f t="shared" ca="1" si="349"/>
        <v>94.548779999999766</v>
      </c>
      <c r="U810" s="364">
        <f t="shared" ca="1" si="350"/>
        <v>0</v>
      </c>
      <c r="V810" s="359">
        <f t="shared" ca="1" si="351"/>
        <v>1.0044901395471821</v>
      </c>
      <c r="W810" s="357">
        <f t="shared" ca="1" si="352"/>
        <v>29.611933754250067</v>
      </c>
      <c r="X810" s="343"/>
      <c r="Y810" s="367" t="str">
        <f t="shared" ca="1" si="370"/>
        <v/>
      </c>
      <c r="Z810" s="368" t="str">
        <f t="shared" ca="1" si="371"/>
        <v/>
      </c>
      <c r="AA810" s="369" t="str">
        <f t="shared" ca="1" si="372"/>
        <v/>
      </c>
      <c r="AB810" s="344"/>
      <c r="AC810" s="363" t="e">
        <f t="shared" ca="1" si="373"/>
        <v>#N/A</v>
      </c>
      <c r="AD810" s="376" t="e">
        <f t="shared" ca="1" si="374"/>
        <v>#N/A</v>
      </c>
      <c r="AE810" s="377" t="e">
        <f t="shared" ca="1" si="353"/>
        <v>#N/A</v>
      </c>
      <c r="AF810" s="344"/>
      <c r="AG810" s="359">
        <f t="shared" ca="1" si="375"/>
        <v>6.4014575138695564</v>
      </c>
      <c r="AH810" s="357">
        <f t="shared" ca="1" si="376"/>
        <v>-3.0346685569002743</v>
      </c>
    </row>
    <row r="811" spans="1:34" x14ac:dyDescent="0.25">
      <c r="A811" s="402">
        <f t="shared" ca="1" si="354"/>
        <v>0.1</v>
      </c>
      <c r="B811" s="357">
        <f t="shared" ca="1" si="355"/>
        <v>35.700000000000173</v>
      </c>
      <c r="C811" s="342"/>
      <c r="D811" s="359">
        <f t="shared" ca="1" si="356"/>
        <v>-0.833178439934815</v>
      </c>
      <c r="E811" s="360">
        <f t="shared" ca="1" si="357"/>
        <v>-6.8527130111729502</v>
      </c>
      <c r="F811" s="357">
        <f t="shared" ca="1" si="358"/>
        <v>6.9031776687458404</v>
      </c>
      <c r="G811" s="359">
        <f t="shared" ca="1" si="359"/>
        <v>30.864420243499332</v>
      </c>
      <c r="H811" s="360">
        <f t="shared" ca="1" si="360"/>
        <v>-110.53130042655907</v>
      </c>
      <c r="I811" s="357">
        <f t="shared" ca="1" si="361"/>
        <v>114.75966543587336</v>
      </c>
      <c r="J811" s="359">
        <f t="shared" ca="1" si="362"/>
        <v>1454.271730060748</v>
      </c>
      <c r="K811" s="360">
        <f t="shared" ca="1" si="363"/>
        <v>1967.100314597624</v>
      </c>
      <c r="L811" s="357">
        <f t="shared" ca="1" si="348"/>
        <v>2446.3012718273176</v>
      </c>
      <c r="M811" s="359">
        <f t="shared" ca="1" si="364"/>
        <v>-1.2984953647449238</v>
      </c>
      <c r="N811" s="357">
        <f t="shared" ca="1" si="365"/>
        <v>-74.398304117184566</v>
      </c>
      <c r="O811" s="343"/>
      <c r="P811" s="363">
        <f t="shared" ca="1" si="366"/>
        <v>23</v>
      </c>
      <c r="Q811" s="357">
        <f t="shared" ca="1" si="367"/>
        <v>0</v>
      </c>
      <c r="R811" s="359">
        <f t="shared" ca="1" si="368"/>
        <v>0</v>
      </c>
      <c r="S811" s="360">
        <f t="shared" ca="1" si="369"/>
        <v>9.637999999999975</v>
      </c>
      <c r="T811" s="357">
        <f t="shared" ca="1" si="349"/>
        <v>94.548779999999766</v>
      </c>
      <c r="U811" s="364">
        <f t="shared" ca="1" si="350"/>
        <v>0</v>
      </c>
      <c r="V811" s="359">
        <f t="shared" ca="1" si="351"/>
        <v>1.0056084689492868</v>
      </c>
      <c r="W811" s="357">
        <f t="shared" ca="1" si="352"/>
        <v>29.976925388643753</v>
      </c>
      <c r="X811" s="343"/>
      <c r="Y811" s="367" t="str">
        <f t="shared" ca="1" si="370"/>
        <v/>
      </c>
      <c r="Z811" s="368" t="str">
        <f t="shared" ca="1" si="371"/>
        <v/>
      </c>
      <c r="AA811" s="369" t="str">
        <f t="shared" ca="1" si="372"/>
        <v/>
      </c>
      <c r="AB811" s="344"/>
      <c r="AC811" s="363" t="e">
        <f t="shared" ca="1" si="373"/>
        <v>#N/A</v>
      </c>
      <c r="AD811" s="376" t="e">
        <f t="shared" ca="1" si="374"/>
        <v>#N/A</v>
      </c>
      <c r="AE811" s="377" t="e">
        <f t="shared" ca="1" si="353"/>
        <v>#N/A</v>
      </c>
      <c r="AF811" s="344"/>
      <c r="AG811" s="359">
        <f t="shared" ca="1" si="375"/>
        <v>6.3699903969984106</v>
      </c>
      <c r="AH811" s="357">
        <f t="shared" ca="1" si="376"/>
        <v>-3.0724147908539265</v>
      </c>
    </row>
    <row r="812" spans="1:34" x14ac:dyDescent="0.25">
      <c r="A812" s="402">
        <f t="shared" ca="1" si="354"/>
        <v>0.1</v>
      </c>
      <c r="B812" s="357">
        <f t="shared" ca="1" si="355"/>
        <v>35.800000000000175</v>
      </c>
      <c r="C812" s="342"/>
      <c r="D812" s="359">
        <f t="shared" ca="1" si="356"/>
        <v>-0.83650591291538845</v>
      </c>
      <c r="E812" s="360">
        <f t="shared" ca="1" si="357"/>
        <v>-6.8143148181758626</v>
      </c>
      <c r="F812" s="357">
        <f t="shared" ca="1" si="358"/>
        <v>6.8654663777163423</v>
      </c>
      <c r="G812" s="359">
        <f t="shared" ca="1" si="359"/>
        <v>30.780769652207795</v>
      </c>
      <c r="H812" s="360">
        <f t="shared" ca="1" si="360"/>
        <v>-111.21273190837665</v>
      </c>
      <c r="I812" s="357">
        <f t="shared" ca="1" si="361"/>
        <v>115.39379324256022</v>
      </c>
      <c r="J812" s="359">
        <f t="shared" ca="1" si="362"/>
        <v>1457.3539895555334</v>
      </c>
      <c r="K812" s="360">
        <f t="shared" ca="1" si="363"/>
        <v>1956.0131129808772</v>
      </c>
      <c r="L812" s="357">
        <f t="shared" ca="1" si="348"/>
        <v>2439.23511556934</v>
      </c>
      <c r="M812" s="359">
        <f t="shared" ca="1" si="364"/>
        <v>-1.3007817835644326</v>
      </c>
      <c r="N812" s="357">
        <f t="shared" ca="1" si="365"/>
        <v>-74.52930626574171</v>
      </c>
      <c r="O812" s="343"/>
      <c r="P812" s="363">
        <f t="shared" ca="1" si="366"/>
        <v>23</v>
      </c>
      <c r="Q812" s="357">
        <f t="shared" ca="1" si="367"/>
        <v>0</v>
      </c>
      <c r="R812" s="359">
        <f t="shared" ca="1" si="368"/>
        <v>0</v>
      </c>
      <c r="S812" s="360">
        <f t="shared" ca="1" si="369"/>
        <v>9.637999999999975</v>
      </c>
      <c r="T812" s="357">
        <f t="shared" ca="1" si="349"/>
        <v>94.548779999999766</v>
      </c>
      <c r="U812" s="364">
        <f t="shared" ca="1" si="350"/>
        <v>0</v>
      </c>
      <c r="V812" s="359">
        <f t="shared" ca="1" si="351"/>
        <v>1.0067348667928298</v>
      </c>
      <c r="W812" s="357">
        <f t="shared" ca="1" si="352"/>
        <v>30.343077578273842</v>
      </c>
      <c r="X812" s="343"/>
      <c r="Y812" s="367" t="str">
        <f t="shared" ca="1" si="370"/>
        <v/>
      </c>
      <c r="Z812" s="368" t="str">
        <f t="shared" ca="1" si="371"/>
        <v/>
      </c>
      <c r="AA812" s="369" t="str">
        <f t="shared" ca="1" si="372"/>
        <v/>
      </c>
      <c r="AB812" s="344"/>
      <c r="AC812" s="363" t="e">
        <f t="shared" ca="1" si="373"/>
        <v>#N/A</v>
      </c>
      <c r="AD812" s="376" t="e">
        <f t="shared" ca="1" si="374"/>
        <v>#N/A</v>
      </c>
      <c r="AE812" s="377" t="e">
        <f t="shared" ca="1" si="353"/>
        <v>#N/A</v>
      </c>
      <c r="AF812" s="344"/>
      <c r="AG812" s="359">
        <f t="shared" ca="1" si="375"/>
        <v>6.3382618411606337</v>
      </c>
      <c r="AH812" s="357">
        <f t="shared" ca="1" si="376"/>
        <v>-3.1102848504506984</v>
      </c>
    </row>
    <row r="813" spans="1:34" x14ac:dyDescent="0.25">
      <c r="A813" s="402">
        <f t="shared" ca="1" si="354"/>
        <v>0.1</v>
      </c>
      <c r="B813" s="357">
        <f t="shared" ca="1" si="355"/>
        <v>35.900000000000176</v>
      </c>
      <c r="C813" s="342"/>
      <c r="D813" s="359">
        <f t="shared" ca="1" si="356"/>
        <v>-0.83978812763211352</v>
      </c>
      <c r="E813" s="360">
        <f t="shared" ca="1" si="357"/>
        <v>-6.7757960813371358</v>
      </c>
      <c r="F813" s="357">
        <f t="shared" ca="1" si="358"/>
        <v>6.8276391699602526</v>
      </c>
      <c r="G813" s="359">
        <f t="shared" ca="1" si="359"/>
        <v>30.696790839444585</v>
      </c>
      <c r="H813" s="360">
        <f t="shared" ca="1" si="360"/>
        <v>-111.89031151651037</v>
      </c>
      <c r="I813" s="357">
        <f t="shared" ca="1" si="361"/>
        <v>116.02471624228322</v>
      </c>
      <c r="J813" s="359">
        <f t="shared" ca="1" si="362"/>
        <v>1460.4278675801161</v>
      </c>
      <c r="K813" s="360">
        <f t="shared" ca="1" si="363"/>
        <v>1944.8579608096329</v>
      </c>
      <c r="L813" s="357">
        <f t="shared" ca="1" si="348"/>
        <v>2432.1435081280069</v>
      </c>
      <c r="M813" s="359">
        <f t="shared" ca="1" si="364"/>
        <v>-1.3030371436266193</v>
      </c>
      <c r="N813" s="357">
        <f t="shared" ca="1" si="365"/>
        <v>-74.658528878587362</v>
      </c>
      <c r="O813" s="343"/>
      <c r="P813" s="363">
        <f t="shared" ca="1" si="366"/>
        <v>23</v>
      </c>
      <c r="Q813" s="357">
        <f t="shared" ca="1" si="367"/>
        <v>0</v>
      </c>
      <c r="R813" s="359">
        <f t="shared" ca="1" si="368"/>
        <v>0</v>
      </c>
      <c r="S813" s="360">
        <f t="shared" ca="1" si="369"/>
        <v>9.637999999999975</v>
      </c>
      <c r="T813" s="357">
        <f t="shared" ca="1" si="349"/>
        <v>94.548779999999766</v>
      </c>
      <c r="U813" s="364">
        <f t="shared" ca="1" si="350"/>
        <v>0</v>
      </c>
      <c r="V813" s="359">
        <f t="shared" ca="1" si="351"/>
        <v>1.0078693166985619</v>
      </c>
      <c r="W813" s="357">
        <f t="shared" ca="1" si="352"/>
        <v>30.710357466440094</v>
      </c>
      <c r="X813" s="343"/>
      <c r="Y813" s="367" t="str">
        <f t="shared" ca="1" si="370"/>
        <v/>
      </c>
      <c r="Z813" s="368" t="str">
        <f t="shared" ca="1" si="371"/>
        <v/>
      </c>
      <c r="AA813" s="369" t="str">
        <f t="shared" ca="1" si="372"/>
        <v/>
      </c>
      <c r="AB813" s="344"/>
      <c r="AC813" s="363" t="e">
        <f t="shared" ca="1" si="373"/>
        <v>#N/A</v>
      </c>
      <c r="AD813" s="376" t="e">
        <f t="shared" ca="1" si="374"/>
        <v>#N/A</v>
      </c>
      <c r="AE813" s="377" t="e">
        <f t="shared" ca="1" si="353"/>
        <v>#N/A</v>
      </c>
      <c r="AF813" s="344"/>
      <c r="AG813" s="359">
        <f t="shared" ca="1" si="375"/>
        <v>6.3062791134408824</v>
      </c>
      <c r="AH813" s="357">
        <f t="shared" ca="1" si="376"/>
        <v>-3.1482753245770825</v>
      </c>
    </row>
    <row r="814" spans="1:34" x14ac:dyDescent="0.25">
      <c r="A814" s="402">
        <f t="shared" ca="1" si="354"/>
        <v>0.1</v>
      </c>
      <c r="B814" s="357">
        <f t="shared" ca="1" si="355"/>
        <v>36.000000000000178</v>
      </c>
      <c r="C814" s="342"/>
      <c r="D814" s="359">
        <f t="shared" ca="1" si="356"/>
        <v>-0.84302491435772964</v>
      </c>
      <c r="E814" s="360">
        <f t="shared" ca="1" si="357"/>
        <v>-6.7371602110778639</v>
      </c>
      <c r="F814" s="357">
        <f t="shared" ca="1" si="358"/>
        <v>6.7896994569685178</v>
      </c>
      <c r="G814" s="359">
        <f t="shared" ca="1" si="359"/>
        <v>30.612488348008814</v>
      </c>
      <c r="H814" s="360">
        <f t="shared" ca="1" si="360"/>
        <v>-112.56402753761816</v>
      </c>
      <c r="I814" s="357">
        <f t="shared" ca="1" si="361"/>
        <v>116.65240991229729</v>
      </c>
      <c r="J814" s="359">
        <f t="shared" ca="1" si="362"/>
        <v>1463.4933315394887</v>
      </c>
      <c r="K814" s="360">
        <f t="shared" ca="1" si="363"/>
        <v>1933.6352438569265</v>
      </c>
      <c r="L814" s="357">
        <f t="shared" ca="1" si="348"/>
        <v>2425.0274199988312</v>
      </c>
      <c r="M814" s="359">
        <f t="shared" ca="1" si="364"/>
        <v>-1.3052620826361061</v>
      </c>
      <c r="N814" s="357">
        <f t="shared" ca="1" si="365"/>
        <v>-74.78600849350498</v>
      </c>
      <c r="O814" s="343"/>
      <c r="P814" s="363">
        <f t="shared" ca="1" si="366"/>
        <v>23</v>
      </c>
      <c r="Q814" s="357">
        <f t="shared" ca="1" si="367"/>
        <v>0</v>
      </c>
      <c r="R814" s="359">
        <f t="shared" ca="1" si="368"/>
        <v>0</v>
      </c>
      <c r="S814" s="360">
        <f t="shared" ca="1" si="369"/>
        <v>9.637999999999975</v>
      </c>
      <c r="T814" s="357">
        <f t="shared" ca="1" si="349"/>
        <v>94.548779999999766</v>
      </c>
      <c r="U814" s="364">
        <f t="shared" ca="1" si="350"/>
        <v>0</v>
      </c>
      <c r="V814" s="359">
        <f t="shared" ca="1" si="351"/>
        <v>1.0090118022033625</v>
      </c>
      <c r="W814" s="357">
        <f t="shared" ca="1" si="352"/>
        <v>31.078732221026094</v>
      </c>
      <c r="X814" s="343"/>
      <c r="Y814" s="367" t="str">
        <f t="shared" ca="1" si="370"/>
        <v/>
      </c>
      <c r="Z814" s="368" t="str">
        <f t="shared" ca="1" si="371"/>
        <v/>
      </c>
      <c r="AA814" s="369" t="str">
        <f t="shared" ca="1" si="372"/>
        <v/>
      </c>
      <c r="AB814" s="344"/>
      <c r="AC814" s="363">
        <f t="shared" ca="1" si="373"/>
        <v>36.000000000000178</v>
      </c>
      <c r="AD814" s="376">
        <f t="shared" ca="1" si="374"/>
        <v>1463.4933315394887</v>
      </c>
      <c r="AE814" s="377" t="e">
        <f t="shared" ca="1" si="353"/>
        <v>#N/A</v>
      </c>
      <c r="AF814" s="344"/>
      <c r="AG814" s="359">
        <f t="shared" ca="1" si="375"/>
        <v>6.2740493479472441</v>
      </c>
      <c r="AH814" s="357">
        <f t="shared" ca="1" si="376"/>
        <v>-3.1863828041544067</v>
      </c>
    </row>
    <row r="815" spans="1:34" x14ac:dyDescent="0.25">
      <c r="A815" s="402">
        <f t="shared" ca="1" si="354"/>
        <v>0.1</v>
      </c>
      <c r="B815" s="357">
        <f t="shared" ca="1" si="355"/>
        <v>36.100000000000179</v>
      </c>
      <c r="C815" s="342"/>
      <c r="D815" s="359">
        <f t="shared" ca="1" si="356"/>
        <v>-0.84621611211398851</v>
      </c>
      <c r="E815" s="360">
        <f t="shared" ca="1" si="357"/>
        <v>-6.6984106164806114</v>
      </c>
      <c r="F815" s="357">
        <f t="shared" ca="1" si="358"/>
        <v>6.7516506496842297</v>
      </c>
      <c r="G815" s="359">
        <f t="shared" ca="1" si="359"/>
        <v>30.527866736797414</v>
      </c>
      <c r="H815" s="360">
        <f t="shared" ca="1" si="360"/>
        <v>-113.23386859926622</v>
      </c>
      <c r="I815" s="357">
        <f t="shared" ca="1" si="361"/>
        <v>117.2768504243508</v>
      </c>
      <c r="J815" s="359">
        <f t="shared" ca="1" si="362"/>
        <v>1466.5503492937291</v>
      </c>
      <c r="K815" s="360">
        <f t="shared" ca="1" si="363"/>
        <v>1922.3453490500824</v>
      </c>
      <c r="L815" s="357">
        <f t="shared" ca="1" si="348"/>
        <v>2417.8878319781588</v>
      </c>
      <c r="M815" s="359">
        <f t="shared" ca="1" si="364"/>
        <v>-1.3074572214031257</v>
      </c>
      <c r="N815" s="357">
        <f t="shared" ca="1" si="365"/>
        <v>-74.911780680300751</v>
      </c>
      <c r="O815" s="343"/>
      <c r="P815" s="363">
        <f t="shared" ca="1" si="366"/>
        <v>23</v>
      </c>
      <c r="Q815" s="357">
        <f t="shared" ca="1" si="367"/>
        <v>0</v>
      </c>
      <c r="R815" s="359">
        <f t="shared" ca="1" si="368"/>
        <v>0</v>
      </c>
      <c r="S815" s="360">
        <f t="shared" ca="1" si="369"/>
        <v>9.637999999999975</v>
      </c>
      <c r="T815" s="357">
        <f t="shared" ca="1" si="349"/>
        <v>94.548779999999766</v>
      </c>
      <c r="U815" s="364">
        <f t="shared" ca="1" si="350"/>
        <v>0</v>
      </c>
      <c r="V815" s="359">
        <f t="shared" ca="1" si="351"/>
        <v>1.0101623067612708</v>
      </c>
      <c r="W815" s="357">
        <f t="shared" ca="1" si="352"/>
        <v>31.448169039451209</v>
      </c>
      <c r="X815" s="343"/>
      <c r="Y815" s="367" t="str">
        <f t="shared" ca="1" si="370"/>
        <v/>
      </c>
      <c r="Z815" s="368" t="str">
        <f t="shared" ca="1" si="371"/>
        <v/>
      </c>
      <c r="AA815" s="369" t="str">
        <f t="shared" ca="1" si="372"/>
        <v/>
      </c>
      <c r="AB815" s="344"/>
      <c r="AC815" s="363" t="e">
        <f t="shared" ca="1" si="373"/>
        <v>#N/A</v>
      </c>
      <c r="AD815" s="376" t="e">
        <f t="shared" ca="1" si="374"/>
        <v>#N/A</v>
      </c>
      <c r="AE815" s="377" t="e">
        <f t="shared" ca="1" si="353"/>
        <v>#N/A</v>
      </c>
      <c r="AF815" s="344"/>
      <c r="AG815" s="359">
        <f t="shared" ca="1" si="375"/>
        <v>6.2415795504543299</v>
      </c>
      <c r="AH815" s="357">
        <f t="shared" ca="1" si="376"/>
        <v>-3.2246038826547183</v>
      </c>
    </row>
    <row r="816" spans="1:34" x14ac:dyDescent="0.25">
      <c r="A816" s="402">
        <f t="shared" ca="1" si="354"/>
        <v>0.1</v>
      </c>
      <c r="B816" s="357">
        <f t="shared" ca="1" si="355"/>
        <v>36.20000000000018</v>
      </c>
      <c r="C816" s="342"/>
      <c r="D816" s="359">
        <f t="shared" ca="1" si="356"/>
        <v>-0.84936156855776512</v>
      </c>
      <c r="E816" s="360">
        <f t="shared" ca="1" si="357"/>
        <v>-6.6595507047202798</v>
      </c>
      <c r="F816" s="357">
        <f t="shared" ca="1" si="358"/>
        <v>6.7134961579555013</v>
      </c>
      <c r="G816" s="359">
        <f t="shared" ca="1" si="359"/>
        <v>30.442930579941638</v>
      </c>
      <c r="H816" s="360">
        <f t="shared" ca="1" si="360"/>
        <v>-113.89982366973824</v>
      </c>
      <c r="I816" s="357">
        <f t="shared" ca="1" si="361"/>
        <v>117.8980146325315</v>
      </c>
      <c r="J816" s="359">
        <f t="shared" ca="1" si="362"/>
        <v>1469.5988891595662</v>
      </c>
      <c r="K816" s="360">
        <f t="shared" ca="1" si="363"/>
        <v>1910.9886644366322</v>
      </c>
      <c r="L816" s="357">
        <f t="shared" ca="1" si="348"/>
        <v>2410.7257352557413</v>
      </c>
      <c r="M816" s="359">
        <f t="shared" ca="1" si="364"/>
        <v>-1.3096231643780145</v>
      </c>
      <c r="N816" s="357">
        <f t="shared" ca="1" si="365"/>
        <v>-75.035880071427883</v>
      </c>
      <c r="O816" s="343"/>
      <c r="P816" s="363">
        <f t="shared" ca="1" si="366"/>
        <v>23</v>
      </c>
      <c r="Q816" s="357">
        <f t="shared" ca="1" si="367"/>
        <v>0</v>
      </c>
      <c r="R816" s="359">
        <f t="shared" ca="1" si="368"/>
        <v>0</v>
      </c>
      <c r="S816" s="360">
        <f t="shared" ca="1" si="369"/>
        <v>9.637999999999975</v>
      </c>
      <c r="T816" s="357">
        <f t="shared" ca="1" si="349"/>
        <v>94.548779999999766</v>
      </c>
      <c r="U816" s="364">
        <f t="shared" ca="1" si="350"/>
        <v>0</v>
      </c>
      <c r="V816" s="359">
        <f t="shared" ca="1" si="351"/>
        <v>1.0113208137445255</v>
      </c>
      <c r="W816" s="357">
        <f t="shared" ca="1" si="352"/>
        <v>31.81863515360148</v>
      </c>
      <c r="X816" s="343"/>
      <c r="Y816" s="367" t="str">
        <f t="shared" ca="1" si="370"/>
        <v/>
      </c>
      <c r="Z816" s="368" t="str">
        <f t="shared" ca="1" si="371"/>
        <v/>
      </c>
      <c r="AA816" s="369" t="str">
        <f t="shared" ca="1" si="372"/>
        <v/>
      </c>
      <c r="AB816" s="344"/>
      <c r="AC816" s="363" t="e">
        <f t="shared" ca="1" si="373"/>
        <v>#N/A</v>
      </c>
      <c r="AD816" s="376" t="e">
        <f t="shared" ca="1" si="374"/>
        <v>#N/A</v>
      </c>
      <c r="AE816" s="377" t="e">
        <f t="shared" ca="1" si="353"/>
        <v>#N/A</v>
      </c>
      <c r="AF816" s="344"/>
      <c r="AG816" s="359">
        <f t="shared" ca="1" si="375"/>
        <v>6.2088766028198812</v>
      </c>
      <c r="AH816" s="357">
        <f t="shared" ca="1" si="376"/>
        <v>-3.2629351566145766</v>
      </c>
    </row>
    <row r="817" spans="1:34" x14ac:dyDescent="0.25">
      <c r="A817" s="402">
        <f t="shared" ca="1" si="354"/>
        <v>0.1</v>
      </c>
      <c r="B817" s="357">
        <f t="shared" ca="1" si="355"/>
        <v>36.300000000000182</v>
      </c>
      <c r="C817" s="342"/>
      <c r="D817" s="359">
        <f t="shared" ca="1" si="356"/>
        <v>-0.85246113987002714</v>
      </c>
      <c r="E817" s="360">
        <f t="shared" ca="1" si="357"/>
        <v>-6.620583880499515</v>
      </c>
      <c r="F817" s="357">
        <f t="shared" ca="1" si="358"/>
        <v>6.6752393899933296</v>
      </c>
      <c r="G817" s="359">
        <f t="shared" ca="1" si="359"/>
        <v>30.357684465954634</v>
      </c>
      <c r="H817" s="360">
        <f t="shared" ca="1" si="360"/>
        <v>-114.5618820577882</v>
      </c>
      <c r="I817" s="357">
        <f t="shared" ca="1" si="361"/>
        <v>118.51588006152187</v>
      </c>
      <c r="J817" s="359">
        <f t="shared" ca="1" si="362"/>
        <v>1472.638919911861</v>
      </c>
      <c r="K817" s="360">
        <f t="shared" ca="1" si="363"/>
        <v>1899.5655791502559</v>
      </c>
      <c r="L817" s="357">
        <f t="shared" ca="1" si="348"/>
        <v>2403.5421315075005</v>
      </c>
      <c r="M817" s="359">
        <f t="shared" ca="1" si="364"/>
        <v>-1.3117605001664083</v>
      </c>
      <c r="N817" s="357">
        <f t="shared" ca="1" si="365"/>
        <v>-75.158340391505121</v>
      </c>
      <c r="O817" s="343"/>
      <c r="P817" s="363">
        <f t="shared" ca="1" si="366"/>
        <v>23</v>
      </c>
      <c r="Q817" s="357">
        <f t="shared" ca="1" si="367"/>
        <v>0</v>
      </c>
      <c r="R817" s="359">
        <f t="shared" ca="1" si="368"/>
        <v>0</v>
      </c>
      <c r="S817" s="360">
        <f t="shared" ca="1" si="369"/>
        <v>9.637999999999975</v>
      </c>
      <c r="T817" s="357">
        <f t="shared" ca="1" si="349"/>
        <v>94.548779999999766</v>
      </c>
      <c r="U817" s="364">
        <f t="shared" ca="1" si="350"/>
        <v>0</v>
      </c>
      <c r="V817" s="359">
        <f t="shared" ca="1" si="351"/>
        <v>1.0124873064446098</v>
      </c>
      <c r="W817" s="357">
        <f t="shared" ca="1" si="352"/>
        <v>32.190097834737671</v>
      </c>
      <c r="X817" s="343"/>
      <c r="Y817" s="367" t="str">
        <f t="shared" ca="1" si="370"/>
        <v/>
      </c>
      <c r="Z817" s="368" t="str">
        <f t="shared" ca="1" si="371"/>
        <v/>
      </c>
      <c r="AA817" s="369" t="str">
        <f t="shared" ca="1" si="372"/>
        <v/>
      </c>
      <c r="AB817" s="344"/>
      <c r="AC817" s="363" t="e">
        <f t="shared" ca="1" si="373"/>
        <v>#N/A</v>
      </c>
      <c r="AD817" s="376" t="e">
        <f t="shared" ca="1" si="374"/>
        <v>#N/A</v>
      </c>
      <c r="AE817" s="377" t="e">
        <f t="shared" ca="1" si="353"/>
        <v>#N/A</v>
      </c>
      <c r="AF817" s="344"/>
      <c r="AG817" s="359">
        <f t="shared" ca="1" si="375"/>
        <v>6.1759472671860607</v>
      </c>
      <c r="AH817" s="357">
        <f t="shared" ca="1" si="376"/>
        <v>-3.3013732261466657</v>
      </c>
    </row>
    <row r="818" spans="1:34" x14ac:dyDescent="0.25">
      <c r="A818" s="402">
        <f t="shared" ca="1" si="354"/>
        <v>0.1</v>
      </c>
      <c r="B818" s="357">
        <f t="shared" ca="1" si="355"/>
        <v>36.400000000000183</v>
      </c>
      <c r="C818" s="342"/>
      <c r="D818" s="359">
        <f t="shared" ca="1" si="356"/>
        <v>-0.85551469064747954</v>
      </c>
      <c r="E818" s="360">
        <f t="shared" ca="1" si="357"/>
        <v>-6.5815135454887326</v>
      </c>
      <c r="F818" s="357">
        <f t="shared" ca="1" si="358"/>
        <v>6.6368837518345405</v>
      </c>
      <c r="G818" s="359">
        <f t="shared" ca="1" si="359"/>
        <v>30.272132996889887</v>
      </c>
      <c r="H818" s="360">
        <f t="shared" ca="1" si="360"/>
        <v>-115.22003341233707</v>
      </c>
      <c r="I818" s="357">
        <f t="shared" ca="1" si="361"/>
        <v>119.13042489524437</v>
      </c>
      <c r="J818" s="359">
        <f t="shared" ca="1" si="362"/>
        <v>1475.6704107850032</v>
      </c>
      <c r="K818" s="360">
        <f t="shared" ca="1" si="363"/>
        <v>1888.0764833767496</v>
      </c>
      <c r="L818" s="357">
        <f t="shared" ca="1" si="348"/>
        <v>2396.3380329883958</v>
      </c>
      <c r="M818" s="359">
        <f t="shared" ca="1" si="364"/>
        <v>-1.3138698020259048</v>
      </c>
      <c r="N818" s="357">
        <f t="shared" ca="1" si="365"/>
        <v>-75.27919448577336</v>
      </c>
      <c r="O818" s="343"/>
      <c r="P818" s="363">
        <f t="shared" ca="1" si="366"/>
        <v>23</v>
      </c>
      <c r="Q818" s="357">
        <f t="shared" ca="1" si="367"/>
        <v>0</v>
      </c>
      <c r="R818" s="359">
        <f t="shared" ca="1" si="368"/>
        <v>0</v>
      </c>
      <c r="S818" s="360">
        <f t="shared" ca="1" si="369"/>
        <v>9.637999999999975</v>
      </c>
      <c r="T818" s="357">
        <f t="shared" ca="1" si="349"/>
        <v>94.548779999999766</v>
      </c>
      <c r="U818" s="364">
        <f t="shared" ca="1" si="350"/>
        <v>0</v>
      </c>
      <c r="V818" s="359">
        <f t="shared" ca="1" si="351"/>
        <v>1.0136617680733087</v>
      </c>
      <c r="W818" s="357">
        <f t="shared" ca="1" si="352"/>
        <v>32.56252439837975</v>
      </c>
      <c r="X818" s="343"/>
      <c r="Y818" s="367" t="str">
        <f t="shared" ca="1" si="370"/>
        <v/>
      </c>
      <c r="Z818" s="368" t="str">
        <f t="shared" ca="1" si="371"/>
        <v/>
      </c>
      <c r="AA818" s="369" t="str">
        <f t="shared" ca="1" si="372"/>
        <v/>
      </c>
      <c r="AB818" s="344"/>
      <c r="AC818" s="363" t="e">
        <f t="shared" ca="1" si="373"/>
        <v>#N/A</v>
      </c>
      <c r="AD818" s="376" t="e">
        <f t="shared" ca="1" si="374"/>
        <v>#N/A</v>
      </c>
      <c r="AE818" s="377" t="e">
        <f t="shared" ca="1" si="353"/>
        <v>#N/A</v>
      </c>
      <c r="AF818" s="344"/>
      <c r="AG818" s="359">
        <f t="shared" ca="1" si="375"/>
        <v>6.1427981899761814</v>
      </c>
      <c r="AH818" s="357">
        <f t="shared" ca="1" si="376"/>
        <v>-3.3399146954490302</v>
      </c>
    </row>
    <row r="819" spans="1:34" x14ac:dyDescent="0.25">
      <c r="A819" s="402">
        <f t="shared" ca="1" si="354"/>
        <v>0.1</v>
      </c>
      <c r="B819" s="357">
        <f t="shared" ca="1" si="355"/>
        <v>36.500000000000185</v>
      </c>
      <c r="C819" s="342"/>
      <c r="D819" s="359">
        <f t="shared" ca="1" si="356"/>
        <v>-0.85852209379673916</v>
      </c>
      <c r="E819" s="360">
        <f t="shared" ca="1" si="357"/>
        <v>-6.5423430977707238</v>
      </c>
      <c r="F819" s="357">
        <f t="shared" ca="1" si="358"/>
        <v>6.5984326468097994</v>
      </c>
      <c r="G819" s="359">
        <f t="shared" ca="1" si="359"/>
        <v>30.186280787510213</v>
      </c>
      <c r="H819" s="360">
        <f t="shared" ca="1" si="360"/>
        <v>-115.87426772211414</v>
      </c>
      <c r="I819" s="357">
        <f t="shared" ca="1" si="361"/>
        <v>119.7416279658774</v>
      </c>
      <c r="J819" s="359">
        <f t="shared" ca="1" si="362"/>
        <v>1478.6933314742232</v>
      </c>
      <c r="K819" s="360">
        <f t="shared" ca="1" si="363"/>
        <v>1876.5217683200269</v>
      </c>
      <c r="L819" s="357">
        <f t="shared" ca="1" si="348"/>
        <v>2389.1144626252753</v>
      </c>
      <c r="M819" s="359">
        <f t="shared" ca="1" si="364"/>
        <v>-1.315951628344924</v>
      </c>
      <c r="N819" s="357">
        <f t="shared" ca="1" si="365"/>
        <v>-75.398474347532414</v>
      </c>
      <c r="O819" s="343"/>
      <c r="P819" s="363">
        <f t="shared" ca="1" si="366"/>
        <v>23</v>
      </c>
      <c r="Q819" s="357">
        <f t="shared" ca="1" si="367"/>
        <v>0</v>
      </c>
      <c r="R819" s="359">
        <f t="shared" ca="1" si="368"/>
        <v>0</v>
      </c>
      <c r="S819" s="360">
        <f t="shared" ca="1" si="369"/>
        <v>9.637999999999975</v>
      </c>
      <c r="T819" s="357">
        <f t="shared" ca="1" si="349"/>
        <v>94.548779999999766</v>
      </c>
      <c r="U819" s="364">
        <f t="shared" ca="1" si="350"/>
        <v>0</v>
      </c>
      <c r="V819" s="359">
        <f t="shared" ca="1" si="351"/>
        <v>1.0148441817637666</v>
      </c>
      <c r="W819" s="357">
        <f t="shared" ca="1" si="352"/>
        <v>32.935882209165811</v>
      </c>
      <c r="X819" s="343"/>
      <c r="Y819" s="367" t="str">
        <f t="shared" ca="1" si="370"/>
        <v/>
      </c>
      <c r="Z819" s="368" t="str">
        <f t="shared" ca="1" si="371"/>
        <v/>
      </c>
      <c r="AA819" s="369" t="str">
        <f t="shared" ca="1" si="372"/>
        <v/>
      </c>
      <c r="AB819" s="344"/>
      <c r="AC819" s="363" t="e">
        <f t="shared" ca="1" si="373"/>
        <v>#N/A</v>
      </c>
      <c r="AD819" s="376" t="e">
        <f t="shared" ca="1" si="374"/>
        <v>#N/A</v>
      </c>
      <c r="AE819" s="377" t="e">
        <f t="shared" ca="1" si="353"/>
        <v>#N/A</v>
      </c>
      <c r="AF819" s="344"/>
      <c r="AG819" s="359">
        <f t="shared" ca="1" si="375"/>
        <v>6.1094359056968894</v>
      </c>
      <c r="AH819" s="357">
        <f t="shared" ca="1" si="376"/>
        <v>-3.3785561733118734</v>
      </c>
    </row>
    <row r="820" spans="1:34" x14ac:dyDescent="0.25">
      <c r="A820" s="402">
        <f t="shared" ca="1" si="354"/>
        <v>0.1</v>
      </c>
      <c r="B820" s="357">
        <f t="shared" ca="1" si="355"/>
        <v>36.600000000000186</v>
      </c>
      <c r="C820" s="342"/>
      <c r="D820" s="359">
        <f t="shared" ca="1" si="356"/>
        <v>-0.86148323043086805</v>
      </c>
      <c r="E820" s="360">
        <f t="shared" ca="1" si="357"/>
        <v>-6.5030759312899207</v>
      </c>
      <c r="F820" s="357">
        <f t="shared" ca="1" si="358"/>
        <v>6.5598894750167762</v>
      </c>
      <c r="G820" s="359">
        <f t="shared" ca="1" si="359"/>
        <v>30.100132464467126</v>
      </c>
      <c r="H820" s="360">
        <f t="shared" ca="1" si="360"/>
        <v>-116.52457531524313</v>
      </c>
      <c r="I820" s="357">
        <f t="shared" ca="1" si="361"/>
        <v>120.34946874322394</v>
      </c>
      <c r="J820" s="359">
        <f t="shared" ca="1" si="362"/>
        <v>1481.7076521368222</v>
      </c>
      <c r="K820" s="360">
        <f t="shared" ca="1" si="363"/>
        <v>1864.901826168159</v>
      </c>
      <c r="L820" s="357">
        <f t="shared" ca="1" si="348"/>
        <v>2381.8724541096126</v>
      </c>
      <c r="M820" s="359">
        <f t="shared" ca="1" si="364"/>
        <v>-1.3180065231044706</v>
      </c>
      <c r="N820" s="357">
        <f t="shared" ca="1" si="365"/>
        <v>-75.516211144597989</v>
      </c>
      <c r="O820" s="343"/>
      <c r="P820" s="363">
        <f t="shared" ca="1" si="366"/>
        <v>23</v>
      </c>
      <c r="Q820" s="357">
        <f t="shared" ca="1" si="367"/>
        <v>0</v>
      </c>
      <c r="R820" s="359">
        <f t="shared" ca="1" si="368"/>
        <v>0</v>
      </c>
      <c r="S820" s="360">
        <f t="shared" ca="1" si="369"/>
        <v>9.637999999999975</v>
      </c>
      <c r="T820" s="357">
        <f t="shared" ca="1" si="349"/>
        <v>94.548779999999766</v>
      </c>
      <c r="U820" s="364">
        <f t="shared" ca="1" si="350"/>
        <v>0</v>
      </c>
      <c r="V820" s="359">
        <f t="shared" ca="1" si="351"/>
        <v>1.0160345305715597</v>
      </c>
      <c r="W820" s="357">
        <f t="shared" ca="1" si="352"/>
        <v>33.310138685684919</v>
      </c>
      <c r="X820" s="343"/>
      <c r="Y820" s="367" t="str">
        <f t="shared" ca="1" si="370"/>
        <v/>
      </c>
      <c r="Z820" s="368" t="str">
        <f t="shared" ca="1" si="371"/>
        <v/>
      </c>
      <c r="AA820" s="369" t="str">
        <f t="shared" ca="1" si="372"/>
        <v/>
      </c>
      <c r="AB820" s="344"/>
      <c r="AC820" s="363" t="e">
        <f t="shared" ca="1" si="373"/>
        <v>#N/A</v>
      </c>
      <c r="AD820" s="376" t="e">
        <f t="shared" ca="1" si="374"/>
        <v>#N/A</v>
      </c>
      <c r="AE820" s="377" t="e">
        <f t="shared" ca="1" si="353"/>
        <v>#N/A</v>
      </c>
      <c r="AF820" s="344"/>
      <c r="AG820" s="359">
        <f t="shared" ca="1" si="375"/>
        <v>6.0758668405555012</v>
      </c>
      <c r="AH820" s="357">
        <f t="shared" ca="1" si="376"/>
        <v>-3.4172942736216951</v>
      </c>
    </row>
    <row r="821" spans="1:34" x14ac:dyDescent="0.25">
      <c r="A821" s="402">
        <f t="shared" ca="1" si="354"/>
        <v>0.1</v>
      </c>
      <c r="B821" s="357">
        <f t="shared" ca="1" si="355"/>
        <v>36.700000000000188</v>
      </c>
      <c r="C821" s="342"/>
      <c r="D821" s="359">
        <f t="shared" ca="1" si="356"/>
        <v>-0.8643979897681392</v>
      </c>
      <c r="E821" s="360">
        <f t="shared" ca="1" si="357"/>
        <v>-6.4637154353062947</v>
      </c>
      <c r="F821" s="357">
        <f t="shared" ca="1" si="358"/>
        <v>6.5212576327984495</v>
      </c>
      <c r="G821" s="359">
        <f t="shared" ca="1" si="359"/>
        <v>30.013692665490314</v>
      </c>
      <c r="H821" s="360">
        <f t="shared" ca="1" si="360"/>
        <v>-117.17094685877376</v>
      </c>
      <c r="I821" s="357">
        <f t="shared" ca="1" si="361"/>
        <v>120.95392732441594</v>
      </c>
      <c r="J821" s="359">
        <f t="shared" ca="1" si="362"/>
        <v>1484.71334339332</v>
      </c>
      <c r="K821" s="360">
        <f t="shared" ca="1" si="363"/>
        <v>1853.2170500594582</v>
      </c>
      <c r="L821" s="357">
        <f t="shared" ca="1" si="348"/>
        <v>2374.6130519899975</v>
      </c>
      <c r="M821" s="359">
        <f t="shared" ca="1" si="364"/>
        <v>-1.3200350163234682</v>
      </c>
      <c r="N821" s="357">
        <f t="shared" ca="1" si="365"/>
        <v>-75.632435244817458</v>
      </c>
      <c r="O821" s="343"/>
      <c r="P821" s="363">
        <f t="shared" ca="1" si="366"/>
        <v>23</v>
      </c>
      <c r="Q821" s="357">
        <f t="shared" ca="1" si="367"/>
        <v>0</v>
      </c>
      <c r="R821" s="359">
        <f t="shared" ca="1" si="368"/>
        <v>0</v>
      </c>
      <c r="S821" s="360">
        <f t="shared" ca="1" si="369"/>
        <v>9.637999999999975</v>
      </c>
      <c r="T821" s="357">
        <f t="shared" ca="1" si="349"/>
        <v>94.548779999999766</v>
      </c>
      <c r="U821" s="364">
        <f t="shared" ca="1" si="350"/>
        <v>0</v>
      </c>
      <c r="V821" s="359">
        <f t="shared" ca="1" si="351"/>
        <v>1.0172327974757696</v>
      </c>
      <c r="W821" s="357">
        <f t="shared" ca="1" si="352"/>
        <v>33.685261305282069</v>
      </c>
      <c r="X821" s="343"/>
      <c r="Y821" s="367" t="str">
        <f t="shared" ca="1" si="370"/>
        <v/>
      </c>
      <c r="Z821" s="368" t="str">
        <f t="shared" ca="1" si="371"/>
        <v/>
      </c>
      <c r="AA821" s="369" t="str">
        <f t="shared" ca="1" si="372"/>
        <v/>
      </c>
      <c r="AB821" s="344"/>
      <c r="AC821" s="363" t="e">
        <f t="shared" ca="1" si="373"/>
        <v>#N/A</v>
      </c>
      <c r="AD821" s="376" t="e">
        <f t="shared" ca="1" si="374"/>
        <v>#N/A</v>
      </c>
      <c r="AE821" s="377" t="e">
        <f t="shared" ca="1" si="353"/>
        <v>#N/A</v>
      </c>
      <c r="AF821" s="344"/>
      <c r="AG821" s="359">
        <f t="shared" ca="1" si="375"/>
        <v>6.0420973159015237</v>
      </c>
      <c r="AH821" s="357">
        <f t="shared" ca="1" si="376"/>
        <v>-3.4561256158627316</v>
      </c>
    </row>
    <row r="822" spans="1:34" x14ac:dyDescent="0.25">
      <c r="A822" s="402">
        <f t="shared" ca="1" si="354"/>
        <v>0.1</v>
      </c>
      <c r="B822" s="357">
        <f t="shared" ca="1" si="355"/>
        <v>36.800000000000189</v>
      </c>
      <c r="C822" s="342"/>
      <c r="D822" s="359">
        <f t="shared" ca="1" si="356"/>
        <v>-0.86726626903288584</v>
      </c>
      <c r="E822" s="360">
        <f t="shared" ca="1" si="357"/>
        <v>-6.4242649938539582</v>
      </c>
      <c r="F822" s="357">
        <f t="shared" ca="1" si="358"/>
        <v>6.48254051222664</v>
      </c>
      <c r="G822" s="359">
        <f t="shared" ca="1" si="359"/>
        <v>29.926966038587025</v>
      </c>
      <c r="H822" s="360">
        <f t="shared" ca="1" si="360"/>
        <v>-117.81337335815915</v>
      </c>
      <c r="I822" s="357">
        <f t="shared" ca="1" si="361"/>
        <v>121.55498442393774</v>
      </c>
      <c r="J822" s="359">
        <f t="shared" ca="1" si="362"/>
        <v>1487.7103763285238</v>
      </c>
      <c r="K822" s="360">
        <f t="shared" ca="1" si="363"/>
        <v>1841.4678340486116</v>
      </c>
      <c r="L822" s="357">
        <f t="shared" ca="1" si="348"/>
        <v>2367.3373117642623</v>
      </c>
      <c r="M822" s="359">
        <f t="shared" ca="1" si="364"/>
        <v>-1.3220376244883101</v>
      </c>
      <c r="N822" s="357">
        <f t="shared" ca="1" si="365"/>
        <v>-75.747176240681341</v>
      </c>
      <c r="O822" s="343"/>
      <c r="P822" s="363">
        <f t="shared" ca="1" si="366"/>
        <v>23</v>
      </c>
      <c r="Q822" s="357">
        <f t="shared" ca="1" si="367"/>
        <v>0</v>
      </c>
      <c r="R822" s="359">
        <f t="shared" ca="1" si="368"/>
        <v>0</v>
      </c>
      <c r="S822" s="360">
        <f t="shared" ca="1" si="369"/>
        <v>9.637999999999975</v>
      </c>
      <c r="T822" s="357">
        <f t="shared" ca="1" si="349"/>
        <v>94.548779999999766</v>
      </c>
      <c r="U822" s="364">
        <f t="shared" ca="1" si="350"/>
        <v>0</v>
      </c>
      <c r="V822" s="359">
        <f t="shared" ca="1" si="351"/>
        <v>1.0184389653800654</v>
      </c>
      <c r="W822" s="357">
        <f t="shared" ca="1" si="352"/>
        <v>34.061217608834092</v>
      </c>
      <c r="X822" s="343"/>
      <c r="Y822" s="367" t="str">
        <f t="shared" ca="1" si="370"/>
        <v/>
      </c>
      <c r="Z822" s="368" t="str">
        <f t="shared" ca="1" si="371"/>
        <v/>
      </c>
      <c r="AA822" s="369" t="str">
        <f t="shared" ca="1" si="372"/>
        <v/>
      </c>
      <c r="AB822" s="344"/>
      <c r="AC822" s="363" t="e">
        <f t="shared" ca="1" si="373"/>
        <v>#N/A</v>
      </c>
      <c r="AD822" s="376" t="e">
        <f t="shared" ca="1" si="374"/>
        <v>#N/A</v>
      </c>
      <c r="AE822" s="377" t="e">
        <f t="shared" ca="1" si="353"/>
        <v>#N/A</v>
      </c>
      <c r="AF822" s="344"/>
      <c r="AG822" s="359">
        <f t="shared" ca="1" si="375"/>
        <v>6.0081335515010537</v>
      </c>
      <c r="AH822" s="357">
        <f t="shared" ca="1" si="376"/>
        <v>-3.4950468256154967</v>
      </c>
    </row>
    <row r="823" spans="1:34" x14ac:dyDescent="0.25">
      <c r="A823" s="402">
        <f t="shared" ca="1" si="354"/>
        <v>0.1</v>
      </c>
      <c r="B823" s="357">
        <f t="shared" ca="1" si="355"/>
        <v>36.90000000000019</v>
      </c>
      <c r="C823" s="342"/>
      <c r="D823" s="359">
        <f t="shared" ca="1" si="356"/>
        <v>-0.87008797335831023</v>
      </c>
      <c r="E823" s="360">
        <f t="shared" ca="1" si="357"/>
        <v>-6.3847279852045276</v>
      </c>
      <c r="F823" s="357">
        <f t="shared" ca="1" si="358"/>
        <v>6.4437415005908356</v>
      </c>
      <c r="G823" s="359">
        <f t="shared" ca="1" si="359"/>
        <v>29.839957241251195</v>
      </c>
      <c r="H823" s="360">
        <f t="shared" ca="1" si="360"/>
        <v>-118.45184615667961</v>
      </c>
      <c r="I823" s="357">
        <f t="shared" ca="1" si="361"/>
        <v>122.15262136395351</v>
      </c>
      <c r="J823" s="359">
        <f t="shared" ca="1" si="362"/>
        <v>1490.6987224925158</v>
      </c>
      <c r="K823" s="360">
        <f t="shared" ca="1" si="363"/>
        <v>1829.6545730728697</v>
      </c>
      <c r="L823" s="357">
        <f t="shared" ca="1" si="348"/>
        <v>2360.0462999711008</v>
      </c>
      <c r="M823" s="359">
        <f t="shared" ca="1" si="364"/>
        <v>-1.3240148509672469</v>
      </c>
      <c r="N823" s="357">
        <f t="shared" ca="1" si="365"/>
        <v>-75.860462973065935</v>
      </c>
      <c r="O823" s="343"/>
      <c r="P823" s="363">
        <f t="shared" ca="1" si="366"/>
        <v>23</v>
      </c>
      <c r="Q823" s="357">
        <f t="shared" ca="1" si="367"/>
        <v>0</v>
      </c>
      <c r="R823" s="359">
        <f t="shared" ca="1" si="368"/>
        <v>0</v>
      </c>
      <c r="S823" s="360">
        <f t="shared" ca="1" si="369"/>
        <v>9.637999999999975</v>
      </c>
      <c r="T823" s="357">
        <f t="shared" ca="1" si="349"/>
        <v>94.548779999999766</v>
      </c>
      <c r="U823" s="364">
        <f t="shared" ca="1" si="350"/>
        <v>0</v>
      </c>
      <c r="V823" s="359">
        <f t="shared" ca="1" si="351"/>
        <v>1.0196530171137965</v>
      </c>
      <c r="W823" s="357">
        <f t="shared" ca="1" si="352"/>
        <v>34.437975205495768</v>
      </c>
      <c r="X823" s="343"/>
      <c r="Y823" s="367" t="str">
        <f t="shared" ca="1" si="370"/>
        <v/>
      </c>
      <c r="Z823" s="368" t="str">
        <f t="shared" ca="1" si="371"/>
        <v/>
      </c>
      <c r="AA823" s="369" t="str">
        <f t="shared" ca="1" si="372"/>
        <v/>
      </c>
      <c r="AB823" s="344"/>
      <c r="AC823" s="363" t="e">
        <f t="shared" ca="1" si="373"/>
        <v>#N/A</v>
      </c>
      <c r="AD823" s="376" t="e">
        <f t="shared" ca="1" si="374"/>
        <v>#N/A</v>
      </c>
      <c r="AE823" s="377" t="e">
        <f t="shared" ca="1" si="353"/>
        <v>#N/A</v>
      </c>
      <c r="AF823" s="344"/>
      <c r="AG823" s="359">
        <f t="shared" ca="1" si="375"/>
        <v>5.9739816686522289</v>
      </c>
      <c r="AH823" s="357">
        <f t="shared" ca="1" si="376"/>
        <v>-3.5340545350523116</v>
      </c>
    </row>
    <row r="824" spans="1:34" x14ac:dyDescent="0.25">
      <c r="A824" s="402">
        <f t="shared" ca="1" si="354"/>
        <v>0.1</v>
      </c>
      <c r="B824" s="357">
        <f t="shared" ca="1" si="355"/>
        <v>37.000000000000192</v>
      </c>
      <c r="C824" s="342"/>
      <c r="D824" s="359">
        <f t="shared" ca="1" si="356"/>
        <v>-0.87286301569113323</v>
      </c>
      <c r="E824" s="360">
        <f t="shared" ca="1" si="357"/>
        <v>-6.3451077813352033</v>
      </c>
      <c r="F824" s="357">
        <f t="shared" ca="1" si="358"/>
        <v>6.4048639798923102</v>
      </c>
      <c r="G824" s="359">
        <f t="shared" ca="1" si="359"/>
        <v>29.752670939682083</v>
      </c>
      <c r="H824" s="360">
        <f t="shared" ca="1" si="360"/>
        <v>-119.08635693481313</v>
      </c>
      <c r="I824" s="357">
        <f t="shared" ca="1" si="361"/>
        <v>122.74682006492354</v>
      </c>
      <c r="J824" s="359">
        <f t="shared" ca="1" si="362"/>
        <v>1493.6783539015626</v>
      </c>
      <c r="K824" s="360">
        <f t="shared" ca="1" si="363"/>
        <v>1817.7776629182949</v>
      </c>
      <c r="L824" s="357">
        <f t="shared" ca="1" si="348"/>
        <v>2352.741094281047</v>
      </c>
      <c r="M824" s="359">
        <f t="shared" ca="1" si="364"/>
        <v>-1.3259671864102012</v>
      </c>
      <c r="N824" s="357">
        <f t="shared" ca="1" si="365"/>
        <v>-75.972323554141013</v>
      </c>
      <c r="O824" s="343"/>
      <c r="P824" s="363">
        <f t="shared" ca="1" si="366"/>
        <v>23</v>
      </c>
      <c r="Q824" s="357">
        <f t="shared" ca="1" si="367"/>
        <v>0</v>
      </c>
      <c r="R824" s="359">
        <f t="shared" ca="1" si="368"/>
        <v>0</v>
      </c>
      <c r="S824" s="360">
        <f t="shared" ca="1" si="369"/>
        <v>9.637999999999975</v>
      </c>
      <c r="T824" s="357">
        <f t="shared" ca="1" si="349"/>
        <v>94.548779999999766</v>
      </c>
      <c r="U824" s="364">
        <f t="shared" ca="1" si="350"/>
        <v>0</v>
      </c>
      <c r="V824" s="359">
        <f t="shared" ca="1" si="351"/>
        <v>1.0208749354330837</v>
      </c>
      <c r="W824" s="357">
        <f t="shared" ca="1" si="352"/>
        <v>34.815501777413999</v>
      </c>
      <c r="X824" s="343"/>
      <c r="Y824" s="367" t="str">
        <f t="shared" ca="1" si="370"/>
        <v/>
      </c>
      <c r="Z824" s="368" t="str">
        <f t="shared" ca="1" si="371"/>
        <v/>
      </c>
      <c r="AA824" s="369" t="str">
        <f t="shared" ca="1" si="372"/>
        <v/>
      </c>
      <c r="AB824" s="344"/>
      <c r="AC824" s="363">
        <f t="shared" ca="1" si="373"/>
        <v>37.000000000000192</v>
      </c>
      <c r="AD824" s="376">
        <f t="shared" ca="1" si="374"/>
        <v>1493.6783539015626</v>
      </c>
      <c r="AE824" s="377" t="e">
        <f t="shared" ca="1" si="353"/>
        <v>#N/A</v>
      </c>
      <c r="AF824" s="344"/>
      <c r="AG824" s="359">
        <f t="shared" ca="1" si="375"/>
        <v>5.9396476931495359</v>
      </c>
      <c r="AH824" s="357">
        <f t="shared" ca="1" si="376"/>
        <v>-3.5731453834297424</v>
      </c>
    </row>
    <row r="825" spans="1:34" x14ac:dyDescent="0.25">
      <c r="A825" s="402">
        <f t="shared" ca="1" si="354"/>
        <v>0.1</v>
      </c>
      <c r="B825" s="357">
        <f t="shared" ca="1" si="355"/>
        <v>37.100000000000193</v>
      </c>
      <c r="C825" s="342"/>
      <c r="D825" s="359">
        <f t="shared" ca="1" si="356"/>
        <v>-0.87559131669795065</v>
      </c>
      <c r="E825" s="360">
        <f t="shared" ca="1" si="357"/>
        <v>-6.3054077474017429</v>
      </c>
      <c r="F825" s="357">
        <f t="shared" ca="1" si="358"/>
        <v>6.3659113263436815</v>
      </c>
      <c r="G825" s="359">
        <f t="shared" ca="1" si="359"/>
        <v>29.665111808012288</v>
      </c>
      <c r="H825" s="360">
        <f t="shared" ca="1" si="360"/>
        <v>-119.71689770955329</v>
      </c>
      <c r="I825" s="357">
        <f t="shared" ca="1" si="361"/>
        <v>123.33756303649557</v>
      </c>
      <c r="J825" s="359">
        <f t="shared" ca="1" si="362"/>
        <v>1496.6492430389474</v>
      </c>
      <c r="K825" s="360">
        <f t="shared" ca="1" si="363"/>
        <v>1805.8375001860766</v>
      </c>
      <c r="L825" s="357">
        <f t="shared" ca="1" si="348"/>
        <v>2345.4227835866504</v>
      </c>
      <c r="M825" s="359">
        <f t="shared" ca="1" si="364"/>
        <v>-1.3278951091345754</v>
      </c>
      <c r="N825" s="357">
        <f t="shared" ca="1" si="365"/>
        <v>-76.082785389475021</v>
      </c>
      <c r="O825" s="343"/>
      <c r="P825" s="363">
        <f t="shared" ca="1" si="366"/>
        <v>23</v>
      </c>
      <c r="Q825" s="357">
        <f t="shared" ca="1" si="367"/>
        <v>0</v>
      </c>
      <c r="R825" s="359">
        <f t="shared" ca="1" si="368"/>
        <v>0</v>
      </c>
      <c r="S825" s="360">
        <f t="shared" ca="1" si="369"/>
        <v>9.637999999999975</v>
      </c>
      <c r="T825" s="357">
        <f t="shared" ca="1" si="349"/>
        <v>94.548779999999766</v>
      </c>
      <c r="U825" s="364">
        <f t="shared" ca="1" si="350"/>
        <v>0</v>
      </c>
      <c r="V825" s="359">
        <f t="shared" ca="1" si="351"/>
        <v>1.0221047030219255</v>
      </c>
      <c r="W825" s="357">
        <f t="shared" ca="1" si="352"/>
        <v>35.193765084409861</v>
      </c>
      <c r="X825" s="343"/>
      <c r="Y825" s="367" t="str">
        <f t="shared" ca="1" si="370"/>
        <v/>
      </c>
      <c r="Z825" s="368" t="str">
        <f t="shared" ca="1" si="371"/>
        <v/>
      </c>
      <c r="AA825" s="369" t="str">
        <f t="shared" ca="1" si="372"/>
        <v/>
      </c>
      <c r="AB825" s="344"/>
      <c r="AC825" s="363" t="e">
        <f t="shared" ca="1" si="373"/>
        <v>#N/A</v>
      </c>
      <c r="AD825" s="376" t="e">
        <f t="shared" ca="1" si="374"/>
        <v>#N/A</v>
      </c>
      <c r="AE825" s="377" t="e">
        <f t="shared" ca="1" si="353"/>
        <v>#N/A</v>
      </c>
      <c r="AF825" s="344"/>
      <c r="AG825" s="359">
        <f t="shared" ca="1" si="375"/>
        <v>5.9051375581044034</v>
      </c>
      <c r="AH825" s="357">
        <f t="shared" ca="1" si="376"/>
        <v>-3.6123160175777227</v>
      </c>
    </row>
    <row r="826" spans="1:34" x14ac:dyDescent="0.25">
      <c r="A826" s="402">
        <f t="shared" ca="1" si="354"/>
        <v>0.1</v>
      </c>
      <c r="B826" s="357">
        <f t="shared" ca="1" si="355"/>
        <v>37.200000000000195</v>
      </c>
      <c r="C826" s="342"/>
      <c r="D826" s="359">
        <f t="shared" ca="1" si="356"/>
        <v>-0.87827280467321434</v>
      </c>
      <c r="E826" s="360">
        <f t="shared" ca="1" si="357"/>
        <v>-6.2656312412162496</v>
      </c>
      <c r="F826" s="357">
        <f t="shared" ca="1" si="358"/>
        <v>6.3268869098738945</v>
      </c>
      <c r="G826" s="359">
        <f t="shared" ca="1" si="359"/>
        <v>29.577284527544965</v>
      </c>
      <c r="H826" s="360">
        <f t="shared" ca="1" si="360"/>
        <v>-120.34346083367492</v>
      </c>
      <c r="I826" s="357">
        <f t="shared" ca="1" si="361"/>
        <v>123.9248333686578</v>
      </c>
      <c r="J826" s="359">
        <f t="shared" ca="1" si="362"/>
        <v>1499.6113628557252</v>
      </c>
      <c r="K826" s="360">
        <f t="shared" ca="1" si="363"/>
        <v>1793.8344822589152</v>
      </c>
      <c r="L826" s="357">
        <f t="shared" ca="1" si="348"/>
        <v>2338.0924680916955</v>
      </c>
      <c r="M826" s="359">
        <f t="shared" ca="1" si="364"/>
        <v>-1.3297990854975992</v>
      </c>
      <c r="N826" s="357">
        <f t="shared" ca="1" si="365"/>
        <v>-76.191875199368951</v>
      </c>
      <c r="O826" s="343"/>
      <c r="P826" s="363">
        <f t="shared" ca="1" si="366"/>
        <v>23</v>
      </c>
      <c r="Q826" s="357">
        <f t="shared" ca="1" si="367"/>
        <v>0</v>
      </c>
      <c r="R826" s="359">
        <f t="shared" ca="1" si="368"/>
        <v>0</v>
      </c>
      <c r="S826" s="360">
        <f t="shared" ca="1" si="369"/>
        <v>9.637999999999975</v>
      </c>
      <c r="T826" s="357">
        <f t="shared" ca="1" si="349"/>
        <v>94.548779999999766</v>
      </c>
      <c r="U826" s="364">
        <f t="shared" ca="1" si="350"/>
        <v>0</v>
      </c>
      <c r="V826" s="359">
        <f t="shared" ca="1" si="351"/>
        <v>1.0233423024933055</v>
      </c>
      <c r="W826" s="357">
        <f t="shared" ca="1" si="352"/>
        <v>35.572732968626561</v>
      </c>
      <c r="X826" s="343"/>
      <c r="Y826" s="367" t="str">
        <f t="shared" ca="1" si="370"/>
        <v/>
      </c>
      <c r="Z826" s="368" t="str">
        <f t="shared" ca="1" si="371"/>
        <v/>
      </c>
      <c r="AA826" s="369" t="str">
        <f t="shared" ca="1" si="372"/>
        <v/>
      </c>
      <c r="AB826" s="344"/>
      <c r="AC826" s="363" t="e">
        <f t="shared" ca="1" si="373"/>
        <v>#N/A</v>
      </c>
      <c r="AD826" s="376" t="e">
        <f t="shared" ca="1" si="374"/>
        <v>#N/A</v>
      </c>
      <c r="AE826" s="377" t="e">
        <f t="shared" ca="1" si="353"/>
        <v>#N/A</v>
      </c>
      <c r="AF826" s="344"/>
      <c r="AG826" s="359">
        <f t="shared" ca="1" si="375"/>
        <v>5.8704571066290185</v>
      </c>
      <c r="AH826" s="357">
        <f t="shared" ca="1" si="376"/>
        <v>-3.6515630923853446</v>
      </c>
    </row>
    <row r="827" spans="1:34" x14ac:dyDescent="0.25">
      <c r="A827" s="402">
        <f t="shared" ca="1" si="354"/>
        <v>0.1</v>
      </c>
      <c r="B827" s="357">
        <f t="shared" ca="1" si="355"/>
        <v>37.300000000000196</v>
      </c>
      <c r="C827" s="342"/>
      <c r="D827" s="359">
        <f t="shared" ca="1" si="356"/>
        <v>-0.88090741544871154</v>
      </c>
      <c r="E827" s="360">
        <f t="shared" ca="1" si="357"/>
        <v>-6.225781612729909</v>
      </c>
      <c r="F827" s="357">
        <f t="shared" ca="1" si="358"/>
        <v>6.28779409363875</v>
      </c>
      <c r="G827" s="359">
        <f t="shared" ca="1" si="359"/>
        <v>29.489193786000094</v>
      </c>
      <c r="H827" s="360">
        <f t="shared" ca="1" si="360"/>
        <v>-120.96603899494792</v>
      </c>
      <c r="I827" s="357">
        <f t="shared" ca="1" si="361"/>
        <v>124.50861472314085</v>
      </c>
      <c r="J827" s="359">
        <f t="shared" ca="1" si="362"/>
        <v>1502.5646867714024</v>
      </c>
      <c r="K827" s="360">
        <f t="shared" ca="1" si="363"/>
        <v>1781.7690072674841</v>
      </c>
      <c r="L827" s="357">
        <f t="shared" ca="1" si="348"/>
        <v>2330.7512593992947</v>
      </c>
      <c r="M827" s="359">
        <f t="shared" ca="1" si="364"/>
        <v>-1.331679570255736</v>
      </c>
      <c r="N827" s="357">
        <f t="shared" ca="1" si="365"/>
        <v>-76.299619039448871</v>
      </c>
      <c r="O827" s="343"/>
      <c r="P827" s="363">
        <f t="shared" ca="1" si="366"/>
        <v>23</v>
      </c>
      <c r="Q827" s="357">
        <f t="shared" ca="1" si="367"/>
        <v>0</v>
      </c>
      <c r="R827" s="359">
        <f t="shared" ca="1" si="368"/>
        <v>0</v>
      </c>
      <c r="S827" s="360">
        <f t="shared" ca="1" si="369"/>
        <v>9.637999999999975</v>
      </c>
      <c r="T827" s="357">
        <f t="shared" ca="1" si="349"/>
        <v>94.548779999999766</v>
      </c>
      <c r="U827" s="364">
        <f t="shared" ca="1" si="350"/>
        <v>0</v>
      </c>
      <c r="V827" s="359">
        <f t="shared" ca="1" si="351"/>
        <v>1.0245877163903059</v>
      </c>
      <c r="W827" s="357">
        <f t="shared" ca="1" si="352"/>
        <v>35.952373359142463</v>
      </c>
      <c r="X827" s="343"/>
      <c r="Y827" s="367" t="str">
        <f t="shared" ca="1" si="370"/>
        <v/>
      </c>
      <c r="Z827" s="368" t="str">
        <f t="shared" ca="1" si="371"/>
        <v/>
      </c>
      <c r="AA827" s="369" t="str">
        <f t="shared" ca="1" si="372"/>
        <v/>
      </c>
      <c r="AB827" s="344"/>
      <c r="AC827" s="363" t="e">
        <f t="shared" ca="1" si="373"/>
        <v>#N/A</v>
      </c>
      <c r="AD827" s="376" t="e">
        <f t="shared" ca="1" si="374"/>
        <v>#N/A</v>
      </c>
      <c r="AE827" s="377" t="e">
        <f t="shared" ca="1" si="353"/>
        <v>#N/A</v>
      </c>
      <c r="AF827" s="344"/>
      <c r="AG827" s="359">
        <f t="shared" ca="1" si="375"/>
        <v>5.835612094390159</v>
      </c>
      <c r="AH827" s="357">
        <f t="shared" ca="1" si="376"/>
        <v>-3.6908832712831141</v>
      </c>
    </row>
    <row r="828" spans="1:34" x14ac:dyDescent="0.25">
      <c r="A828" s="402">
        <f t="shared" ca="1" si="354"/>
        <v>0.1</v>
      </c>
      <c r="B828" s="357">
        <f t="shared" ca="1" si="355"/>
        <v>37.400000000000198</v>
      </c>
      <c r="C828" s="342"/>
      <c r="D828" s="359">
        <f t="shared" ca="1" si="356"/>
        <v>-0.883495092304449</v>
      </c>
      <c r="E828" s="360">
        <f t="shared" ca="1" si="357"/>
        <v>-6.1858622035207116</v>
      </c>
      <c r="F828" s="357">
        <f t="shared" ca="1" si="358"/>
        <v>6.2486362335370558</v>
      </c>
      <c r="G828" s="359">
        <f t="shared" ca="1" si="359"/>
        <v>29.40084427676965</v>
      </c>
      <c r="H828" s="360">
        <f t="shared" ca="1" si="360"/>
        <v>-121.58462521529999</v>
      </c>
      <c r="I828" s="357">
        <f t="shared" ca="1" si="361"/>
        <v>125.08889132505661</v>
      </c>
      <c r="J828" s="359">
        <f t="shared" ca="1" si="362"/>
        <v>1505.5091886745408</v>
      </c>
      <c r="K828" s="360">
        <f t="shared" ca="1" si="363"/>
        <v>1769.6414740569717</v>
      </c>
      <c r="L828" s="357">
        <f t="shared" ca="1" si="348"/>
        <v>2323.4002805986761</v>
      </c>
      <c r="M828" s="359">
        <f t="shared" ca="1" si="364"/>
        <v>-1.333537006911649</v>
      </c>
      <c r="N828" s="357">
        <f t="shared" ca="1" si="365"/>
        <v>-76.406042320545581</v>
      </c>
      <c r="O828" s="343"/>
      <c r="P828" s="363">
        <f t="shared" ca="1" si="366"/>
        <v>23</v>
      </c>
      <c r="Q828" s="357">
        <f t="shared" ca="1" si="367"/>
        <v>0</v>
      </c>
      <c r="R828" s="359">
        <f t="shared" ca="1" si="368"/>
        <v>0</v>
      </c>
      <c r="S828" s="360">
        <f t="shared" ca="1" si="369"/>
        <v>9.637999999999975</v>
      </c>
      <c r="T828" s="357">
        <f t="shared" ca="1" si="349"/>
        <v>94.548779999999766</v>
      </c>
      <c r="U828" s="364">
        <f t="shared" ca="1" si="350"/>
        <v>0</v>
      </c>
      <c r="V828" s="359">
        <f t="shared" ca="1" si="351"/>
        <v>1.0258409271872315</v>
      </c>
      <c r="W828" s="357">
        <f t="shared" ca="1" si="352"/>
        <v>36.332654276548155</v>
      </c>
      <c r="X828" s="343"/>
      <c r="Y828" s="367" t="str">
        <f t="shared" ca="1" si="370"/>
        <v/>
      </c>
      <c r="Z828" s="368" t="str">
        <f t="shared" ca="1" si="371"/>
        <v/>
      </c>
      <c r="AA828" s="369" t="str">
        <f t="shared" ca="1" si="372"/>
        <v/>
      </c>
      <c r="AB828" s="344"/>
      <c r="AC828" s="363" t="e">
        <f t="shared" ca="1" si="373"/>
        <v>#N/A</v>
      </c>
      <c r="AD828" s="376" t="e">
        <f t="shared" ca="1" si="374"/>
        <v>#N/A</v>
      </c>
      <c r="AE828" s="377" t="e">
        <f t="shared" ca="1" si="353"/>
        <v>#N/A</v>
      </c>
      <c r="AF828" s="344"/>
      <c r="AG828" s="359">
        <f t="shared" ca="1" si="375"/>
        <v>5.8006081920392933</v>
      </c>
      <c r="AH828" s="357">
        <f t="shared" ca="1" si="376"/>
        <v>-3.7302732267215766</v>
      </c>
    </row>
    <row r="829" spans="1:34" x14ac:dyDescent="0.25">
      <c r="A829" s="402">
        <f t="shared" ca="1" si="354"/>
        <v>0.1</v>
      </c>
      <c r="B829" s="357">
        <f t="shared" ca="1" si="355"/>
        <v>37.500000000000199</v>
      </c>
      <c r="C829" s="342"/>
      <c r="D829" s="359">
        <f t="shared" ca="1" si="356"/>
        <v>-0.88603578588086174</v>
      </c>
      <c r="E829" s="360">
        <f t="shared" ca="1" si="357"/>
        <v>-6.1458763462861761</v>
      </c>
      <c r="F829" s="357">
        <f t="shared" ca="1" si="358"/>
        <v>6.2094166777324125</v>
      </c>
      <c r="G829" s="359">
        <f t="shared" ca="1" si="359"/>
        <v>29.312240698181565</v>
      </c>
      <c r="H829" s="360">
        <f t="shared" ca="1" si="360"/>
        <v>-122.19921284992861</v>
      </c>
      <c r="I829" s="357">
        <f t="shared" ca="1" si="361"/>
        <v>125.66564795476243</v>
      </c>
      <c r="J829" s="359">
        <f t="shared" ca="1" si="362"/>
        <v>1508.4448429232884</v>
      </c>
      <c r="K829" s="360">
        <f t="shared" ca="1" si="363"/>
        <v>1757.4522821537103</v>
      </c>
      <c r="L829" s="357">
        <f t="shared" ca="1" si="348"/>
        <v>2316.0406663504741</v>
      </c>
      <c r="M829" s="359">
        <f t="shared" ca="1" si="364"/>
        <v>-1.3353718280492044</v>
      </c>
      <c r="N829" s="357">
        <f t="shared" ca="1" si="365"/>
        <v>-76.511169827888892</v>
      </c>
      <c r="O829" s="343"/>
      <c r="P829" s="363">
        <f t="shared" ca="1" si="366"/>
        <v>23</v>
      </c>
      <c r="Q829" s="357">
        <f t="shared" ca="1" si="367"/>
        <v>0</v>
      </c>
      <c r="R829" s="359">
        <f t="shared" ca="1" si="368"/>
        <v>0</v>
      </c>
      <c r="S829" s="360">
        <f t="shared" ca="1" si="369"/>
        <v>9.637999999999975</v>
      </c>
      <c r="T829" s="357">
        <f t="shared" ca="1" si="349"/>
        <v>94.548779999999766</v>
      </c>
      <c r="U829" s="364">
        <f t="shared" ca="1" si="350"/>
        <v>0</v>
      </c>
      <c r="V829" s="359">
        <f t="shared" ca="1" si="351"/>
        <v>1.027101917290733</v>
      </c>
      <c r="W829" s="357">
        <f t="shared" ca="1" si="352"/>
        <v>36.71354383748595</v>
      </c>
      <c r="X829" s="343"/>
      <c r="Y829" s="367" t="str">
        <f t="shared" ca="1" si="370"/>
        <v/>
      </c>
      <c r="Z829" s="368" t="str">
        <f t="shared" ca="1" si="371"/>
        <v/>
      </c>
      <c r="AA829" s="369" t="str">
        <f t="shared" ca="1" si="372"/>
        <v/>
      </c>
      <c r="AB829" s="344"/>
      <c r="AC829" s="363" t="e">
        <f t="shared" ca="1" si="373"/>
        <v>#N/A</v>
      </c>
      <c r="AD829" s="376" t="e">
        <f t="shared" ca="1" si="374"/>
        <v>#N/A</v>
      </c>
      <c r="AE829" s="377" t="e">
        <f t="shared" ca="1" si="353"/>
        <v>#N/A</v>
      </c>
      <c r="AF829" s="344"/>
      <c r="AG829" s="359">
        <f t="shared" ca="1" si="375"/>
        <v>5.7654509875249893</v>
      </c>
      <c r="AH829" s="357">
        <f t="shared" ca="1" si="376"/>
        <v>-3.7697296406462182</v>
      </c>
    </row>
    <row r="830" spans="1:34" x14ac:dyDescent="0.25">
      <c r="A830" s="402">
        <f t="shared" ca="1" si="354"/>
        <v>0.1</v>
      </c>
      <c r="B830" s="357">
        <f t="shared" ca="1" si="355"/>
        <v>37.6000000000002</v>
      </c>
      <c r="C830" s="342"/>
      <c r="D830" s="359">
        <f t="shared" ca="1" si="356"/>
        <v>-0.88852945409223749</v>
      </c>
      <c r="E830" s="360">
        <f t="shared" ca="1" si="357"/>
        <v>-6.1058273643412067</v>
      </c>
      <c r="F830" s="357">
        <f t="shared" ca="1" si="358"/>
        <v>6.1701387661808171</v>
      </c>
      <c r="G830" s="359">
        <f t="shared" ca="1" si="359"/>
        <v>29.223387752772343</v>
      </c>
      <c r="H830" s="360">
        <f t="shared" ca="1" si="360"/>
        <v>-122.80979558636274</v>
      </c>
      <c r="I830" s="357">
        <f t="shared" ca="1" si="361"/>
        <v>126.23886993993999</v>
      </c>
      <c r="J830" s="359">
        <f t="shared" ca="1" si="362"/>
        <v>1511.3716243458362</v>
      </c>
      <c r="K830" s="360">
        <f t="shared" ca="1" si="363"/>
        <v>1745.2018317318957</v>
      </c>
      <c r="L830" s="357">
        <f t="shared" ca="1" si="348"/>
        <v>2308.6735629703339</v>
      </c>
      <c r="M830" s="359">
        <f t="shared" ca="1" si="364"/>
        <v>-1.337184455656973</v>
      </c>
      <c r="N830" s="357">
        <f t="shared" ca="1" si="365"/>
        <v>-76.615025739642931</v>
      </c>
      <c r="O830" s="343"/>
      <c r="P830" s="363">
        <f t="shared" ca="1" si="366"/>
        <v>23</v>
      </c>
      <c r="Q830" s="357">
        <f t="shared" ca="1" si="367"/>
        <v>0</v>
      </c>
      <c r="R830" s="359">
        <f t="shared" ca="1" si="368"/>
        <v>0</v>
      </c>
      <c r="S830" s="360">
        <f t="shared" ca="1" si="369"/>
        <v>9.637999999999975</v>
      </c>
      <c r="T830" s="357">
        <f t="shared" ca="1" si="349"/>
        <v>94.548779999999766</v>
      </c>
      <c r="U830" s="364">
        <f t="shared" ca="1" si="350"/>
        <v>0</v>
      </c>
      <c r="V830" s="359">
        <f t="shared" ca="1" si="351"/>
        <v>1.0283706690409413</v>
      </c>
      <c r="W830" s="357">
        <f t="shared" ca="1" si="352"/>
        <v>37.095010259151209</v>
      </c>
      <c r="X830" s="343"/>
      <c r="Y830" s="367" t="str">
        <f t="shared" ca="1" si="370"/>
        <v/>
      </c>
      <c r="Z830" s="368" t="str">
        <f t="shared" ca="1" si="371"/>
        <v/>
      </c>
      <c r="AA830" s="369" t="str">
        <f t="shared" ca="1" si="372"/>
        <v/>
      </c>
      <c r="AB830" s="344"/>
      <c r="AC830" s="363" t="e">
        <f t="shared" ca="1" si="373"/>
        <v>#N/A</v>
      </c>
      <c r="AD830" s="376" t="e">
        <f t="shared" ca="1" si="374"/>
        <v>#N/A</v>
      </c>
      <c r="AE830" s="377" t="e">
        <f t="shared" ca="1" si="353"/>
        <v>#N/A</v>
      </c>
      <c r="AF830" s="344"/>
      <c r="AG830" s="359">
        <f t="shared" ca="1" si="375"/>
        <v>5.7301459882934118</v>
      </c>
      <c r="AH830" s="357">
        <f t="shared" ca="1" si="376"/>
        <v>-3.809249204968463</v>
      </c>
    </row>
    <row r="831" spans="1:34" x14ac:dyDescent="0.25">
      <c r="A831" s="402">
        <f t="shared" ca="1" si="354"/>
        <v>0.1</v>
      </c>
      <c r="B831" s="357">
        <f t="shared" ca="1" si="355"/>
        <v>37.700000000000202</v>
      </c>
      <c r="C831" s="342"/>
      <c r="D831" s="359">
        <f t="shared" ca="1" si="356"/>
        <v>-0.89097606204129132</v>
      </c>
      <c r="E831" s="360">
        <f t="shared" ca="1" si="357"/>
        <v>-6.0657185711210708</v>
      </c>
      <c r="F831" s="357">
        <f t="shared" ca="1" si="358"/>
        <v>6.1308058301640624</v>
      </c>
      <c r="G831" s="359">
        <f t="shared" ca="1" si="359"/>
        <v>29.134290146568215</v>
      </c>
      <c r="H831" s="360">
        <f t="shared" ca="1" si="360"/>
        <v>-123.41636744347484</v>
      </c>
      <c r="I831" s="357">
        <f t="shared" ca="1" si="361"/>
        <v>126.80854314787793</v>
      </c>
      <c r="J831" s="359">
        <f t="shared" ca="1" si="362"/>
        <v>1514.2895082408031</v>
      </c>
      <c r="K831" s="360">
        <f t="shared" ca="1" si="363"/>
        <v>1732.8905235804039</v>
      </c>
      <c r="L831" s="357">
        <f t="shared" ca="1" si="348"/>
        <v>2301.3001285106075</v>
      </c>
      <c r="M831" s="359">
        <f t="shared" ca="1" si="364"/>
        <v>-1.3389753014406669</v>
      </c>
      <c r="N831" s="357">
        <f t="shared" ca="1" si="365"/>
        <v>-76.717633644807393</v>
      </c>
      <c r="O831" s="343"/>
      <c r="P831" s="363">
        <f t="shared" ca="1" si="366"/>
        <v>23</v>
      </c>
      <c r="Q831" s="357">
        <f t="shared" ca="1" si="367"/>
        <v>0</v>
      </c>
      <c r="R831" s="359">
        <f t="shared" ca="1" si="368"/>
        <v>0</v>
      </c>
      <c r="S831" s="360">
        <f t="shared" ca="1" si="369"/>
        <v>9.637999999999975</v>
      </c>
      <c r="T831" s="357">
        <f t="shared" ca="1" si="349"/>
        <v>94.548779999999766</v>
      </c>
      <c r="U831" s="364">
        <f t="shared" ca="1" si="350"/>
        <v>0</v>
      </c>
      <c r="V831" s="359">
        <f t="shared" ca="1" si="351"/>
        <v>1.0296471647126051</v>
      </c>
      <c r="W831" s="357">
        <f t="shared" ca="1" si="352"/>
        <v>37.47702186375399</v>
      </c>
      <c r="X831" s="343"/>
      <c r="Y831" s="367" t="str">
        <f t="shared" ca="1" si="370"/>
        <v/>
      </c>
      <c r="Z831" s="368" t="str">
        <f t="shared" ca="1" si="371"/>
        <v/>
      </c>
      <c r="AA831" s="369" t="str">
        <f t="shared" ca="1" si="372"/>
        <v/>
      </c>
      <c r="AB831" s="344"/>
      <c r="AC831" s="363" t="e">
        <f t="shared" ca="1" si="373"/>
        <v>#N/A</v>
      </c>
      <c r="AD831" s="376" t="e">
        <f t="shared" ca="1" si="374"/>
        <v>#N/A</v>
      </c>
      <c r="AE831" s="377" t="e">
        <f t="shared" ca="1" si="353"/>
        <v>#N/A</v>
      </c>
      <c r="AF831" s="344"/>
      <c r="AG831" s="359">
        <f t="shared" ca="1" si="375"/>
        <v>5.6946986233822905</v>
      </c>
      <c r="AH831" s="357">
        <f t="shared" ca="1" si="376"/>
        <v>-3.8488286220327148</v>
      </c>
    </row>
    <row r="832" spans="1:34" x14ac:dyDescent="0.25">
      <c r="A832" s="402">
        <f t="shared" ca="1" si="354"/>
        <v>0.1</v>
      </c>
      <c r="B832" s="357">
        <f t="shared" ca="1" si="355"/>
        <v>37.800000000000203</v>
      </c>
      <c r="C832" s="342"/>
      <c r="D832" s="359">
        <f t="shared" ca="1" si="356"/>
        <v>-0.89337558193480704</v>
      </c>
      <c r="E832" s="360">
        <f t="shared" ca="1" si="357"/>
        <v>-6.0255532696896115</v>
      </c>
      <c r="F832" s="357">
        <f t="shared" ca="1" si="358"/>
        <v>6.0914211918290899</v>
      </c>
      <c r="G832" s="359">
        <f t="shared" ca="1" si="359"/>
        <v>29.044952588374734</v>
      </c>
      <c r="H832" s="360">
        <f t="shared" ca="1" si="360"/>
        <v>-124.01892277044381</v>
      </c>
      <c r="I832" s="357">
        <f t="shared" ca="1" si="361"/>
        <v>127.37465397794901</v>
      </c>
      <c r="J832" s="359">
        <f t="shared" ca="1" si="362"/>
        <v>1517.1984703775502</v>
      </c>
      <c r="K832" s="360">
        <f t="shared" ca="1" si="363"/>
        <v>1720.5187590697078</v>
      </c>
      <c r="L832" s="357">
        <f t="shared" ca="1" si="348"/>
        <v>2293.9215328399414</v>
      </c>
      <c r="M832" s="359">
        <f t="shared" ca="1" si="364"/>
        <v>-1.340744767124938</v>
      </c>
      <c r="N832" s="357">
        <f t="shared" ca="1" si="365"/>
        <v>-76.819016560509354</v>
      </c>
      <c r="O832" s="343"/>
      <c r="P832" s="363">
        <f t="shared" ca="1" si="366"/>
        <v>23</v>
      </c>
      <c r="Q832" s="357">
        <f t="shared" ca="1" si="367"/>
        <v>0</v>
      </c>
      <c r="R832" s="359">
        <f t="shared" ca="1" si="368"/>
        <v>0</v>
      </c>
      <c r="S832" s="360">
        <f t="shared" ca="1" si="369"/>
        <v>9.637999999999975</v>
      </c>
      <c r="T832" s="357">
        <f t="shared" ca="1" si="349"/>
        <v>94.548779999999766</v>
      </c>
      <c r="U832" s="364">
        <f t="shared" ca="1" si="350"/>
        <v>0</v>
      </c>
      <c r="V832" s="359">
        <f t="shared" ca="1" si="351"/>
        <v>1.0309313865162339</v>
      </c>
      <c r="W832" s="357">
        <f t="shared" ca="1" si="352"/>
        <v>37.859547082940189</v>
      </c>
      <c r="X832" s="343"/>
      <c r="Y832" s="367" t="str">
        <f t="shared" ca="1" si="370"/>
        <v/>
      </c>
      <c r="Z832" s="368" t="str">
        <f t="shared" ca="1" si="371"/>
        <v/>
      </c>
      <c r="AA832" s="369" t="str">
        <f t="shared" ca="1" si="372"/>
        <v/>
      </c>
      <c r="AB832" s="344"/>
      <c r="AC832" s="363" t="e">
        <f t="shared" ca="1" si="373"/>
        <v>#N/A</v>
      </c>
      <c r="AD832" s="376" t="e">
        <f t="shared" ca="1" si="374"/>
        <v>#N/A</v>
      </c>
      <c r="AE832" s="377" t="e">
        <f t="shared" ca="1" si="353"/>
        <v>#N/A</v>
      </c>
      <c r="AF832" s="344"/>
      <c r="AG832" s="359">
        <f t="shared" ca="1" si="375"/>
        <v>5.6591142454135639</v>
      </c>
      <c r="AH832" s="357">
        <f t="shared" ca="1" si="376"/>
        <v>-3.8884646050792786</v>
      </c>
    </row>
    <row r="833" spans="1:34" x14ac:dyDescent="0.25">
      <c r="A833" s="402">
        <f t="shared" ca="1" si="354"/>
        <v>0.1</v>
      </c>
      <c r="B833" s="357">
        <f t="shared" ca="1" si="355"/>
        <v>37.900000000000205</v>
      </c>
      <c r="C833" s="342"/>
      <c r="D833" s="359">
        <f t="shared" ca="1" si="356"/>
        <v>-0.89572799300026329</v>
      </c>
      <c r="E833" s="360">
        <f t="shared" ca="1" si="357"/>
        <v>-5.9853347522527187</v>
      </c>
      <c r="F833" s="357">
        <f t="shared" ca="1" si="358"/>
        <v>6.051988163733335</v>
      </c>
      <c r="G833" s="359">
        <f t="shared" ca="1" si="359"/>
        <v>28.955379789074708</v>
      </c>
      <c r="H833" s="360">
        <f t="shared" ca="1" si="360"/>
        <v>-124.61745624566908</v>
      </c>
      <c r="I833" s="357">
        <f t="shared" ca="1" si="361"/>
        <v>127.93718935427182</v>
      </c>
      <c r="J833" s="359">
        <f t="shared" ca="1" si="362"/>
        <v>1520.0984869964227</v>
      </c>
      <c r="K833" s="360">
        <f t="shared" ca="1" si="363"/>
        <v>1708.0869401189022</v>
      </c>
      <c r="L833" s="357">
        <f t="shared" ca="1" si="348"/>
        <v>2286.5389577205037</v>
      </c>
      <c r="M833" s="359">
        <f t="shared" ca="1" si="364"/>
        <v>-1.3424932447449367</v>
      </c>
      <c r="N833" s="357">
        <f t="shared" ca="1" si="365"/>
        <v>-76.919196948708361</v>
      </c>
      <c r="O833" s="343"/>
      <c r="P833" s="363">
        <f t="shared" ca="1" si="366"/>
        <v>23</v>
      </c>
      <c r="Q833" s="357">
        <f t="shared" ca="1" si="367"/>
        <v>0</v>
      </c>
      <c r="R833" s="359">
        <f t="shared" ca="1" si="368"/>
        <v>0</v>
      </c>
      <c r="S833" s="360">
        <f t="shared" ca="1" si="369"/>
        <v>9.637999999999975</v>
      </c>
      <c r="T833" s="357">
        <f t="shared" ca="1" si="349"/>
        <v>94.548779999999766</v>
      </c>
      <c r="U833" s="364">
        <f t="shared" ca="1" si="350"/>
        <v>0</v>
      </c>
      <c r="V833" s="359">
        <f t="shared" ca="1" si="351"/>
        <v>1.0322233165992478</v>
      </c>
      <c r="W833" s="357">
        <f t="shared" ca="1" si="352"/>
        <v>38.24255446217088</v>
      </c>
      <c r="X833" s="343"/>
      <c r="Y833" s="367" t="str">
        <f t="shared" ca="1" si="370"/>
        <v/>
      </c>
      <c r="Z833" s="368" t="str">
        <f t="shared" ca="1" si="371"/>
        <v/>
      </c>
      <c r="AA833" s="369" t="str">
        <f t="shared" ca="1" si="372"/>
        <v/>
      </c>
      <c r="AB833" s="344"/>
      <c r="AC833" s="363" t="e">
        <f t="shared" ca="1" si="373"/>
        <v>#N/A</v>
      </c>
      <c r="AD833" s="376" t="e">
        <f t="shared" ca="1" si="374"/>
        <v>#N/A</v>
      </c>
      <c r="AE833" s="377" t="e">
        <f t="shared" ca="1" si="353"/>
        <v>#N/A</v>
      </c>
      <c r="AF833" s="344"/>
      <c r="AG833" s="359">
        <f t="shared" ca="1" si="375"/>
        <v>5.6233981324896263</v>
      </c>
      <c r="AH833" s="357">
        <f t="shared" ca="1" si="376"/>
        <v>-3.9281538787030801</v>
      </c>
    </row>
    <row r="834" spans="1:34" x14ac:dyDescent="0.25">
      <c r="A834" s="402">
        <f t="shared" ca="1" si="354"/>
        <v>0.1</v>
      </c>
      <c r="B834" s="357">
        <f t="shared" ca="1" si="355"/>
        <v>38.000000000000206</v>
      </c>
      <c r="C834" s="342"/>
      <c r="D834" s="359">
        <f t="shared" ca="1" si="356"/>
        <v>-0.898033281403391</v>
      </c>
      <c r="E834" s="360">
        <f t="shared" ca="1" si="357"/>
        <v>-5.9450662996771602</v>
      </c>
      <c r="F834" s="357">
        <f t="shared" ca="1" si="358"/>
        <v>6.0125100483961962</v>
      </c>
      <c r="G834" s="359">
        <f t="shared" ca="1" si="359"/>
        <v>28.865576460934371</v>
      </c>
      <c r="H834" s="360">
        <f t="shared" ca="1" si="360"/>
        <v>-125.21196287563679</v>
      </c>
      <c r="I834" s="357">
        <f t="shared" ca="1" si="361"/>
        <v>128.49613671854846</v>
      </c>
      <c r="J834" s="359">
        <f t="shared" ca="1" si="362"/>
        <v>1522.9895348089231</v>
      </c>
      <c r="K834" s="360">
        <f t="shared" ca="1" si="363"/>
        <v>1695.5954691628369</v>
      </c>
      <c r="L834" s="357">
        <f t="shared" ca="1" si="348"/>
        <v>2279.1535968826324</v>
      </c>
      <c r="M834" s="359">
        <f t="shared" ca="1" si="364"/>
        <v>-1.3442211169280258</v>
      </c>
      <c r="N834" s="357">
        <f t="shared" ca="1" si="365"/>
        <v>-77.018196732337415</v>
      </c>
      <c r="O834" s="343"/>
      <c r="P834" s="363">
        <f t="shared" ca="1" si="366"/>
        <v>23</v>
      </c>
      <c r="Q834" s="357">
        <f t="shared" ca="1" si="367"/>
        <v>0</v>
      </c>
      <c r="R834" s="359">
        <f t="shared" ca="1" si="368"/>
        <v>0</v>
      </c>
      <c r="S834" s="360">
        <f t="shared" ca="1" si="369"/>
        <v>9.637999999999975</v>
      </c>
      <c r="T834" s="357">
        <f t="shared" ca="1" si="349"/>
        <v>94.548779999999766</v>
      </c>
      <c r="U834" s="364">
        <f t="shared" ca="1" si="350"/>
        <v>0</v>
      </c>
      <c r="V834" s="359">
        <f t="shared" ca="1" si="351"/>
        <v>1.0335229370471275</v>
      </c>
      <c r="W834" s="357">
        <f t="shared" ca="1" si="352"/>
        <v>38.626012665058923</v>
      </c>
      <c r="X834" s="343"/>
      <c r="Y834" s="367" t="str">
        <f t="shared" ca="1" si="370"/>
        <v/>
      </c>
      <c r="Z834" s="368" t="str">
        <f t="shared" ca="1" si="371"/>
        <v/>
      </c>
      <c r="AA834" s="369" t="str">
        <f t="shared" ca="1" si="372"/>
        <v/>
      </c>
      <c r="AB834" s="344"/>
      <c r="AC834" s="363">
        <f t="shared" ca="1" si="373"/>
        <v>38.000000000000206</v>
      </c>
      <c r="AD834" s="376">
        <f t="shared" ca="1" si="374"/>
        <v>1522.9895348089231</v>
      </c>
      <c r="AE834" s="377" t="e">
        <f t="shared" ca="1" si="353"/>
        <v>#N/A</v>
      </c>
      <c r="AF834" s="344"/>
      <c r="AG834" s="359">
        <f t="shared" ca="1" si="375"/>
        <v>5.5875554899978521</v>
      </c>
      <c r="AH834" s="357">
        <f t="shared" ca="1" si="376"/>
        <v>-3.9678931793080494</v>
      </c>
    </row>
    <row r="835" spans="1:34" x14ac:dyDescent="0.25">
      <c r="A835" s="402">
        <f t="shared" ca="1" si="354"/>
        <v>0.1</v>
      </c>
      <c r="B835" s="357">
        <f t="shared" ca="1" si="355"/>
        <v>38.100000000000207</v>
      </c>
      <c r="C835" s="342"/>
      <c r="D835" s="359">
        <f t="shared" ca="1" si="356"/>
        <v>-0.9002914401665747</v>
      </c>
      <c r="E835" s="360">
        <f t="shared" ca="1" si="357"/>
        <v>-5.9047511810148059</v>
      </c>
      <c r="F835" s="357">
        <f t="shared" ca="1" si="358"/>
        <v>5.9729901378566623</v>
      </c>
      <c r="G835" s="359">
        <f t="shared" ca="1" si="359"/>
        <v>28.775547316917713</v>
      </c>
      <c r="H835" s="360">
        <f t="shared" ca="1" si="360"/>
        <v>-125.80243799373827</v>
      </c>
      <c r="I835" s="357">
        <f t="shared" ca="1" si="361"/>
        <v>129.05148402306938</v>
      </c>
      <c r="J835" s="359">
        <f t="shared" ca="1" si="362"/>
        <v>1525.8715909978157</v>
      </c>
      <c r="K835" s="360">
        <f t="shared" ca="1" si="363"/>
        <v>1683.0447491193681</v>
      </c>
      <c r="L835" s="357">
        <f t="shared" ca="1" si="348"/>
        <v>2271.7666560966341</v>
      </c>
      <c r="M835" s="359">
        <f t="shared" ca="1" si="364"/>
        <v>-1.3459287571660141</v>
      </c>
      <c r="N835" s="357">
        <f t="shared" ca="1" si="365"/>
        <v>-77.116037310900865</v>
      </c>
      <c r="O835" s="343"/>
      <c r="P835" s="363">
        <f t="shared" ca="1" si="366"/>
        <v>23</v>
      </c>
      <c r="Q835" s="357">
        <f t="shared" ca="1" si="367"/>
        <v>0</v>
      </c>
      <c r="R835" s="359">
        <f t="shared" ca="1" si="368"/>
        <v>0</v>
      </c>
      <c r="S835" s="360">
        <f t="shared" ca="1" si="369"/>
        <v>9.637999999999975</v>
      </c>
      <c r="T835" s="357">
        <f t="shared" ca="1" si="349"/>
        <v>94.548779999999766</v>
      </c>
      <c r="U835" s="364">
        <f t="shared" ca="1" si="350"/>
        <v>0</v>
      </c>
      <c r="V835" s="359">
        <f t="shared" ca="1" si="351"/>
        <v>1.0348302298845771</v>
      </c>
      <c r="W835" s="357">
        <f t="shared" ca="1" si="352"/>
        <v>39.009890477661777</v>
      </c>
      <c r="X835" s="343"/>
      <c r="Y835" s="367" t="str">
        <f t="shared" ca="1" si="370"/>
        <v/>
      </c>
      <c r="Z835" s="368" t="str">
        <f t="shared" ca="1" si="371"/>
        <v/>
      </c>
      <c r="AA835" s="369" t="str">
        <f t="shared" ca="1" si="372"/>
        <v/>
      </c>
      <c r="AB835" s="344"/>
      <c r="AC835" s="363" t="e">
        <f t="shared" ca="1" si="373"/>
        <v>#N/A</v>
      </c>
      <c r="AD835" s="376" t="e">
        <f t="shared" ca="1" si="374"/>
        <v>#N/A</v>
      </c>
      <c r="AE835" s="377" t="e">
        <f t="shared" ca="1" si="353"/>
        <v>#N/A</v>
      </c>
      <c r="AF835" s="344"/>
      <c r="AG835" s="359">
        <f t="shared" ca="1" si="375"/>
        <v>5.5515914523278589</v>
      </c>
      <c r="AH835" s="357">
        <f t="shared" ca="1" si="376"/>
        <v>-4.0076792555570684</v>
      </c>
    </row>
    <row r="836" spans="1:34" x14ac:dyDescent="0.25">
      <c r="A836" s="402">
        <f t="shared" ca="1" si="354"/>
        <v>0.1</v>
      </c>
      <c r="B836" s="357">
        <f t="shared" ca="1" si="355"/>
        <v>38.200000000000209</v>
      </c>
      <c r="C836" s="342"/>
      <c r="D836" s="359">
        <f t="shared" ca="1" si="356"/>
        <v>-0.90250246908806087</v>
      </c>
      <c r="E836" s="360">
        <f t="shared" ca="1" si="357"/>
        <v>-5.8643926530323274</v>
      </c>
      <c r="F836" s="357">
        <f t="shared" ca="1" si="358"/>
        <v>5.9334317132372547</v>
      </c>
      <c r="G836" s="359">
        <f t="shared" ca="1" si="359"/>
        <v>28.685297070008907</v>
      </c>
      <c r="H836" s="360">
        <f t="shared" ca="1" si="360"/>
        <v>-126.38887725904149</v>
      </c>
      <c r="I836" s="357">
        <f t="shared" ca="1" si="361"/>
        <v>129.60321972387769</v>
      </c>
      <c r="J836" s="359">
        <f t="shared" ca="1" si="362"/>
        <v>1528.7446332171621</v>
      </c>
      <c r="K836" s="360">
        <f t="shared" ca="1" si="363"/>
        <v>1670.4351833567291</v>
      </c>
      <c r="L836" s="357">
        <f t="shared" ref="L836:L899" ca="1" si="377">SQRT(pos_x^2+pos_z^2)</f>
        <v>2264.3793532414802</v>
      </c>
      <c r="M836" s="359">
        <f t="shared" ca="1" si="364"/>
        <v>-1.3476165300782739</v>
      </c>
      <c r="N836" s="357">
        <f t="shared" ca="1" si="365"/>
        <v>-77.212739575549847</v>
      </c>
      <c r="O836" s="343"/>
      <c r="P836" s="363">
        <f t="shared" ca="1" si="366"/>
        <v>23</v>
      </c>
      <c r="Q836" s="357">
        <f t="shared" ca="1" si="367"/>
        <v>0</v>
      </c>
      <c r="R836" s="359">
        <f t="shared" ca="1" si="368"/>
        <v>0</v>
      </c>
      <c r="S836" s="360">
        <f t="shared" ca="1" si="369"/>
        <v>9.637999999999975</v>
      </c>
      <c r="T836" s="357">
        <f t="shared" ref="T836:T899" ca="1" si="378">m*g</f>
        <v>94.548779999999766</v>
      </c>
      <c r="U836" s="364">
        <f t="shared" ref="U836:U899" ca="1" si="379">IF(pos_xz&lt;L_rampe,Poids*COS(Beta),0)</f>
        <v>0</v>
      </c>
      <c r="V836" s="359">
        <f t="shared" ref="V836:V899" ca="1" si="380">Rho_moyen*(20000-Alt_rampe-pos_z)/(20000+Alt_rampe+pos_z)</f>
        <v>1.0361451770766861</v>
      </c>
      <c r="W836" s="357">
        <f t="shared" ref="W836:W899" ca="1" si="381">1/2*Rho*Sref*Cx*vit_xz^2</f>
        <v>39.394156812729619</v>
      </c>
      <c r="X836" s="343"/>
      <c r="Y836" s="367" t="str">
        <f t="shared" ca="1" si="370"/>
        <v/>
      </c>
      <c r="Z836" s="368" t="str">
        <f t="shared" ca="1" si="371"/>
        <v/>
      </c>
      <c r="AA836" s="369" t="str">
        <f t="shared" ca="1" si="372"/>
        <v/>
      </c>
      <c r="AB836" s="344"/>
      <c r="AC836" s="363" t="e">
        <f t="shared" ca="1" si="373"/>
        <v>#N/A</v>
      </c>
      <c r="AD836" s="376" t="e">
        <f t="shared" ca="1" si="374"/>
        <v>#N/A</v>
      </c>
      <c r="AE836" s="377" t="e">
        <f t="shared" ref="AE836:AE899" ca="1" si="382">IF(t&lt;T_para, pos_z, NA())</f>
        <v>#N/A</v>
      </c>
      <c r="AF836" s="344"/>
      <c r="AG836" s="359">
        <f t="shared" ca="1" si="375"/>
        <v>5.5155110845057456</v>
      </c>
      <c r="AH836" s="357">
        <f t="shared" ca="1" si="376"/>
        <v>-4.0475088688173768</v>
      </c>
    </row>
    <row r="837" spans="1:34" x14ac:dyDescent="0.25">
      <c r="A837" s="402">
        <f t="shared" ref="A837:A900" ca="1" si="383">IF(B836+0.01&lt;=T_ini+ROUNDUP(Temps_fin_propu,0), 0.01, IF(K836&gt;0, 0.1, 0.0001))</f>
        <v>0.1</v>
      </c>
      <c r="B837" s="357">
        <f t="shared" ref="B837:B900" ca="1" si="384">B836+pas</f>
        <v>38.30000000000021</v>
      </c>
      <c r="C837" s="342"/>
      <c r="D837" s="359">
        <f t="shared" ref="D837:D900" ca="1" si="385">IF(AND(L836&lt;L_rampe,Poussee&lt;Poids*SIN(M836)),0,(-W836+Poussee)/m*COS(M836)-U836/m*SIN(M836))</f>
        <v>-0.90466637466189193</v>
      </c>
      <c r="E837" s="360">
        <f t="shared" ref="E837:E900" ca="1" si="386">IF(AND(L836&lt;L_rampe,Poussee&lt;Poids*SIN(M836)),0,(-W836+Poussee)/m*SIN(M836)+U836/m*COS(M836)-Poids/m)</f>
        <v>-5.8239939597464163</v>
      </c>
      <c r="F837" s="357">
        <f t="shared" ref="F837:F900" ca="1" si="387">SQRT(acc_x^2+acc_z^2)</f>
        <v>5.8938380443143021</v>
      </c>
      <c r="G837" s="359">
        <f t="shared" ref="G837:G900" ca="1" si="388">G836+acc_x*pas</f>
        <v>28.594830432542718</v>
      </c>
      <c r="H837" s="360">
        <f t="shared" ref="H837:H900" ca="1" si="389">H836+acc_z*pas</f>
        <v>-126.97127665501614</v>
      </c>
      <c r="I837" s="357">
        <f t="shared" ref="I837:I900" ca="1" si="390">SQRT(vit_x^2+vit_z^2)</f>
        <v>130.15133277408464</v>
      </c>
      <c r="J837" s="359">
        <f t="shared" ref="J837:J900" ca="1" si="391">J836+0.5*(vit_x+G836)*pas*(K836&gt;=0)</f>
        <v>1531.6086395922896</v>
      </c>
      <c r="K837" s="360">
        <f t="shared" ref="K837:K900" ca="1" si="392">K836+0.5*(vit_z+H836)*pas</f>
        <v>1657.7671756610262</v>
      </c>
      <c r="L837" s="357">
        <f t="shared" ca="1" si="377"/>
        <v>2256.992918370122</v>
      </c>
      <c r="M837" s="359">
        <f t="shared" ref="M837:M900" ca="1" si="393">IF(AND(L836&gt;L_rampe,G837&gt;0),ATAN2(G837,H837),$M$4)</f>
        <v>-1.3492847916660766</v>
      </c>
      <c r="N837" s="357">
        <f t="shared" ref="N837:N900" ca="1" si="394">DEGREES(Beta)</f>
        <v>-77.30832392365474</v>
      </c>
      <c r="O837" s="343"/>
      <c r="P837" s="363">
        <f t="shared" ref="P837:P900" ca="1" si="395">MATCH(t-pas/2-T_ini,CdP_t)</f>
        <v>23</v>
      </c>
      <c r="Q837" s="357">
        <f t="shared" ref="Q837:Q900" ca="1" si="396">(INDEX(CdP,2,i_P+1)-INDEX(CdP,2,i_P+0))/(INDEX(CdP,1,i_P+1)-INDEX(CdP,1,i_P+0))*(t-pas/2-T_ini-INDEX(CdP,1,i_P+0))+INDEX(CdP,2,i_P+0)</f>
        <v>0</v>
      </c>
      <c r="R837" s="359">
        <f t="shared" ref="R837:R900" ca="1" si="397">Poussee/(g*ISP)</f>
        <v>0</v>
      </c>
      <c r="S837" s="360">
        <f t="shared" ref="S837:S900" ca="1" si="398">S836-Débit*pas</f>
        <v>9.637999999999975</v>
      </c>
      <c r="T837" s="357">
        <f t="shared" ca="1" si="378"/>
        <v>94.548779999999766</v>
      </c>
      <c r="U837" s="364">
        <f t="shared" ca="1" si="379"/>
        <v>0</v>
      </c>
      <c r="V837" s="359">
        <f t="shared" ca="1" si="380"/>
        <v>1.037467760530095</v>
      </c>
      <c r="W837" s="357">
        <f t="shared" ca="1" si="381"/>
        <v>39.778780713907281</v>
      </c>
      <c r="X837" s="343"/>
      <c r="Y837" s="367" t="str">
        <f t="shared" ref="Y837:Y900" ca="1" si="399">IF(AND(pos_z&lt;=0,K836&gt;0),"Impact balistique","") &amp; IF(AND(H838&lt;0,vit_z&gt;=0),"Apogée","") &amp; IF(AND(Poussee=0,Q836&gt;0),"Fin de propulsion","") &amp; IF(AND(L838&gt;L_rampe,pos_xz&lt;=L_rampe),"Sortie de rampe","")</f>
        <v/>
      </c>
      <c r="Z837" s="368" t="str">
        <f t="shared" ref="Z837:Z900" ca="1" si="400">IF(ABS(t-T_para)&lt;pas/2,"Para","")</f>
        <v/>
      </c>
      <c r="AA837" s="369" t="str">
        <f t="shared" ref="AA837:AA900" ca="1" si="401">IF(ABS(t-T_satellite)&lt;pas/2,"Satellite","")</f>
        <v/>
      </c>
      <c r="AB837" s="344"/>
      <c r="AC837" s="363" t="e">
        <f t="shared" ref="AC837:AC900" ca="1" si="402">IF(ABS(t-ROUND(t,0))&lt;0.001,t,NA())</f>
        <v>#N/A</v>
      </c>
      <c r="AD837" s="376" t="e">
        <f t="shared" ref="AD837:AD900" ca="1" si="403">IF(ABS(t-ROUND(t,0))&lt;0.001,pos_x,NA())</f>
        <v>#N/A</v>
      </c>
      <c r="AE837" s="377" t="e">
        <f t="shared" ca="1" si="382"/>
        <v>#N/A</v>
      </c>
      <c r="AF837" s="344"/>
      <c r="AG837" s="359">
        <f t="shared" ref="AG837:AG900" ca="1" si="404">IF(AND(L836&lt;L_rampe,Poussee&lt;Poids*SIN(M836)),0,(-W836+Poussee)/m-Poids*SIN(M836)/m)</f>
        <v>5.4793193837493153</v>
      </c>
      <c r="AH837" s="357">
        <f t="shared" ref="AH837:AH900" ca="1" si="405">IF(AND(L836&lt;L_rampe,Poussee&lt;Poids*SIN(M836)), g*SIN(M836), (-W836+Poussee)/m)</f>
        <v>-4.0873787936013404</v>
      </c>
    </row>
    <row r="838" spans="1:34" x14ac:dyDescent="0.25">
      <c r="A838" s="402">
        <f t="shared" ca="1" si="383"/>
        <v>0.1</v>
      </c>
      <c r="B838" s="357">
        <f t="shared" ca="1" si="384"/>
        <v>38.400000000000212</v>
      </c>
      <c r="C838" s="342"/>
      <c r="D838" s="359">
        <f t="shared" ca="1" si="385"/>
        <v>-0.9067831699985277</v>
      </c>
      <c r="E838" s="360">
        <f t="shared" ca="1" si="386"/>
        <v>-5.78355833196464</v>
      </c>
      <c r="F838" s="357">
        <f t="shared" ca="1" si="387"/>
        <v>5.8542123890947266</v>
      </c>
      <c r="G838" s="359">
        <f t="shared" ca="1" si="388"/>
        <v>28.504152115542865</v>
      </c>
      <c r="H838" s="360">
        <f t="shared" ca="1" si="389"/>
        <v>-127.54963248821261</v>
      </c>
      <c r="I838" s="357">
        <f t="shared" ca="1" si="390"/>
        <v>130.69581261732952</v>
      </c>
      <c r="J838" s="359">
        <f t="shared" ca="1" si="391"/>
        <v>1534.4635887196939</v>
      </c>
      <c r="K838" s="360">
        <f t="shared" ca="1" si="392"/>
        <v>1645.0411302038647</v>
      </c>
      <c r="L838" s="357">
        <f t="shared" ca="1" si="377"/>
        <v>2249.6085937711318</v>
      </c>
      <c r="M838" s="359">
        <f t="shared" ca="1" si="393"/>
        <v>-1.3509338895584835</v>
      </c>
      <c r="N838" s="357">
        <f t="shared" ca="1" si="394"/>
        <v>-77.402810272893575</v>
      </c>
      <c r="O838" s="343"/>
      <c r="P838" s="363">
        <f t="shared" ca="1" si="395"/>
        <v>23</v>
      </c>
      <c r="Q838" s="357">
        <f t="shared" ca="1" si="396"/>
        <v>0</v>
      </c>
      <c r="R838" s="359">
        <f t="shared" ca="1" si="397"/>
        <v>0</v>
      </c>
      <c r="S838" s="360">
        <f t="shared" ca="1" si="398"/>
        <v>9.637999999999975</v>
      </c>
      <c r="T838" s="357">
        <f t="shared" ca="1" si="378"/>
        <v>94.548779999999766</v>
      </c>
      <c r="U838" s="364">
        <f t="shared" ca="1" si="379"/>
        <v>0</v>
      </c>
      <c r="V838" s="359">
        <f t="shared" ca="1" si="380"/>
        <v>1.0387979620941703</v>
      </c>
      <c r="W838" s="357">
        <f t="shared" ca="1" si="381"/>
        <v>40.163731359889702</v>
      </c>
      <c r="X838" s="343"/>
      <c r="Y838" s="367" t="str">
        <f t="shared" ca="1" si="399"/>
        <v/>
      </c>
      <c r="Z838" s="368" t="str">
        <f t="shared" ca="1" si="400"/>
        <v/>
      </c>
      <c r="AA838" s="369" t="str">
        <f t="shared" ca="1" si="401"/>
        <v/>
      </c>
      <c r="AB838" s="344"/>
      <c r="AC838" s="363" t="e">
        <f t="shared" ca="1" si="402"/>
        <v>#N/A</v>
      </c>
      <c r="AD838" s="376" t="e">
        <f t="shared" ca="1" si="403"/>
        <v>#N/A</v>
      </c>
      <c r="AE838" s="377" t="e">
        <f t="shared" ca="1" si="382"/>
        <v>#N/A</v>
      </c>
      <c r="AF838" s="344"/>
      <c r="AG838" s="359">
        <f t="shared" ca="1" si="404"/>
        <v>5.4430212809482077</v>
      </c>
      <c r="AH838" s="357">
        <f t="shared" ca="1" si="405"/>
        <v>-4.1272858180024263</v>
      </c>
    </row>
    <row r="839" spans="1:34" x14ac:dyDescent="0.25">
      <c r="A839" s="402">
        <f t="shared" ca="1" si="383"/>
        <v>0.1</v>
      </c>
      <c r="B839" s="357">
        <f t="shared" ca="1" si="384"/>
        <v>38.500000000000213</v>
      </c>
      <c r="C839" s="342"/>
      <c r="D839" s="359">
        <f t="shared" ca="1" si="385"/>
        <v>-0.90885287474608889</v>
      </c>
      <c r="E839" s="360">
        <f t="shared" ca="1" si="386"/>
        <v>-5.7430889868319337</v>
      </c>
      <c r="F839" s="357">
        <f t="shared" ca="1" si="387"/>
        <v>5.814557993399367</v>
      </c>
      <c r="G839" s="359">
        <f t="shared" ca="1" si="388"/>
        <v>28.413266828068256</v>
      </c>
      <c r="H839" s="360">
        <f t="shared" ca="1" si="389"/>
        <v>-128.12394138689581</v>
      </c>
      <c r="I839" s="357">
        <f t="shared" ca="1" si="390"/>
        <v>131.23664918137661</v>
      </c>
      <c r="J839" s="359">
        <f t="shared" ca="1" si="391"/>
        <v>1537.3094596668745</v>
      </c>
      <c r="K839" s="360">
        <f t="shared" ca="1" si="392"/>
        <v>1632.2574515101091</v>
      </c>
      <c r="L839" s="357">
        <f t="shared" ca="1" si="377"/>
        <v>2242.2276340263793</v>
      </c>
      <c r="M839" s="359">
        <f t="shared" ca="1" si="393"/>
        <v>-1.3525641632500982</v>
      </c>
      <c r="N839" s="357">
        <f t="shared" ca="1" si="394"/>
        <v>-77.496218074874307</v>
      </c>
      <c r="O839" s="343"/>
      <c r="P839" s="363">
        <f t="shared" ca="1" si="395"/>
        <v>23</v>
      </c>
      <c r="Q839" s="357">
        <f t="shared" ca="1" si="396"/>
        <v>0</v>
      </c>
      <c r="R839" s="359">
        <f t="shared" ca="1" si="397"/>
        <v>0</v>
      </c>
      <c r="S839" s="360">
        <f t="shared" ca="1" si="398"/>
        <v>9.637999999999975</v>
      </c>
      <c r="T839" s="357">
        <f t="shared" ca="1" si="378"/>
        <v>94.548779999999766</v>
      </c>
      <c r="U839" s="364">
        <f t="shared" ca="1" si="379"/>
        <v>0</v>
      </c>
      <c r="V839" s="359">
        <f t="shared" ca="1" si="380"/>
        <v>1.0401357635621797</v>
      </c>
      <c r="W839" s="357">
        <f t="shared" ca="1" si="381"/>
        <v>40.548978068529436</v>
      </c>
      <c r="X839" s="343"/>
      <c r="Y839" s="367" t="str">
        <f t="shared" ca="1" si="399"/>
        <v/>
      </c>
      <c r="Z839" s="368" t="str">
        <f t="shared" ca="1" si="400"/>
        <v/>
      </c>
      <c r="AA839" s="369" t="str">
        <f t="shared" ca="1" si="401"/>
        <v/>
      </c>
      <c r="AB839" s="344"/>
      <c r="AC839" s="363" t="e">
        <f t="shared" ca="1" si="402"/>
        <v>#N/A</v>
      </c>
      <c r="AD839" s="376" t="e">
        <f t="shared" ca="1" si="403"/>
        <v>#N/A</v>
      </c>
      <c r="AE839" s="377" t="e">
        <f t="shared" ca="1" si="382"/>
        <v>#N/A</v>
      </c>
      <c r="AF839" s="344"/>
      <c r="AG839" s="359">
        <f t="shared" ca="1" si="404"/>
        <v>5.4066216420724835</v>
      </c>
      <c r="AH839" s="357">
        <f t="shared" ca="1" si="405"/>
        <v>-4.1672267441263546</v>
      </c>
    </row>
    <row r="840" spans="1:34" x14ac:dyDescent="0.25">
      <c r="A840" s="402">
        <f t="shared" ca="1" si="383"/>
        <v>0.1</v>
      </c>
      <c r="B840" s="357">
        <f t="shared" ca="1" si="384"/>
        <v>38.600000000000215</v>
      </c>
      <c r="C840" s="342"/>
      <c r="D840" s="359">
        <f t="shared" ca="1" si="385"/>
        <v>-0.91087551501218789</v>
      </c>
      <c r="E840" s="360">
        <f t="shared" ca="1" si="386"/>
        <v>-5.7025891273828382</v>
      </c>
      <c r="F840" s="357">
        <f t="shared" ca="1" si="387"/>
        <v>5.7748780904529644</v>
      </c>
      <c r="G840" s="359">
        <f t="shared" ca="1" si="388"/>
        <v>28.322179276567038</v>
      </c>
      <c r="H840" s="360">
        <f t="shared" ca="1" si="389"/>
        <v>-128.6942002996341</v>
      </c>
      <c r="I840" s="357">
        <f t="shared" ca="1" si="390"/>
        <v>131.77383287184276</v>
      </c>
      <c r="J840" s="359">
        <f t="shared" ca="1" si="391"/>
        <v>1540.1462319721063</v>
      </c>
      <c r="K840" s="360">
        <f t="shared" ca="1" si="392"/>
        <v>1619.4165444257826</v>
      </c>
      <c r="L840" s="357">
        <f t="shared" ca="1" si="377"/>
        <v>2234.8513060644145</v>
      </c>
      <c r="M840" s="359">
        <f t="shared" ca="1" si="393"/>
        <v>-1.3541759443309878</v>
      </c>
      <c r="N840" s="357">
        <f t="shared" ca="1" si="394"/>
        <v>-77.588566328308318</v>
      </c>
      <c r="O840" s="343"/>
      <c r="P840" s="363">
        <f t="shared" ca="1" si="395"/>
        <v>23</v>
      </c>
      <c r="Q840" s="357">
        <f t="shared" ca="1" si="396"/>
        <v>0</v>
      </c>
      <c r="R840" s="359">
        <f t="shared" ca="1" si="397"/>
        <v>0</v>
      </c>
      <c r="S840" s="360">
        <f t="shared" ca="1" si="398"/>
        <v>9.637999999999975</v>
      </c>
      <c r="T840" s="357">
        <f t="shared" ca="1" si="378"/>
        <v>94.548779999999766</v>
      </c>
      <c r="U840" s="364">
        <f t="shared" ca="1" si="379"/>
        <v>0</v>
      </c>
      <c r="V840" s="359">
        <f t="shared" ca="1" si="380"/>
        <v>1.041481146672474</v>
      </c>
      <c r="W840" s="357">
        <f t="shared" ca="1" si="381"/>
        <v>40.934490300895554</v>
      </c>
      <c r="X840" s="343"/>
      <c r="Y840" s="367" t="str">
        <f t="shared" ca="1" si="399"/>
        <v/>
      </c>
      <c r="Z840" s="368" t="str">
        <f t="shared" ca="1" si="400"/>
        <v/>
      </c>
      <c r="AA840" s="369" t="str">
        <f t="shared" ca="1" si="401"/>
        <v/>
      </c>
      <c r="AB840" s="344"/>
      <c r="AC840" s="363" t="e">
        <f t="shared" ca="1" si="402"/>
        <v>#N/A</v>
      </c>
      <c r="AD840" s="376" t="e">
        <f t="shared" ca="1" si="403"/>
        <v>#N/A</v>
      </c>
      <c r="AE840" s="377" t="e">
        <f t="shared" ca="1" si="382"/>
        <v>#N/A</v>
      </c>
      <c r="AF840" s="344"/>
      <c r="AG840" s="359">
        <f t="shared" ca="1" si="404"/>
        <v>5.3701252695132267</v>
      </c>
      <c r="AH840" s="357">
        <f t="shared" ca="1" si="405"/>
        <v>-4.2071983885172797</v>
      </c>
    </row>
    <row r="841" spans="1:34" x14ac:dyDescent="0.25">
      <c r="A841" s="402">
        <f t="shared" ca="1" si="383"/>
        <v>0.1</v>
      </c>
      <c r="B841" s="357">
        <f t="shared" ca="1" si="384"/>
        <v>38.700000000000216</v>
      </c>
      <c r="C841" s="342"/>
      <c r="D841" s="359">
        <f t="shared" ca="1" si="385"/>
        <v>-0.91285112328629703</v>
      </c>
      <c r="E841" s="360">
        <f t="shared" ca="1" si="386"/>
        <v>-5.6620619420995224</v>
      </c>
      <c r="F841" s="357">
        <f t="shared" ca="1" si="387"/>
        <v>5.7351759004808978</v>
      </c>
      <c r="G841" s="359">
        <f t="shared" ca="1" si="388"/>
        <v>28.230894164238407</v>
      </c>
      <c r="H841" s="360">
        <f t="shared" ca="1" si="389"/>
        <v>-129.26040649384404</v>
      </c>
      <c r="I841" s="357">
        <f t="shared" ca="1" si="390"/>
        <v>132.30735456604907</v>
      </c>
      <c r="J841" s="359">
        <f t="shared" ca="1" si="391"/>
        <v>1542.9738856441465</v>
      </c>
      <c r="K841" s="360">
        <f t="shared" ca="1" si="392"/>
        <v>1606.5188140861087</v>
      </c>
      <c r="L841" s="357">
        <f t="shared" ca="1" si="377"/>
        <v>2227.4808892092506</v>
      </c>
      <c r="M841" s="359">
        <f t="shared" ca="1" si="393"/>
        <v>-1.3557695567090622</v>
      </c>
      <c r="N841" s="357">
        <f t="shared" ca="1" si="394"/>
        <v>-77.679873591751786</v>
      </c>
      <c r="O841" s="343"/>
      <c r="P841" s="363">
        <f t="shared" ca="1" si="395"/>
        <v>23</v>
      </c>
      <c r="Q841" s="357">
        <f t="shared" ca="1" si="396"/>
        <v>0</v>
      </c>
      <c r="R841" s="359">
        <f t="shared" ca="1" si="397"/>
        <v>0</v>
      </c>
      <c r="S841" s="360">
        <f t="shared" ca="1" si="398"/>
        <v>9.637999999999975</v>
      </c>
      <c r="T841" s="357">
        <f t="shared" ca="1" si="378"/>
        <v>94.548779999999766</v>
      </c>
      <c r="U841" s="364">
        <f t="shared" ca="1" si="379"/>
        <v>0</v>
      </c>
      <c r="V841" s="359">
        <f t="shared" ca="1" si="380"/>
        <v>1.0428340931096702</v>
      </c>
      <c r="W841" s="357">
        <f t="shared" ca="1" si="381"/>
        <v>41.320237665282633</v>
      </c>
      <c r="X841" s="343"/>
      <c r="Y841" s="367" t="str">
        <f t="shared" ca="1" si="399"/>
        <v/>
      </c>
      <c r="Z841" s="368" t="str">
        <f t="shared" ca="1" si="400"/>
        <v/>
      </c>
      <c r="AA841" s="369" t="str">
        <f t="shared" ca="1" si="401"/>
        <v/>
      </c>
      <c r="AB841" s="344"/>
      <c r="AC841" s="363" t="e">
        <f t="shared" ca="1" si="402"/>
        <v>#N/A</v>
      </c>
      <c r="AD841" s="376" t="e">
        <f t="shared" ca="1" si="403"/>
        <v>#N/A</v>
      </c>
      <c r="AE841" s="377" t="e">
        <f t="shared" ca="1" si="382"/>
        <v>#N/A</v>
      </c>
      <c r="AF841" s="344"/>
      <c r="AG841" s="359">
        <f t="shared" ca="1" si="404"/>
        <v>5.3335369033584419</v>
      </c>
      <c r="AH841" s="357">
        <f t="shared" ca="1" si="405"/>
        <v>-4.2471975825789228</v>
      </c>
    </row>
    <row r="842" spans="1:34" x14ac:dyDescent="0.25">
      <c r="A842" s="402">
        <f t="shared" ca="1" si="383"/>
        <v>0.1</v>
      </c>
      <c r="B842" s="357">
        <f t="shared" ca="1" si="384"/>
        <v>38.800000000000217</v>
      </c>
      <c r="C842" s="342"/>
      <c r="D842" s="359">
        <f t="shared" ca="1" si="385"/>
        <v>-0.91477973836259718</v>
      </c>
      <c r="E842" s="360">
        <f t="shared" ca="1" si="386"/>
        <v>-5.6215106044756951</v>
      </c>
      <c r="F842" s="357">
        <f t="shared" ca="1" si="387"/>
        <v>5.6954546303127938</v>
      </c>
      <c r="G842" s="359">
        <f t="shared" ca="1" si="388"/>
        <v>28.139416190402148</v>
      </c>
      <c r="H842" s="360">
        <f t="shared" ca="1" si="389"/>
        <v>-129.82255755429162</v>
      </c>
      <c r="I842" s="357">
        <f t="shared" ca="1" si="390"/>
        <v>132.83720560699109</v>
      </c>
      <c r="J842" s="359">
        <f t="shared" ca="1" si="391"/>
        <v>1545.7924011618786</v>
      </c>
      <c r="K842" s="360">
        <f t="shared" ca="1" si="392"/>
        <v>1593.564665883702</v>
      </c>
      <c r="L842" s="357">
        <f t="shared" ca="1" si="377"/>
        <v>2220.1176752241854</v>
      </c>
      <c r="M842" s="359">
        <f t="shared" ca="1" si="393"/>
        <v>-1.3573453168251874</v>
      </c>
      <c r="N842" s="357">
        <f t="shared" ca="1" si="394"/>
        <v>-77.770157995930816</v>
      </c>
      <c r="O842" s="343"/>
      <c r="P842" s="363">
        <f t="shared" ca="1" si="395"/>
        <v>23</v>
      </c>
      <c r="Q842" s="357">
        <f t="shared" ca="1" si="396"/>
        <v>0</v>
      </c>
      <c r="R842" s="359">
        <f t="shared" ca="1" si="397"/>
        <v>0</v>
      </c>
      <c r="S842" s="360">
        <f t="shared" ca="1" si="398"/>
        <v>9.637999999999975</v>
      </c>
      <c r="T842" s="357">
        <f t="shared" ca="1" si="378"/>
        <v>94.548779999999766</v>
      </c>
      <c r="U842" s="364">
        <f t="shared" ca="1" si="379"/>
        <v>0</v>
      </c>
      <c r="V842" s="359">
        <f t="shared" ca="1" si="380"/>
        <v>1.044194584505842</v>
      </c>
      <c r="W842" s="357">
        <f t="shared" ca="1" si="381"/>
        <v>41.706189921169589</v>
      </c>
      <c r="X842" s="343"/>
      <c r="Y842" s="367" t="str">
        <f t="shared" ca="1" si="399"/>
        <v/>
      </c>
      <c r="Z842" s="368" t="str">
        <f t="shared" ca="1" si="400"/>
        <v/>
      </c>
      <c r="AA842" s="369" t="str">
        <f t="shared" ca="1" si="401"/>
        <v/>
      </c>
      <c r="AB842" s="344"/>
      <c r="AC842" s="363" t="e">
        <f t="shared" ca="1" si="402"/>
        <v>#N/A</v>
      </c>
      <c r="AD842" s="376" t="e">
        <f t="shared" ca="1" si="403"/>
        <v>#N/A</v>
      </c>
      <c r="AE842" s="377" t="e">
        <f t="shared" ca="1" si="382"/>
        <v>#N/A</v>
      </c>
      <c r="AF842" s="344"/>
      <c r="AG842" s="359">
        <f t="shared" ca="1" si="404"/>
        <v>5.2968612226074416</v>
      </c>
      <c r="AH842" s="357">
        <f t="shared" ca="1" si="405"/>
        <v>-4.287221172990531</v>
      </c>
    </row>
    <row r="843" spans="1:34" x14ac:dyDescent="0.25">
      <c r="A843" s="402">
        <f t="shared" ca="1" si="383"/>
        <v>0.1</v>
      </c>
      <c r="B843" s="357">
        <f t="shared" ca="1" si="384"/>
        <v>38.900000000000219</v>
      </c>
      <c r="C843" s="342"/>
      <c r="D843" s="359">
        <f t="shared" ca="1" si="385"/>
        <v>-0.91666140526329587</v>
      </c>
      <c r="E843" s="360">
        <f t="shared" ca="1" si="386"/>
        <v>-5.5809382725864083</v>
      </c>
      <c r="F843" s="357">
        <f t="shared" ca="1" si="387"/>
        <v>5.6557174729930635</v>
      </c>
      <c r="G843" s="359">
        <f t="shared" ca="1" si="388"/>
        <v>28.04775004987582</v>
      </c>
      <c r="H843" s="360">
        <f t="shared" ca="1" si="389"/>
        <v>-130.38065138155025</v>
      </c>
      <c r="I843" s="357">
        <f t="shared" ca="1" si="390"/>
        <v>133.36337779742101</v>
      </c>
      <c r="J843" s="359">
        <f t="shared" ca="1" si="391"/>
        <v>1548.6017594738926</v>
      </c>
      <c r="K843" s="360">
        <f t="shared" ca="1" si="392"/>
        <v>1580.5545054369099</v>
      </c>
      <c r="L843" s="357">
        <f t="shared" ca="1" si="377"/>
        <v>2212.7629683503274</v>
      </c>
      <c r="M843" s="359">
        <f t="shared" ca="1" si="393"/>
        <v>-1.3589035338613014</v>
      </c>
      <c r="N843" s="357">
        <f t="shared" ca="1" si="394"/>
        <v>-77.859437255665526</v>
      </c>
      <c r="O843" s="343"/>
      <c r="P843" s="363">
        <f t="shared" ca="1" si="395"/>
        <v>23</v>
      </c>
      <c r="Q843" s="357">
        <f t="shared" ca="1" si="396"/>
        <v>0</v>
      </c>
      <c r="R843" s="359">
        <f t="shared" ca="1" si="397"/>
        <v>0</v>
      </c>
      <c r="S843" s="360">
        <f t="shared" ca="1" si="398"/>
        <v>9.637999999999975</v>
      </c>
      <c r="T843" s="357">
        <f t="shared" ca="1" si="378"/>
        <v>94.548779999999766</v>
      </c>
      <c r="U843" s="364">
        <f t="shared" ca="1" si="379"/>
        <v>0</v>
      </c>
      <c r="V843" s="359">
        <f t="shared" ca="1" si="380"/>
        <v>1.04556260244171</v>
      </c>
      <c r="W843" s="357">
        <f t="shared" ca="1" si="381"/>
        <v>42.092316983126537</v>
      </c>
      <c r="X843" s="343"/>
      <c r="Y843" s="367" t="str">
        <f t="shared" ca="1" si="399"/>
        <v/>
      </c>
      <c r="Z843" s="368" t="str">
        <f t="shared" ca="1" si="400"/>
        <v/>
      </c>
      <c r="AA843" s="369" t="str">
        <f t="shared" ca="1" si="401"/>
        <v/>
      </c>
      <c r="AB843" s="344"/>
      <c r="AC843" s="363" t="e">
        <f t="shared" ca="1" si="402"/>
        <v>#N/A</v>
      </c>
      <c r="AD843" s="376" t="e">
        <f t="shared" ca="1" si="403"/>
        <v>#N/A</v>
      </c>
      <c r="AE843" s="377" t="e">
        <f t="shared" ca="1" si="382"/>
        <v>#N/A</v>
      </c>
      <c r="AF843" s="344"/>
      <c r="AG843" s="359">
        <f t="shared" ca="1" si="404"/>
        <v>5.2601028463266717</v>
      </c>
      <c r="AH843" s="357">
        <f t="shared" ca="1" si="405"/>
        <v>-4.3272660221176276</v>
      </c>
    </row>
    <row r="844" spans="1:34" x14ac:dyDescent="0.25">
      <c r="A844" s="402">
        <f t="shared" ca="1" si="383"/>
        <v>0.1</v>
      </c>
      <c r="B844" s="357">
        <f t="shared" ca="1" si="384"/>
        <v>39.00000000000022</v>
      </c>
      <c r="C844" s="342"/>
      <c r="D844" s="359">
        <f t="shared" ca="1" si="385"/>
        <v>-0.9184961751623486</v>
      </c>
      <c r="E844" s="360">
        <f t="shared" ca="1" si="386"/>
        <v>-5.5403480886639001</v>
      </c>
      <c r="F844" s="357">
        <f t="shared" ca="1" si="387"/>
        <v>5.6159676073985318</v>
      </c>
      <c r="G844" s="359">
        <f t="shared" ca="1" si="388"/>
        <v>27.955900432359584</v>
      </c>
      <c r="H844" s="360">
        <f t="shared" ca="1" si="389"/>
        <v>-130.93468619041664</v>
      </c>
      <c r="I844" s="357">
        <f t="shared" ca="1" si="390"/>
        <v>133.88586339403756</v>
      </c>
      <c r="J844" s="359">
        <f t="shared" ca="1" si="391"/>
        <v>1551.4019419980043</v>
      </c>
      <c r="K844" s="360">
        <f t="shared" ca="1" si="392"/>
        <v>1567.4887385583115</v>
      </c>
      <c r="L844" s="357">
        <f t="shared" ca="1" si="377"/>
        <v>2205.4180853394455</v>
      </c>
      <c r="M844" s="359">
        <f t="shared" ca="1" si="393"/>
        <v>-1.3604445099417894</v>
      </c>
      <c r="N844" s="357">
        <f t="shared" ca="1" si="394"/>
        <v>-77.947728681408094</v>
      </c>
      <c r="O844" s="343"/>
      <c r="P844" s="363">
        <f t="shared" ca="1" si="395"/>
        <v>23</v>
      </c>
      <c r="Q844" s="357">
        <f t="shared" ca="1" si="396"/>
        <v>0</v>
      </c>
      <c r="R844" s="359">
        <f t="shared" ca="1" si="397"/>
        <v>0</v>
      </c>
      <c r="S844" s="360">
        <f t="shared" ca="1" si="398"/>
        <v>9.637999999999975</v>
      </c>
      <c r="T844" s="357">
        <f t="shared" ca="1" si="378"/>
        <v>94.548779999999766</v>
      </c>
      <c r="U844" s="364">
        <f t="shared" ca="1" si="379"/>
        <v>0</v>
      </c>
      <c r="V844" s="359">
        <f t="shared" ca="1" si="380"/>
        <v>1.0469381284478381</v>
      </c>
      <c r="W844" s="357">
        <f t="shared" ca="1" si="381"/>
        <v>42.478588924669879</v>
      </c>
      <c r="X844" s="343"/>
      <c r="Y844" s="367" t="str">
        <f t="shared" ca="1" si="399"/>
        <v/>
      </c>
      <c r="Z844" s="368" t="str">
        <f t="shared" ca="1" si="400"/>
        <v/>
      </c>
      <c r="AA844" s="369" t="str">
        <f t="shared" ca="1" si="401"/>
        <v/>
      </c>
      <c r="AB844" s="344"/>
      <c r="AC844" s="363">
        <f t="shared" ca="1" si="402"/>
        <v>39.00000000000022</v>
      </c>
      <c r="AD844" s="376">
        <f t="shared" ca="1" si="403"/>
        <v>1551.4019419980043</v>
      </c>
      <c r="AE844" s="377" t="e">
        <f t="shared" ca="1" si="382"/>
        <v>#N/A</v>
      </c>
      <c r="AF844" s="344"/>
      <c r="AG844" s="359">
        <f t="shared" ca="1" si="404"/>
        <v>5.2232663347499333</v>
      </c>
      <c r="AH844" s="357">
        <f t="shared" ca="1" si="405"/>
        <v>-4.3673290084173733</v>
      </c>
    </row>
    <row r="845" spans="1:34" x14ac:dyDescent="0.25">
      <c r="A845" s="402">
        <f t="shared" ca="1" si="383"/>
        <v>0.1</v>
      </c>
      <c r="B845" s="357">
        <f t="shared" ca="1" si="384"/>
        <v>39.100000000000222</v>
      </c>
      <c r="C845" s="342"/>
      <c r="D845" s="359">
        <f t="shared" ca="1" si="385"/>
        <v>-0.92028410530956595</v>
      </c>
      <c r="E845" s="360">
        <f t="shared" ca="1" si="386"/>
        <v>-5.499743178679438</v>
      </c>
      <c r="F845" s="357">
        <f t="shared" ca="1" si="387"/>
        <v>5.5762081978631715</v>
      </c>
      <c r="G845" s="359">
        <f t="shared" ca="1" si="388"/>
        <v>27.863872021828627</v>
      </c>
      <c r="H845" s="360">
        <f t="shared" ca="1" si="389"/>
        <v>-131.48466050828458</v>
      </c>
      <c r="I845" s="357">
        <f t="shared" ca="1" si="390"/>
        <v>134.40465510177722</v>
      </c>
      <c r="J845" s="359">
        <f t="shared" ca="1" si="391"/>
        <v>1554.1929306207137</v>
      </c>
      <c r="K845" s="360">
        <f t="shared" ca="1" si="392"/>
        <v>1554.3677712233764</v>
      </c>
      <c r="L845" s="357">
        <f t="shared" ca="1" si="377"/>
        <v>2198.0843554807739</v>
      </c>
      <c r="M845" s="359">
        <f t="shared" ca="1" si="393"/>
        <v>-1.3619685403283626</v>
      </c>
      <c r="N845" s="357">
        <f t="shared" ca="1" si="394"/>
        <v>-78.035049190408429</v>
      </c>
      <c r="O845" s="343"/>
      <c r="P845" s="363">
        <f t="shared" ca="1" si="395"/>
        <v>23</v>
      </c>
      <c r="Q845" s="357">
        <f t="shared" ca="1" si="396"/>
        <v>0</v>
      </c>
      <c r="R845" s="359">
        <f t="shared" ca="1" si="397"/>
        <v>0</v>
      </c>
      <c r="S845" s="360">
        <f t="shared" ca="1" si="398"/>
        <v>9.637999999999975</v>
      </c>
      <c r="T845" s="357">
        <f t="shared" ca="1" si="378"/>
        <v>94.548779999999766</v>
      </c>
      <c r="U845" s="364">
        <f t="shared" ca="1" si="379"/>
        <v>0</v>
      </c>
      <c r="V845" s="359">
        <f t="shared" ca="1" si="380"/>
        <v>1.048321144005834</v>
      </c>
      <c r="W845" s="357">
        <f t="shared" ca="1" si="381"/>
        <v>42.864975982063854</v>
      </c>
      <c r="X845" s="343"/>
      <c r="Y845" s="367" t="str">
        <f t="shared" ca="1" si="399"/>
        <v/>
      </c>
      <c r="Z845" s="368" t="str">
        <f t="shared" ca="1" si="400"/>
        <v/>
      </c>
      <c r="AA845" s="369" t="str">
        <f t="shared" ca="1" si="401"/>
        <v/>
      </c>
      <c r="AB845" s="344"/>
      <c r="AC845" s="363" t="e">
        <f t="shared" ca="1" si="402"/>
        <v>#N/A</v>
      </c>
      <c r="AD845" s="376" t="e">
        <f t="shared" ca="1" si="403"/>
        <v>#N/A</v>
      </c>
      <c r="AE845" s="377" t="e">
        <f t="shared" ca="1" si="382"/>
        <v>#N/A</v>
      </c>
      <c r="AF845" s="344"/>
      <c r="AG845" s="359">
        <f t="shared" ca="1" si="404"/>
        <v>5.1863561903256388</v>
      </c>
      <c r="AH845" s="357">
        <f t="shared" ca="1" si="405"/>
        <v>-4.4074070268385546</v>
      </c>
    </row>
    <row r="846" spans="1:34" x14ac:dyDescent="0.25">
      <c r="A846" s="402">
        <f t="shared" ca="1" si="383"/>
        <v>0.1</v>
      </c>
      <c r="B846" s="357">
        <f t="shared" ca="1" si="384"/>
        <v>39.200000000000223</v>
      </c>
      <c r="C846" s="342"/>
      <c r="D846" s="359">
        <f t="shared" ca="1" si="385"/>
        <v>-0.9220252589550717</v>
      </c>
      <c r="E846" s="360">
        <f t="shared" ca="1" si="386"/>
        <v>-5.4591266519313209</v>
      </c>
      <c r="F846" s="357">
        <f t="shared" ca="1" si="387"/>
        <v>5.5364423938101295</v>
      </c>
      <c r="G846" s="359">
        <f t="shared" ca="1" si="388"/>
        <v>27.771669495933118</v>
      </c>
      <c r="H846" s="360">
        <f t="shared" ca="1" si="389"/>
        <v>-132.03057317347771</v>
      </c>
      <c r="I846" s="357">
        <f t="shared" ca="1" si="390"/>
        <v>134.91974606820304</v>
      </c>
      <c r="J846" s="359">
        <f t="shared" ca="1" si="391"/>
        <v>1556.9747076966019</v>
      </c>
      <c r="K846" s="360">
        <f t="shared" ca="1" si="392"/>
        <v>1541.1920095392884</v>
      </c>
      <c r="L846" s="357">
        <f t="shared" ca="1" si="377"/>
        <v>2190.7631206213669</v>
      </c>
      <c r="M846" s="359">
        <f t="shared" ca="1" si="393"/>
        <v>-1.3634759136086776</v>
      </c>
      <c r="N846" s="357">
        <f t="shared" ca="1" si="394"/>
        <v>-78.121415317521269</v>
      </c>
      <c r="O846" s="343"/>
      <c r="P846" s="363">
        <f t="shared" ca="1" si="395"/>
        <v>23</v>
      </c>
      <c r="Q846" s="357">
        <f t="shared" ca="1" si="396"/>
        <v>0</v>
      </c>
      <c r="R846" s="359">
        <f t="shared" ca="1" si="397"/>
        <v>0</v>
      </c>
      <c r="S846" s="360">
        <f t="shared" ca="1" si="398"/>
        <v>9.637999999999975</v>
      </c>
      <c r="T846" s="357">
        <f t="shared" ca="1" si="378"/>
        <v>94.548779999999766</v>
      </c>
      <c r="U846" s="364">
        <f t="shared" ca="1" si="379"/>
        <v>0</v>
      </c>
      <c r="V846" s="359">
        <f t="shared" ca="1" si="380"/>
        <v>1.0497116305495477</v>
      </c>
      <c r="W846" s="357">
        <f t="shared" ca="1" si="381"/>
        <v>43.251448558068326</v>
      </c>
      <c r="X846" s="343"/>
      <c r="Y846" s="367" t="str">
        <f t="shared" ca="1" si="399"/>
        <v/>
      </c>
      <c r="Z846" s="368" t="str">
        <f t="shared" ca="1" si="400"/>
        <v/>
      </c>
      <c r="AA846" s="369" t="str">
        <f t="shared" ca="1" si="401"/>
        <v/>
      </c>
      <c r="AB846" s="344"/>
      <c r="AC846" s="363" t="e">
        <f t="shared" ca="1" si="402"/>
        <v>#N/A</v>
      </c>
      <c r="AD846" s="376" t="e">
        <f t="shared" ca="1" si="403"/>
        <v>#N/A</v>
      </c>
      <c r="AE846" s="377" t="e">
        <f t="shared" ca="1" si="382"/>
        <v>#N/A</v>
      </c>
      <c r="AF846" s="344"/>
      <c r="AG846" s="359">
        <f t="shared" ca="1" si="404"/>
        <v>5.1493768587137927</v>
      </c>
      <c r="AH846" s="357">
        <f t="shared" ca="1" si="405"/>
        <v>-4.4474969892160159</v>
      </c>
    </row>
    <row r="847" spans="1:34" x14ac:dyDescent="0.25">
      <c r="A847" s="402">
        <f t="shared" ca="1" si="383"/>
        <v>0.1</v>
      </c>
      <c r="B847" s="357">
        <f t="shared" ca="1" si="384"/>
        <v>39.300000000000225</v>
      </c>
      <c r="C847" s="342"/>
      <c r="D847" s="359">
        <f t="shared" ca="1" si="385"/>
        <v>-0.92371970527407465</v>
      </c>
      <c r="E847" s="360">
        <f t="shared" ca="1" si="386"/>
        <v>-5.4185016006390354</v>
      </c>
      <c r="F847" s="357">
        <f t="shared" ca="1" si="387"/>
        <v>5.4966733293910979</v>
      </c>
      <c r="G847" s="359">
        <f t="shared" ca="1" si="388"/>
        <v>27.679297525405712</v>
      </c>
      <c r="H847" s="360">
        <f t="shared" ca="1" si="389"/>
        <v>-132.57242333354162</v>
      </c>
      <c r="I847" s="357">
        <f t="shared" ca="1" si="390"/>
        <v>135.43112987798523</v>
      </c>
      <c r="J847" s="359">
        <f t="shared" ca="1" si="391"/>
        <v>1559.7472560476688</v>
      </c>
      <c r="K847" s="360">
        <f t="shared" ca="1" si="392"/>
        <v>1527.9618597139374</v>
      </c>
      <c r="L847" s="357">
        <f t="shared" ca="1" si="377"/>
        <v>2183.4557351796043</v>
      </c>
      <c r="M847" s="359">
        <f t="shared" ca="1" si="393"/>
        <v>-1.3649669118789223</v>
      </c>
      <c r="N847" s="357">
        <f t="shared" ca="1" si="394"/>
        <v>-78.206843225667598</v>
      </c>
      <c r="O847" s="343"/>
      <c r="P847" s="363">
        <f t="shared" ca="1" si="395"/>
        <v>23</v>
      </c>
      <c r="Q847" s="357">
        <f t="shared" ca="1" si="396"/>
        <v>0</v>
      </c>
      <c r="R847" s="359">
        <f t="shared" ca="1" si="397"/>
        <v>0</v>
      </c>
      <c r="S847" s="360">
        <f t="shared" ca="1" si="398"/>
        <v>9.637999999999975</v>
      </c>
      <c r="T847" s="357">
        <f t="shared" ca="1" si="378"/>
        <v>94.548779999999766</v>
      </c>
      <c r="U847" s="364">
        <f t="shared" ca="1" si="379"/>
        <v>0</v>
      </c>
      <c r="V847" s="359">
        <f t="shared" ca="1" si="380"/>
        <v>1.0511095694662806</v>
      </c>
      <c r="W847" s="357">
        <f t="shared" ca="1" si="381"/>
        <v>43.637977225631744</v>
      </c>
      <c r="X847" s="343"/>
      <c r="Y847" s="367" t="str">
        <f t="shared" ca="1" si="399"/>
        <v/>
      </c>
      <c r="Z847" s="368" t="str">
        <f t="shared" ca="1" si="400"/>
        <v/>
      </c>
      <c r="AA847" s="369" t="str">
        <f t="shared" ca="1" si="401"/>
        <v/>
      </c>
      <c r="AB847" s="344"/>
      <c r="AC847" s="363" t="e">
        <f t="shared" ca="1" si="402"/>
        <v>#N/A</v>
      </c>
      <c r="AD847" s="376" t="e">
        <f t="shared" ca="1" si="403"/>
        <v>#N/A</v>
      </c>
      <c r="AE847" s="377" t="e">
        <f t="shared" ca="1" si="382"/>
        <v>#N/A</v>
      </c>
      <c r="AF847" s="344"/>
      <c r="AG847" s="359">
        <f t="shared" ca="1" si="404"/>
        <v>5.1123327297351224</v>
      </c>
      <c r="AH847" s="357">
        <f t="shared" ca="1" si="405"/>
        <v>-4.4875958246595182</v>
      </c>
    </row>
    <row r="848" spans="1:34" x14ac:dyDescent="0.25">
      <c r="A848" s="402">
        <f t="shared" ca="1" si="383"/>
        <v>0.1</v>
      </c>
      <c r="B848" s="357">
        <f t="shared" ca="1" si="384"/>
        <v>39.400000000000226</v>
      </c>
      <c r="C848" s="342"/>
      <c r="D848" s="359">
        <f t="shared" ca="1" si="385"/>
        <v>-0.92536751929194028</v>
      </c>
      <c r="E848" s="360">
        <f t="shared" ca="1" si="386"/>
        <v>-5.3778710995436612</v>
      </c>
      <c r="F848" s="357">
        <f t="shared" ca="1" si="387"/>
        <v>5.4569041231331399</v>
      </c>
      <c r="G848" s="359">
        <f t="shared" ca="1" si="388"/>
        <v>27.586760773476517</v>
      </c>
      <c r="H848" s="360">
        <f t="shared" ca="1" si="389"/>
        <v>-133.11021044349599</v>
      </c>
      <c r="I848" s="357">
        <f t="shared" ca="1" si="390"/>
        <v>135.93880054746992</v>
      </c>
      <c r="J848" s="359">
        <f t="shared" ca="1" si="391"/>
        <v>1562.5105589626128</v>
      </c>
      <c r="K848" s="360">
        <f t="shared" ca="1" si="392"/>
        <v>1514.6777280250856</v>
      </c>
      <c r="L848" s="357">
        <f t="shared" ca="1" si="377"/>
        <v>2176.163566151426</v>
      </c>
      <c r="M848" s="359">
        <f t="shared" ca="1" si="393"/>
        <v>-1.3664418109205891</v>
      </c>
      <c r="N848" s="357">
        <f t="shared" ca="1" si="394"/>
        <v>-78.291348715962997</v>
      </c>
      <c r="O848" s="343"/>
      <c r="P848" s="363">
        <f t="shared" ca="1" si="395"/>
        <v>23</v>
      </c>
      <c r="Q848" s="357">
        <f t="shared" ca="1" si="396"/>
        <v>0</v>
      </c>
      <c r="R848" s="359">
        <f t="shared" ca="1" si="397"/>
        <v>0</v>
      </c>
      <c r="S848" s="360">
        <f t="shared" ca="1" si="398"/>
        <v>9.637999999999975</v>
      </c>
      <c r="T848" s="357">
        <f t="shared" ca="1" si="378"/>
        <v>94.548779999999766</v>
      </c>
      <c r="U848" s="364">
        <f t="shared" ca="1" si="379"/>
        <v>0</v>
      </c>
      <c r="V848" s="359">
        <f t="shared" ca="1" si="380"/>
        <v>1.0525149420979916</v>
      </c>
      <c r="W848" s="357">
        <f t="shared" ca="1" si="381"/>
        <v>44.024532731528524</v>
      </c>
      <c r="X848" s="343"/>
      <c r="Y848" s="367" t="str">
        <f t="shared" ca="1" si="399"/>
        <v/>
      </c>
      <c r="Z848" s="368" t="str">
        <f t="shared" ca="1" si="400"/>
        <v/>
      </c>
      <c r="AA848" s="369" t="str">
        <f t="shared" ca="1" si="401"/>
        <v/>
      </c>
      <c r="AB848" s="344"/>
      <c r="AC848" s="363" t="e">
        <f t="shared" ca="1" si="402"/>
        <v>#N/A</v>
      </c>
      <c r="AD848" s="376" t="e">
        <f t="shared" ca="1" si="403"/>
        <v>#N/A</v>
      </c>
      <c r="AE848" s="377" t="e">
        <f t="shared" ca="1" si="382"/>
        <v>#N/A</v>
      </c>
      <c r="AF848" s="344"/>
      <c r="AG848" s="359">
        <f t="shared" ca="1" si="404"/>
        <v>5.0752281382747517</v>
      </c>
      <c r="AH848" s="357">
        <f t="shared" ca="1" si="405"/>
        <v>-4.5277004799369012</v>
      </c>
    </row>
    <row r="849" spans="1:34" x14ac:dyDescent="0.25">
      <c r="A849" s="402">
        <f t="shared" ca="1" si="383"/>
        <v>0.1</v>
      </c>
      <c r="B849" s="357">
        <f t="shared" ca="1" si="384"/>
        <v>39.500000000000227</v>
      </c>
      <c r="C849" s="342"/>
      <c r="D849" s="359">
        <f t="shared" ca="1" si="385"/>
        <v>-0.92696878180951126</v>
      </c>
      <c r="E849" s="360">
        <f t="shared" ca="1" si="386"/>
        <v>-5.3372382055145655</v>
      </c>
      <c r="F849" s="357">
        <f t="shared" ca="1" si="387"/>
        <v>5.4171378775930883</v>
      </c>
      <c r="G849" s="359">
        <f t="shared" ca="1" si="388"/>
        <v>27.494063895295564</v>
      </c>
      <c r="H849" s="360">
        <f t="shared" ca="1" si="389"/>
        <v>-133.64393426404743</v>
      </c>
      <c r="I849" s="357">
        <f t="shared" ca="1" si="390"/>
        <v>136.4427525193318</v>
      </c>
      <c r="J849" s="359">
        <f t="shared" ca="1" si="391"/>
        <v>1565.2646001960513</v>
      </c>
      <c r="K849" s="360">
        <f t="shared" ca="1" si="392"/>
        <v>1501.3400207897084</v>
      </c>
      <c r="L849" s="357">
        <f t="shared" ca="1" si="377"/>
        <v>2168.8879931088527</v>
      </c>
      <c r="M849" s="359">
        <f t="shared" ca="1" si="393"/>
        <v>-1.3679008803716382</v>
      </c>
      <c r="N849" s="357">
        <f t="shared" ca="1" si="394"/>
        <v>-78.37494723752458</v>
      </c>
      <c r="O849" s="343"/>
      <c r="P849" s="363">
        <f t="shared" ca="1" si="395"/>
        <v>23</v>
      </c>
      <c r="Q849" s="357">
        <f t="shared" ca="1" si="396"/>
        <v>0</v>
      </c>
      <c r="R849" s="359">
        <f t="shared" ca="1" si="397"/>
        <v>0</v>
      </c>
      <c r="S849" s="360">
        <f t="shared" ca="1" si="398"/>
        <v>9.637999999999975</v>
      </c>
      <c r="T849" s="357">
        <f t="shared" ca="1" si="378"/>
        <v>94.548779999999766</v>
      </c>
      <c r="U849" s="364">
        <f t="shared" ca="1" si="379"/>
        <v>0</v>
      </c>
      <c r="V849" s="359">
        <f t="shared" ca="1" si="380"/>
        <v>1.0539277297425074</v>
      </c>
      <c r="W849" s="357">
        <f t="shared" ca="1" si="381"/>
        <v>44.411085999940255</v>
      </c>
      <c r="X849" s="343"/>
      <c r="Y849" s="367" t="str">
        <f t="shared" ca="1" si="399"/>
        <v/>
      </c>
      <c r="Z849" s="368" t="str">
        <f t="shared" ca="1" si="400"/>
        <v/>
      </c>
      <c r="AA849" s="369" t="str">
        <f t="shared" ca="1" si="401"/>
        <v/>
      </c>
      <c r="AB849" s="344"/>
      <c r="AC849" s="363" t="e">
        <f t="shared" ca="1" si="402"/>
        <v>#N/A</v>
      </c>
      <c r="AD849" s="376" t="e">
        <f t="shared" ca="1" si="403"/>
        <v>#N/A</v>
      </c>
      <c r="AE849" s="377" t="e">
        <f t="shared" ca="1" si="382"/>
        <v>#N/A</v>
      </c>
      <c r="AF849" s="344"/>
      <c r="AG849" s="359">
        <f t="shared" ca="1" si="404"/>
        <v>5.0380673651426999</v>
      </c>
      <c r="AH849" s="357">
        <f t="shared" ca="1" si="405"/>
        <v>-4.5678079198514876</v>
      </c>
    </row>
    <row r="850" spans="1:34" x14ac:dyDescent="0.25">
      <c r="A850" s="402">
        <f t="shared" ca="1" si="383"/>
        <v>0.1</v>
      </c>
      <c r="B850" s="357">
        <f t="shared" ca="1" si="384"/>
        <v>39.600000000000229</v>
      </c>
      <c r="C850" s="342"/>
      <c r="D850" s="359">
        <f t="shared" ca="1" si="385"/>
        <v>-0.92852357932869078</v>
      </c>
      <c r="E850" s="360">
        <f t="shared" ca="1" si="386"/>
        <v>-5.2966059571624635</v>
      </c>
      <c r="F850" s="357">
        <f t="shared" ca="1" si="387"/>
        <v>5.3773776790196033</v>
      </c>
      <c r="G850" s="359">
        <f t="shared" ca="1" si="388"/>
        <v>27.401211537362695</v>
      </c>
      <c r="H850" s="360">
        <f t="shared" ca="1" si="389"/>
        <v>-134.17359485976368</v>
      </c>
      <c r="I850" s="357">
        <f t="shared" ca="1" si="390"/>
        <v>136.94298065730607</v>
      </c>
      <c r="J850" s="359">
        <f t="shared" ca="1" si="391"/>
        <v>1568.0093639676843</v>
      </c>
      <c r="K850" s="360">
        <f t="shared" ca="1" si="392"/>
        <v>1487.9491443335178</v>
      </c>
      <c r="L850" s="357">
        <f t="shared" ca="1" si="377"/>
        <v>2161.6304081903527</v>
      </c>
      <c r="M850" s="359">
        <f t="shared" ca="1" si="393"/>
        <v>-1.3693443838922588</v>
      </c>
      <c r="N850" s="357">
        <f t="shared" ca="1" si="394"/>
        <v>-78.457653896968409</v>
      </c>
      <c r="O850" s="343"/>
      <c r="P850" s="363">
        <f t="shared" ca="1" si="395"/>
        <v>23</v>
      </c>
      <c r="Q850" s="357">
        <f t="shared" ca="1" si="396"/>
        <v>0</v>
      </c>
      <c r="R850" s="359">
        <f t="shared" ca="1" si="397"/>
        <v>0</v>
      </c>
      <c r="S850" s="360">
        <f t="shared" ca="1" si="398"/>
        <v>9.637999999999975</v>
      </c>
      <c r="T850" s="357">
        <f t="shared" ca="1" si="378"/>
        <v>94.548779999999766</v>
      </c>
      <c r="U850" s="364">
        <f t="shared" ca="1" si="379"/>
        <v>0</v>
      </c>
      <c r="V850" s="359">
        <f t="shared" ca="1" si="380"/>
        <v>1.0553479136547359</v>
      </c>
      <c r="W850" s="357">
        <f t="shared" ca="1" si="381"/>
        <v>44.7976081359798</v>
      </c>
      <c r="X850" s="343"/>
      <c r="Y850" s="367" t="str">
        <f t="shared" ca="1" si="399"/>
        <v/>
      </c>
      <c r="Z850" s="368" t="str">
        <f t="shared" ca="1" si="400"/>
        <v/>
      </c>
      <c r="AA850" s="369" t="str">
        <f t="shared" ca="1" si="401"/>
        <v/>
      </c>
      <c r="AB850" s="344"/>
      <c r="AC850" s="363" t="e">
        <f t="shared" ca="1" si="402"/>
        <v>#N/A</v>
      </c>
      <c r="AD850" s="376" t="e">
        <f t="shared" ca="1" si="403"/>
        <v>#N/A</v>
      </c>
      <c r="AE850" s="377" t="e">
        <f t="shared" ca="1" si="382"/>
        <v>#N/A</v>
      </c>
      <c r="AF850" s="344"/>
      <c r="AG850" s="359">
        <f t="shared" ca="1" si="404"/>
        <v>5.000854637893319</v>
      </c>
      <c r="AH850" s="357">
        <f t="shared" ca="1" si="405"/>
        <v>-4.6079151276136514</v>
      </c>
    </row>
    <row r="851" spans="1:34" x14ac:dyDescent="0.25">
      <c r="A851" s="402">
        <f t="shared" ca="1" si="383"/>
        <v>0.1</v>
      </c>
      <c r="B851" s="357">
        <f t="shared" ca="1" si="384"/>
        <v>39.70000000000023</v>
      </c>
      <c r="C851" s="342"/>
      <c r="D851" s="359">
        <f t="shared" ca="1" si="385"/>
        <v>-0.9300320039782245</v>
      </c>
      <c r="E851" s="360">
        <f t="shared" ca="1" si="386"/>
        <v>-5.2559773744588671</v>
      </c>
      <c r="F851" s="357">
        <f t="shared" ca="1" si="387"/>
        <v>5.3376265970229948</v>
      </c>
      <c r="G851" s="359">
        <f t="shared" ca="1" si="388"/>
        <v>27.308208336964871</v>
      </c>
      <c r="H851" s="360">
        <f t="shared" ca="1" si="389"/>
        <v>-134.69919259720956</v>
      </c>
      <c r="I851" s="357">
        <f t="shared" ca="1" si="390"/>
        <v>137.43948024099637</v>
      </c>
      <c r="J851" s="359">
        <f t="shared" ca="1" si="391"/>
        <v>1570.7448349614008</v>
      </c>
      <c r="K851" s="360">
        <f t="shared" ca="1" si="392"/>
        <v>1474.5055049606692</v>
      </c>
      <c r="L851" s="357">
        <f t="shared" ca="1" si="377"/>
        <v>2154.3922160825859</v>
      </c>
      <c r="M851" s="359">
        <f t="shared" ca="1" si="393"/>
        <v>-1.3707725793254162</v>
      </c>
      <c r="N851" s="357">
        <f t="shared" ca="1" si="394"/>
        <v>-78.539483467608193</v>
      </c>
      <c r="O851" s="343"/>
      <c r="P851" s="363">
        <f t="shared" ca="1" si="395"/>
        <v>23</v>
      </c>
      <c r="Q851" s="357">
        <f t="shared" ca="1" si="396"/>
        <v>0</v>
      </c>
      <c r="R851" s="359">
        <f t="shared" ca="1" si="397"/>
        <v>0</v>
      </c>
      <c r="S851" s="360">
        <f t="shared" ca="1" si="398"/>
        <v>9.637999999999975</v>
      </c>
      <c r="T851" s="357">
        <f t="shared" ca="1" si="378"/>
        <v>94.548779999999766</v>
      </c>
      <c r="U851" s="364">
        <f t="shared" ca="1" si="379"/>
        <v>0</v>
      </c>
      <c r="V851" s="359">
        <f t="shared" ca="1" si="380"/>
        <v>1.0567754750478826</v>
      </c>
      <c r="W851" s="357">
        <f t="shared" ca="1" si="381"/>
        <v>45.184070429157693</v>
      </c>
      <c r="X851" s="343"/>
      <c r="Y851" s="367" t="str">
        <f t="shared" ca="1" si="399"/>
        <v/>
      </c>
      <c r="Z851" s="368" t="str">
        <f t="shared" ca="1" si="400"/>
        <v/>
      </c>
      <c r="AA851" s="369" t="str">
        <f t="shared" ca="1" si="401"/>
        <v/>
      </c>
      <c r="AB851" s="344"/>
      <c r="AC851" s="363" t="e">
        <f t="shared" ca="1" si="402"/>
        <v>#N/A</v>
      </c>
      <c r="AD851" s="376" t="e">
        <f t="shared" ca="1" si="403"/>
        <v>#N/A</v>
      </c>
      <c r="AE851" s="377" t="e">
        <f t="shared" ca="1" si="382"/>
        <v>#N/A</v>
      </c>
      <c r="AF851" s="344"/>
      <c r="AG851" s="359">
        <f t="shared" ca="1" si="404"/>
        <v>4.963594131605749</v>
      </c>
      <c r="AH851" s="357">
        <f t="shared" ca="1" si="405"/>
        <v>-4.6480191052064654</v>
      </c>
    </row>
    <row r="852" spans="1:34" x14ac:dyDescent="0.25">
      <c r="A852" s="402">
        <f t="shared" ca="1" si="383"/>
        <v>0.1</v>
      </c>
      <c r="B852" s="357">
        <f t="shared" ca="1" si="384"/>
        <v>39.800000000000232</v>
      </c>
      <c r="C852" s="342"/>
      <c r="D852" s="359">
        <f t="shared" ca="1" si="385"/>
        <v>-0.93149415343969599</v>
      </c>
      <c r="E852" s="360">
        <f t="shared" ca="1" si="386"/>
        <v>-5.2153554583620227</v>
      </c>
      <c r="F852" s="357">
        <f t="shared" ca="1" si="387"/>
        <v>5.297887684252931</v>
      </c>
      <c r="G852" s="359">
        <f t="shared" ca="1" si="388"/>
        <v>27.215058921620901</v>
      </c>
      <c r="H852" s="360">
        <f t="shared" ca="1" si="389"/>
        <v>-135.22072814304576</v>
      </c>
      <c r="I852" s="357">
        <f t="shared" ca="1" si="390"/>
        <v>137.93224696075529</v>
      </c>
      <c r="J852" s="359">
        <f t="shared" ca="1" si="391"/>
        <v>1573.4709983243301</v>
      </c>
      <c r="K852" s="360">
        <f t="shared" ca="1" si="392"/>
        <v>1461.0095089236565</v>
      </c>
      <c r="L852" s="357">
        <f t="shared" ca="1" si="377"/>
        <v>2147.1748339930559</v>
      </c>
      <c r="M852" s="359">
        <f t="shared" ca="1" si="393"/>
        <v>-1.3721857188523718</v>
      </c>
      <c r="N852" s="357">
        <f t="shared" ca="1" si="394"/>
        <v>-78.620450398365861</v>
      </c>
      <c r="O852" s="343"/>
      <c r="P852" s="363">
        <f t="shared" ca="1" si="395"/>
        <v>23</v>
      </c>
      <c r="Q852" s="357">
        <f t="shared" ca="1" si="396"/>
        <v>0</v>
      </c>
      <c r="R852" s="359">
        <f t="shared" ca="1" si="397"/>
        <v>0</v>
      </c>
      <c r="S852" s="360">
        <f t="shared" ca="1" si="398"/>
        <v>9.637999999999975</v>
      </c>
      <c r="T852" s="357">
        <f t="shared" ca="1" si="378"/>
        <v>94.548779999999766</v>
      </c>
      <c r="U852" s="364">
        <f t="shared" ca="1" si="379"/>
        <v>0</v>
      </c>
      <c r="V852" s="359">
        <f t="shared" ca="1" si="380"/>
        <v>1.0582103950946677</v>
      </c>
      <c r="W852" s="357">
        <f t="shared" ca="1" si="381"/>
        <v>45.570444356790247</v>
      </c>
      <c r="X852" s="343"/>
      <c r="Y852" s="367" t="str">
        <f t="shared" ca="1" si="399"/>
        <v/>
      </c>
      <c r="Z852" s="368" t="str">
        <f t="shared" ca="1" si="400"/>
        <v/>
      </c>
      <c r="AA852" s="369" t="str">
        <f t="shared" ca="1" si="401"/>
        <v/>
      </c>
      <c r="AB852" s="344"/>
      <c r="AC852" s="363" t="e">
        <f t="shared" ca="1" si="402"/>
        <v>#N/A</v>
      </c>
      <c r="AD852" s="376" t="e">
        <f t="shared" ca="1" si="403"/>
        <v>#N/A</v>
      </c>
      <c r="AE852" s="377" t="e">
        <f t="shared" ca="1" si="382"/>
        <v>#N/A</v>
      </c>
      <c r="AF852" s="344"/>
      <c r="AG852" s="359">
        <f t="shared" ca="1" si="404"/>
        <v>4.9262899696273621</v>
      </c>
      <c r="AH852" s="357">
        <f t="shared" ca="1" si="405"/>
        <v>-4.6881168737453631</v>
      </c>
    </row>
    <row r="853" spans="1:34" x14ac:dyDescent="0.25">
      <c r="A853" s="402">
        <f t="shared" ca="1" si="383"/>
        <v>0.1</v>
      </c>
      <c r="B853" s="357">
        <f t="shared" ca="1" si="384"/>
        <v>39.900000000000233</v>
      </c>
      <c r="C853" s="342"/>
      <c r="D853" s="359">
        <f t="shared" ca="1" si="385"/>
        <v>-0.9329101308736979</v>
      </c>
      <c r="E853" s="360">
        <f t="shared" ca="1" si="386"/>
        <v>-5.1747431904493473</v>
      </c>
      <c r="F853" s="357">
        <f t="shared" ca="1" si="387"/>
        <v>5.258163976084111</v>
      </c>
      <c r="G853" s="359">
        <f t="shared" ca="1" si="388"/>
        <v>27.121767908533531</v>
      </c>
      <c r="H853" s="360">
        <f t="shared" ca="1" si="389"/>
        <v>-135.7382024620907</v>
      </c>
      <c r="I853" s="357">
        <f t="shared" ca="1" si="390"/>
        <v>138.4212769126332</v>
      </c>
      <c r="J853" s="359">
        <f t="shared" ca="1" si="391"/>
        <v>1576.1878396658378</v>
      </c>
      <c r="K853" s="360">
        <f t="shared" ca="1" si="392"/>
        <v>1447.4615623933996</v>
      </c>
      <c r="L853" s="357">
        <f t="shared" ca="1" si="377"/>
        <v>2139.9796916131709</v>
      </c>
      <c r="M853" s="359">
        <f t="shared" ca="1" si="393"/>
        <v>-1.3735840491433551</v>
      </c>
      <c r="N853" s="357">
        <f t="shared" ca="1" si="394"/>
        <v>-78.700568822404506</v>
      </c>
      <c r="O853" s="343"/>
      <c r="P853" s="363">
        <f t="shared" ca="1" si="395"/>
        <v>23</v>
      </c>
      <c r="Q853" s="357">
        <f t="shared" ca="1" si="396"/>
        <v>0</v>
      </c>
      <c r="R853" s="359">
        <f t="shared" ca="1" si="397"/>
        <v>0</v>
      </c>
      <c r="S853" s="360">
        <f t="shared" ca="1" si="398"/>
        <v>9.637999999999975</v>
      </c>
      <c r="T853" s="357">
        <f t="shared" ca="1" si="378"/>
        <v>94.548779999999766</v>
      </c>
      <c r="U853" s="364">
        <f t="shared" ca="1" si="379"/>
        <v>0</v>
      </c>
      <c r="V853" s="359">
        <f t="shared" ca="1" si="380"/>
        <v>1.059652654928545</v>
      </c>
      <c r="W853" s="357">
        <f t="shared" ca="1" si="381"/>
        <v>45.956701587348348</v>
      </c>
      <c r="X853" s="343"/>
      <c r="Y853" s="367" t="str">
        <f t="shared" ca="1" si="399"/>
        <v/>
      </c>
      <c r="Z853" s="368" t="str">
        <f t="shared" ca="1" si="400"/>
        <v/>
      </c>
      <c r="AA853" s="369" t="str">
        <f t="shared" ca="1" si="401"/>
        <v/>
      </c>
      <c r="AB853" s="344"/>
      <c r="AC853" s="363" t="e">
        <f t="shared" ca="1" si="402"/>
        <v>#N/A</v>
      </c>
      <c r="AD853" s="376" t="e">
        <f t="shared" ca="1" si="403"/>
        <v>#N/A</v>
      </c>
      <c r="AE853" s="377" t="e">
        <f t="shared" ca="1" si="382"/>
        <v>#N/A</v>
      </c>
      <c r="AF853" s="344"/>
      <c r="AG853" s="359">
        <f t="shared" ca="1" si="404"/>
        <v>4.8889462242820505</v>
      </c>
      <c r="AH853" s="357">
        <f t="shared" ca="1" si="405"/>
        <v>-4.7282054738317454</v>
      </c>
    </row>
    <row r="854" spans="1:34" x14ac:dyDescent="0.25">
      <c r="A854" s="402">
        <f t="shared" ca="1" si="383"/>
        <v>0.1</v>
      </c>
      <c r="B854" s="357">
        <f t="shared" ca="1" si="384"/>
        <v>40.000000000000234</v>
      </c>
      <c r="C854" s="342"/>
      <c r="D854" s="359">
        <f t="shared" ca="1" si="385"/>
        <v>-0.93428004484616134</v>
      </c>
      <c r="E854" s="360">
        <f t="shared" ca="1" si="386"/>
        <v>-5.1341435325564531</v>
      </c>
      <c r="F854" s="357">
        <f t="shared" ca="1" si="387"/>
        <v>5.2184584903100451</v>
      </c>
      <c r="G854" s="359">
        <f t="shared" ca="1" si="388"/>
        <v>27.028339904048917</v>
      </c>
      <c r="H854" s="360">
        <f t="shared" ca="1" si="389"/>
        <v>-136.25161681534635</v>
      </c>
      <c r="I854" s="357">
        <f t="shared" ca="1" si="390"/>
        <v>138.90656659339317</v>
      </c>
      <c r="J854" s="359">
        <f t="shared" ca="1" si="391"/>
        <v>1578.895345056467</v>
      </c>
      <c r="K854" s="360">
        <f t="shared" ca="1" si="392"/>
        <v>1433.8620714295278</v>
      </c>
      <c r="L854" s="357">
        <f t="shared" ca="1" si="377"/>
        <v>2132.8082310712221</v>
      </c>
      <c r="M854" s="359">
        <f t="shared" ca="1" si="393"/>
        <v>-1.3749678115035557</v>
      </c>
      <c r="N854" s="357">
        <f t="shared" ca="1" si="394"/>
        <v>-78.779852565493073</v>
      </c>
      <c r="O854" s="343"/>
      <c r="P854" s="363">
        <f t="shared" ca="1" si="395"/>
        <v>23</v>
      </c>
      <c r="Q854" s="357">
        <f t="shared" ca="1" si="396"/>
        <v>0</v>
      </c>
      <c r="R854" s="359">
        <f t="shared" ca="1" si="397"/>
        <v>0</v>
      </c>
      <c r="S854" s="360">
        <f t="shared" ca="1" si="398"/>
        <v>9.637999999999975</v>
      </c>
      <c r="T854" s="357">
        <f t="shared" ca="1" si="378"/>
        <v>94.548779999999766</v>
      </c>
      <c r="U854" s="364">
        <f t="shared" ca="1" si="379"/>
        <v>0</v>
      </c>
      <c r="V854" s="359">
        <f t="shared" ca="1" si="380"/>
        <v>1.0611022356449247</v>
      </c>
      <c r="W854" s="357">
        <f t="shared" ca="1" si="381"/>
        <v>46.34281398374695</v>
      </c>
      <c r="X854" s="343"/>
      <c r="Y854" s="367" t="str">
        <f t="shared" ca="1" si="399"/>
        <v/>
      </c>
      <c r="Z854" s="368" t="str">
        <f t="shared" ca="1" si="400"/>
        <v/>
      </c>
      <c r="AA854" s="369" t="str">
        <f t="shared" ca="1" si="401"/>
        <v/>
      </c>
      <c r="AB854" s="344"/>
      <c r="AC854" s="363">
        <f t="shared" ca="1" si="402"/>
        <v>40.000000000000234</v>
      </c>
      <c r="AD854" s="376">
        <f t="shared" ca="1" si="403"/>
        <v>1578.895345056467</v>
      </c>
      <c r="AE854" s="377" t="e">
        <f t="shared" ca="1" si="382"/>
        <v>#N/A</v>
      </c>
      <c r="AF854" s="344"/>
      <c r="AG854" s="359">
        <f t="shared" ca="1" si="404"/>
        <v>4.8515669175451643</v>
      </c>
      <c r="AH854" s="357">
        <f t="shared" ca="1" si="405"/>
        <v>-4.7682819659004432</v>
      </c>
    </row>
    <row r="855" spans="1:34" x14ac:dyDescent="0.25">
      <c r="A855" s="402">
        <f t="shared" ca="1" si="383"/>
        <v>0.1</v>
      </c>
      <c r="B855" s="357">
        <f t="shared" ca="1" si="384"/>
        <v>40.100000000000236</v>
      </c>
      <c r="C855" s="342"/>
      <c r="D855" s="359">
        <f t="shared" ca="1" si="385"/>
        <v>-0.93560400925484466</v>
      </c>
      <c r="E855" s="360">
        <f t="shared" ca="1" si="386"/>
        <v>-5.0935594264227673</v>
      </c>
      <c r="F855" s="357">
        <f t="shared" ca="1" si="387"/>
        <v>5.1787742268449941</v>
      </c>
      <c r="G855" s="359">
        <f t="shared" ca="1" si="388"/>
        <v>26.934779503123433</v>
      </c>
      <c r="H855" s="360">
        <f t="shared" ca="1" si="389"/>
        <v>-136.76097275798864</v>
      </c>
      <c r="I855" s="357">
        <f t="shared" ca="1" si="390"/>
        <v>139.38811289558802</v>
      </c>
      <c r="J855" s="359">
        <f t="shared" ca="1" si="391"/>
        <v>1581.5935010268256</v>
      </c>
      <c r="K855" s="360">
        <f t="shared" ca="1" si="392"/>
        <v>1420.2114419508609</v>
      </c>
      <c r="L855" s="357">
        <f t="shared" ca="1" si="377"/>
        <v>2125.6619068747586</v>
      </c>
      <c r="M855" s="359">
        <f t="shared" ca="1" si="393"/>
        <v>-1.3763372420146032</v>
      </c>
      <c r="N855" s="357">
        <f t="shared" ca="1" si="394"/>
        <v>-78.858315154112532</v>
      </c>
      <c r="O855" s="343"/>
      <c r="P855" s="363">
        <f t="shared" ca="1" si="395"/>
        <v>23</v>
      </c>
      <c r="Q855" s="357">
        <f t="shared" ca="1" si="396"/>
        <v>0</v>
      </c>
      <c r="R855" s="359">
        <f t="shared" ca="1" si="397"/>
        <v>0</v>
      </c>
      <c r="S855" s="360">
        <f t="shared" ca="1" si="398"/>
        <v>9.637999999999975</v>
      </c>
      <c r="T855" s="357">
        <f t="shared" ca="1" si="378"/>
        <v>94.548779999999766</v>
      </c>
      <c r="U855" s="364">
        <f t="shared" ca="1" si="379"/>
        <v>0</v>
      </c>
      <c r="V855" s="359">
        <f t="shared" ca="1" si="380"/>
        <v>1.0625591183023959</v>
      </c>
      <c r="W855" s="357">
        <f t="shared" ca="1" si="381"/>
        <v>46.728753606573925</v>
      </c>
      <c r="X855" s="343"/>
      <c r="Y855" s="367" t="str">
        <f t="shared" ca="1" si="399"/>
        <v/>
      </c>
      <c r="Z855" s="368" t="str">
        <f t="shared" ca="1" si="400"/>
        <v/>
      </c>
      <c r="AA855" s="369" t="str">
        <f t="shared" ca="1" si="401"/>
        <v/>
      </c>
      <c r="AB855" s="344"/>
      <c r="AC855" s="363" t="e">
        <f t="shared" ca="1" si="402"/>
        <v>#N/A</v>
      </c>
      <c r="AD855" s="376" t="e">
        <f t="shared" ca="1" si="403"/>
        <v>#N/A</v>
      </c>
      <c r="AE855" s="377" t="e">
        <f t="shared" ca="1" si="382"/>
        <v>#N/A</v>
      </c>
      <c r="AF855" s="344"/>
      <c r="AG855" s="359">
        <f t="shared" ca="1" si="404"/>
        <v>4.81415602168678</v>
      </c>
      <c r="AH855" s="357">
        <f t="shared" ca="1" si="405"/>
        <v>-4.808343430561016</v>
      </c>
    </row>
    <row r="856" spans="1:34" x14ac:dyDescent="0.25">
      <c r="A856" s="402">
        <f t="shared" ca="1" si="383"/>
        <v>0.1</v>
      </c>
      <c r="B856" s="357">
        <f t="shared" ca="1" si="384"/>
        <v>40.200000000000237</v>
      </c>
      <c r="C856" s="342"/>
      <c r="D856" s="359">
        <f t="shared" ca="1" si="385"/>
        <v>-0.93688214325595265</v>
      </c>
      <c r="E856" s="360">
        <f t="shared" ca="1" si="386"/>
        <v>-5.0529937933438394</v>
      </c>
      <c r="F856" s="357">
        <f t="shared" ca="1" si="387"/>
        <v>5.1391141674342311</v>
      </c>
      <c r="G856" s="359">
        <f t="shared" ca="1" si="388"/>
        <v>26.841091288797838</v>
      </c>
      <c r="H856" s="360">
        <f t="shared" ca="1" si="389"/>
        <v>-137.26627213732303</v>
      </c>
      <c r="I856" s="357">
        <f t="shared" ca="1" si="390"/>
        <v>139.86591310269705</v>
      </c>
      <c r="J856" s="359">
        <f t="shared" ca="1" si="391"/>
        <v>1584.2822945664216</v>
      </c>
      <c r="K856" s="360">
        <f t="shared" ca="1" si="392"/>
        <v>1406.5100797060954</v>
      </c>
      <c r="L856" s="357">
        <f t="shared" ca="1" si="377"/>
        <v>2118.5421858418331</v>
      </c>
      <c r="M856" s="359">
        <f t="shared" ca="1" si="393"/>
        <v>-1.3776925716716915</v>
      </c>
      <c r="N856" s="357">
        <f t="shared" ca="1" si="394"/>
        <v>-78.935969823312604</v>
      </c>
      <c r="O856" s="343"/>
      <c r="P856" s="363">
        <f t="shared" ca="1" si="395"/>
        <v>23</v>
      </c>
      <c r="Q856" s="357">
        <f t="shared" ca="1" si="396"/>
        <v>0</v>
      </c>
      <c r="R856" s="359">
        <f t="shared" ca="1" si="397"/>
        <v>0</v>
      </c>
      <c r="S856" s="360">
        <f t="shared" ca="1" si="398"/>
        <v>9.637999999999975</v>
      </c>
      <c r="T856" s="357">
        <f t="shared" ca="1" si="378"/>
        <v>94.548779999999766</v>
      </c>
      <c r="U856" s="364">
        <f t="shared" ca="1" si="379"/>
        <v>0</v>
      </c>
      <c r="V856" s="359">
        <f t="shared" ca="1" si="380"/>
        <v>1.064023283923951</v>
      </c>
      <c r="W856" s="357">
        <f t="shared" ca="1" si="381"/>
        <v>47.114492717258116</v>
      </c>
      <c r="X856" s="343"/>
      <c r="Y856" s="367" t="str">
        <f t="shared" ca="1" si="399"/>
        <v/>
      </c>
      <c r="Z856" s="368" t="str">
        <f t="shared" ca="1" si="400"/>
        <v/>
      </c>
      <c r="AA856" s="369" t="str">
        <f t="shared" ca="1" si="401"/>
        <v/>
      </c>
      <c r="AB856" s="344"/>
      <c r="AC856" s="363" t="e">
        <f t="shared" ca="1" si="402"/>
        <v>#N/A</v>
      </c>
      <c r="AD856" s="376" t="e">
        <f t="shared" ca="1" si="403"/>
        <v>#N/A</v>
      </c>
      <c r="AE856" s="377" t="e">
        <f t="shared" ca="1" si="382"/>
        <v>#N/A</v>
      </c>
      <c r="AF856" s="344"/>
      <c r="AG856" s="359">
        <f t="shared" ca="1" si="404"/>
        <v>4.7767174598849502</v>
      </c>
      <c r="AH856" s="357">
        <f t="shared" ca="1" si="405"/>
        <v>-4.848386968932771</v>
      </c>
    </row>
    <row r="857" spans="1:34" x14ac:dyDescent="0.25">
      <c r="A857" s="402">
        <f t="shared" ca="1" si="383"/>
        <v>0.1</v>
      </c>
      <c r="B857" s="357">
        <f t="shared" ca="1" si="384"/>
        <v>40.300000000000239</v>
      </c>
      <c r="C857" s="342"/>
      <c r="D857" s="359">
        <f t="shared" ca="1" si="385"/>
        <v>-0.93811457119086816</v>
      </c>
      <c r="E857" s="360">
        <f t="shared" ca="1" si="386"/>
        <v>-5.0124495338303667</v>
      </c>
      <c r="F857" s="357">
        <f t="shared" ca="1" si="387"/>
        <v>5.0994812753727103</v>
      </c>
      <c r="G857" s="359">
        <f t="shared" ca="1" si="388"/>
        <v>26.74727983167875</v>
      </c>
      <c r="H857" s="360">
        <f t="shared" ca="1" si="389"/>
        <v>-137.76751709070606</v>
      </c>
      <c r="I857" s="357">
        <f t="shared" ca="1" si="390"/>
        <v>140.33996488431981</v>
      </c>
      <c r="J857" s="359">
        <f t="shared" ca="1" si="391"/>
        <v>1586.9617131224454</v>
      </c>
      <c r="K857" s="360">
        <f t="shared" ca="1" si="392"/>
        <v>1392.7583902446941</v>
      </c>
      <c r="L857" s="357">
        <f t="shared" ca="1" si="377"/>
        <v>2111.4505470205827</v>
      </c>
      <c r="M857" s="359">
        <f t="shared" ca="1" si="393"/>
        <v>-1.3790340265164986</v>
      </c>
      <c r="N857" s="357">
        <f t="shared" ca="1" si="394"/>
        <v>-79.012829524327429</v>
      </c>
      <c r="O857" s="343"/>
      <c r="P857" s="363">
        <f t="shared" ca="1" si="395"/>
        <v>23</v>
      </c>
      <c r="Q857" s="357">
        <f t="shared" ca="1" si="396"/>
        <v>0</v>
      </c>
      <c r="R857" s="359">
        <f t="shared" ca="1" si="397"/>
        <v>0</v>
      </c>
      <c r="S857" s="360">
        <f t="shared" ca="1" si="398"/>
        <v>9.637999999999975</v>
      </c>
      <c r="T857" s="357">
        <f t="shared" ca="1" si="378"/>
        <v>94.548779999999766</v>
      </c>
      <c r="U857" s="364">
        <f t="shared" ca="1" si="379"/>
        <v>0</v>
      </c>
      <c r="V857" s="359">
        <f t="shared" ca="1" si="380"/>
        <v>1.0654947134982125</v>
      </c>
      <c r="W857" s="357">
        <f t="shared" ca="1" si="381"/>
        <v>47.500003781176247</v>
      </c>
      <c r="X857" s="343"/>
      <c r="Y857" s="367" t="str">
        <f t="shared" ca="1" si="399"/>
        <v/>
      </c>
      <c r="Z857" s="368" t="str">
        <f t="shared" ca="1" si="400"/>
        <v/>
      </c>
      <c r="AA857" s="369" t="str">
        <f t="shared" ca="1" si="401"/>
        <v/>
      </c>
      <c r="AB857" s="344"/>
      <c r="AC857" s="363" t="e">
        <f t="shared" ca="1" si="402"/>
        <v>#N/A</v>
      </c>
      <c r="AD857" s="376" t="e">
        <f t="shared" ca="1" si="403"/>
        <v>#N/A</v>
      </c>
      <c r="AE857" s="377" t="e">
        <f t="shared" ca="1" si="382"/>
        <v>#N/A</v>
      </c>
      <c r="AF857" s="344"/>
      <c r="AG857" s="359">
        <f t="shared" ca="1" si="404"/>
        <v>4.7392551068105062</v>
      </c>
      <c r="AH857" s="357">
        <f t="shared" ca="1" si="405"/>
        <v>-4.8884097029734628</v>
      </c>
    </row>
    <row r="858" spans="1:34" x14ac:dyDescent="0.25">
      <c r="A858" s="402">
        <f t="shared" ca="1" si="383"/>
        <v>0.1</v>
      </c>
      <c r="B858" s="357">
        <f t="shared" ca="1" si="384"/>
        <v>40.40000000000024</v>
      </c>
      <c r="C858" s="342"/>
      <c r="D858" s="359">
        <f t="shared" ca="1" si="385"/>
        <v>-0.93930142251301518</v>
      </c>
      <c r="E858" s="360">
        <f t="shared" ca="1" si="386"/>
        <v>-4.971929527273935</v>
      </c>
      <c r="F858" s="357">
        <f t="shared" ca="1" si="387"/>
        <v>5.0598784952322111</v>
      </c>
      <c r="G858" s="359">
        <f t="shared" ca="1" si="388"/>
        <v>26.653349689427447</v>
      </c>
      <c r="H858" s="360">
        <f t="shared" ca="1" si="389"/>
        <v>-138.26471004343347</v>
      </c>
      <c r="I858" s="357">
        <f t="shared" ca="1" si="390"/>
        <v>140.81026629142363</v>
      </c>
      <c r="J858" s="359">
        <f t="shared" ca="1" si="391"/>
        <v>1589.6317445985007</v>
      </c>
      <c r="K858" s="360">
        <f t="shared" ca="1" si="392"/>
        <v>1378.9567788879872</v>
      </c>
      <c r="L858" s="357">
        <f t="shared" ca="1" si="377"/>
        <v>2104.3884815965912</v>
      </c>
      <c r="M858" s="359">
        <f t="shared" ca="1" si="393"/>
        <v>-1.3803618277660497</v>
      </c>
      <c r="N858" s="357">
        <f t="shared" ca="1" si="394"/>
        <v>-79.088906931958903</v>
      </c>
      <c r="O858" s="343"/>
      <c r="P858" s="363">
        <f t="shared" ca="1" si="395"/>
        <v>23</v>
      </c>
      <c r="Q858" s="357">
        <f t="shared" ca="1" si="396"/>
        <v>0</v>
      </c>
      <c r="R858" s="359">
        <f t="shared" ca="1" si="397"/>
        <v>0</v>
      </c>
      <c r="S858" s="360">
        <f t="shared" ca="1" si="398"/>
        <v>9.637999999999975</v>
      </c>
      <c r="T858" s="357">
        <f t="shared" ca="1" si="378"/>
        <v>94.548779999999766</v>
      </c>
      <c r="U858" s="364">
        <f t="shared" ca="1" si="379"/>
        <v>0</v>
      </c>
      <c r="V858" s="359">
        <f t="shared" ca="1" si="380"/>
        <v>1.0669733879806602</v>
      </c>
      <c r="W858" s="357">
        <f t="shared" ca="1" si="381"/>
        <v>47.885259470697456</v>
      </c>
      <c r="X858" s="343"/>
      <c r="Y858" s="367" t="str">
        <f t="shared" ca="1" si="399"/>
        <v/>
      </c>
      <c r="Z858" s="368" t="str">
        <f t="shared" ca="1" si="400"/>
        <v/>
      </c>
      <c r="AA858" s="369" t="str">
        <f t="shared" ca="1" si="401"/>
        <v/>
      </c>
      <c r="AB858" s="344"/>
      <c r="AC858" s="363" t="e">
        <f t="shared" ca="1" si="402"/>
        <v>#N/A</v>
      </c>
      <c r="AD858" s="376" t="e">
        <f t="shared" ca="1" si="403"/>
        <v>#N/A</v>
      </c>
      <c r="AE858" s="377" t="e">
        <f t="shared" ca="1" si="382"/>
        <v>#N/A</v>
      </c>
      <c r="AF858" s="344"/>
      <c r="AG858" s="359">
        <f t="shared" ca="1" si="404"/>
        <v>4.7017727891848242</v>
      </c>
      <c r="AH858" s="357">
        <f t="shared" ca="1" si="405"/>
        <v>-4.9284087758016568</v>
      </c>
    </row>
    <row r="859" spans="1:34" x14ac:dyDescent="0.25">
      <c r="A859" s="402">
        <f t="shared" ca="1" si="383"/>
        <v>0.1</v>
      </c>
      <c r="B859" s="357">
        <f t="shared" ca="1" si="384"/>
        <v>40.500000000000242</v>
      </c>
      <c r="C859" s="342"/>
      <c r="D859" s="359">
        <f t="shared" ca="1" si="385"/>
        <v>-0.94044283171480725</v>
      </c>
      <c r="E859" s="360">
        <f t="shared" ca="1" si="386"/>
        <v>-4.9314366316196194</v>
      </c>
      <c r="F859" s="357">
        <f t="shared" ca="1" si="387"/>
        <v>5.020308752597157</v>
      </c>
      <c r="G859" s="359">
        <f t="shared" ca="1" si="388"/>
        <v>26.559305406255966</v>
      </c>
      <c r="H859" s="360">
        <f t="shared" ca="1" si="389"/>
        <v>-138.75785370659543</v>
      </c>
      <c r="I859" s="357">
        <f t="shared" ca="1" si="390"/>
        <v>141.27681575164311</v>
      </c>
      <c r="J859" s="359">
        <f t="shared" ca="1" si="391"/>
        <v>1592.292377353285</v>
      </c>
      <c r="K859" s="360">
        <f t="shared" ca="1" si="392"/>
        <v>1365.1056507004857</v>
      </c>
      <c r="L859" s="357">
        <f t="shared" ca="1" si="377"/>
        <v>2097.3574927874774</v>
      </c>
      <c r="M859" s="359">
        <f t="shared" ca="1" si="393"/>
        <v>-1.3816761919376626</v>
      </c>
      <c r="N859" s="357">
        <f t="shared" ca="1" si="394"/>
        <v>-79.164214451735532</v>
      </c>
      <c r="O859" s="343"/>
      <c r="P859" s="363">
        <f t="shared" ca="1" si="395"/>
        <v>23</v>
      </c>
      <c r="Q859" s="357">
        <f t="shared" ca="1" si="396"/>
        <v>0</v>
      </c>
      <c r="R859" s="359">
        <f t="shared" ca="1" si="397"/>
        <v>0</v>
      </c>
      <c r="S859" s="360">
        <f t="shared" ca="1" si="398"/>
        <v>9.637999999999975</v>
      </c>
      <c r="T859" s="357">
        <f t="shared" ca="1" si="378"/>
        <v>94.548779999999766</v>
      </c>
      <c r="U859" s="364">
        <f t="shared" ca="1" si="379"/>
        <v>0</v>
      </c>
      <c r="V859" s="359">
        <f t="shared" ca="1" si="380"/>
        <v>1.0684592882948587</v>
      </c>
      <c r="W859" s="357">
        <f t="shared" ca="1" si="381"/>
        <v>48.27023266816559</v>
      </c>
      <c r="X859" s="343"/>
      <c r="Y859" s="367" t="str">
        <f t="shared" ca="1" si="399"/>
        <v/>
      </c>
      <c r="Z859" s="368" t="str">
        <f t="shared" ca="1" si="400"/>
        <v/>
      </c>
      <c r="AA859" s="369" t="str">
        <f t="shared" ca="1" si="401"/>
        <v/>
      </c>
      <c r="AB859" s="344"/>
      <c r="AC859" s="363" t="e">
        <f t="shared" ca="1" si="402"/>
        <v>#N/A</v>
      </c>
      <c r="AD859" s="376" t="e">
        <f t="shared" ca="1" si="403"/>
        <v>#N/A</v>
      </c>
      <c r="AE859" s="377" t="e">
        <f t="shared" ca="1" si="382"/>
        <v>#N/A</v>
      </c>
      <c r="AF859" s="344"/>
      <c r="AG859" s="359">
        <f t="shared" ca="1" si="404"/>
        <v>4.6642742863120725</v>
      </c>
      <c r="AH859" s="357">
        <f t="shared" ca="1" si="405"/>
        <v>-4.9683813520126145</v>
      </c>
    </row>
    <row r="860" spans="1:34" x14ac:dyDescent="0.25">
      <c r="A860" s="402">
        <f t="shared" ca="1" si="383"/>
        <v>0.1</v>
      </c>
      <c r="B860" s="357">
        <f t="shared" ca="1" si="384"/>
        <v>40.600000000000243</v>
      </c>
      <c r="C860" s="342"/>
      <c r="D860" s="359">
        <f t="shared" ca="1" si="385"/>
        <v>-0.94153893825469492</v>
      </c>
      <c r="E860" s="360">
        <f t="shared" ca="1" si="386"/>
        <v>-4.8909736830453792</v>
      </c>
      <c r="F860" s="357">
        <f t="shared" ca="1" si="387"/>
        <v>4.9807749538091217</v>
      </c>
      <c r="G860" s="359">
        <f t="shared" ca="1" si="388"/>
        <v>26.465151512430495</v>
      </c>
      <c r="H860" s="360">
        <f t="shared" ca="1" si="389"/>
        <v>-139.24695107489995</v>
      </c>
      <c r="I860" s="357">
        <f t="shared" ca="1" si="390"/>
        <v>141.73961206462886</v>
      </c>
      <c r="J860" s="359">
        <f t="shared" ca="1" si="391"/>
        <v>1594.9436001992194</v>
      </c>
      <c r="K860" s="360">
        <f t="shared" ca="1" si="392"/>
        <v>1351.205410461411</v>
      </c>
      <c r="L860" s="357">
        <f t="shared" ca="1" si="377"/>
        <v>2090.3590957241386</v>
      </c>
      <c r="M860" s="359">
        <f t="shared" ca="1" si="393"/>
        <v>-1.3829773309701117</v>
      </c>
      <c r="N860" s="357">
        <f t="shared" ca="1" si="394"/>
        <v>-79.238764226854599</v>
      </c>
      <c r="O860" s="343"/>
      <c r="P860" s="363">
        <f t="shared" ca="1" si="395"/>
        <v>23</v>
      </c>
      <c r="Q860" s="357">
        <f t="shared" ca="1" si="396"/>
        <v>0</v>
      </c>
      <c r="R860" s="359">
        <f t="shared" ca="1" si="397"/>
        <v>0</v>
      </c>
      <c r="S860" s="360">
        <f t="shared" ca="1" si="398"/>
        <v>9.637999999999975</v>
      </c>
      <c r="T860" s="357">
        <f t="shared" ca="1" si="378"/>
        <v>94.548779999999766</v>
      </c>
      <c r="U860" s="364">
        <f t="shared" ca="1" si="379"/>
        <v>0</v>
      </c>
      <c r="V860" s="359">
        <f t="shared" ca="1" si="380"/>
        <v>1.0699523953336874</v>
      </c>
      <c r="W860" s="357">
        <f t="shared" ca="1" si="381"/>
        <v>48.654896468818471</v>
      </c>
      <c r="X860" s="343"/>
      <c r="Y860" s="367" t="str">
        <f t="shared" ca="1" si="399"/>
        <v/>
      </c>
      <c r="Z860" s="368" t="str">
        <f t="shared" ca="1" si="400"/>
        <v/>
      </c>
      <c r="AA860" s="369" t="str">
        <f t="shared" ca="1" si="401"/>
        <v/>
      </c>
      <c r="AB860" s="344"/>
      <c r="AC860" s="363" t="e">
        <f t="shared" ca="1" si="402"/>
        <v>#N/A</v>
      </c>
      <c r="AD860" s="376" t="e">
        <f t="shared" ca="1" si="403"/>
        <v>#N/A</v>
      </c>
      <c r="AE860" s="377" t="e">
        <f t="shared" ca="1" si="382"/>
        <v>#N/A</v>
      </c>
      <c r="AF860" s="344"/>
      <c r="AG860" s="359">
        <f t="shared" ca="1" si="404"/>
        <v>4.62676333058723</v>
      </c>
      <c r="AH860" s="357">
        <f t="shared" ca="1" si="405"/>
        <v>-5.0083246179877277</v>
      </c>
    </row>
    <row r="861" spans="1:34" x14ac:dyDescent="0.25">
      <c r="A861" s="402">
        <f t="shared" ca="1" si="383"/>
        <v>0.1</v>
      </c>
      <c r="B861" s="357">
        <f t="shared" ca="1" si="384"/>
        <v>40.700000000000244</v>
      </c>
      <c r="C861" s="342"/>
      <c r="D861" s="359">
        <f t="shared" ca="1" si="385"/>
        <v>-0.9425898864843012</v>
      </c>
      <c r="E861" s="360">
        <f t="shared" ca="1" si="386"/>
        <v>-4.8505434956483633</v>
      </c>
      <c r="F861" s="357">
        <f t="shared" ca="1" si="387"/>
        <v>4.941279985720211</v>
      </c>
      <c r="G861" s="359">
        <f t="shared" ca="1" si="388"/>
        <v>26.370892523782064</v>
      </c>
      <c r="H861" s="360">
        <f t="shared" ca="1" si="389"/>
        <v>-139.7320054244648</v>
      </c>
      <c r="I861" s="357">
        <f t="shared" ca="1" si="390"/>
        <v>142.19865439744331</v>
      </c>
      <c r="J861" s="359">
        <f t="shared" ca="1" si="391"/>
        <v>1597.58540240103</v>
      </c>
      <c r="K861" s="360">
        <f t="shared" ca="1" si="392"/>
        <v>1337.2564626364428</v>
      </c>
      <c r="L861" s="357">
        <f t="shared" ca="1" si="377"/>
        <v>2083.3948173180697</v>
      </c>
      <c r="M861" s="359">
        <f t="shared" ca="1" si="393"/>
        <v>-1.3842654523411402</v>
      </c>
      <c r="N861" s="357">
        <f t="shared" ca="1" si="394"/>
        <v>-79.312568144915133</v>
      </c>
      <c r="O861" s="343"/>
      <c r="P861" s="363">
        <f t="shared" ca="1" si="395"/>
        <v>23</v>
      </c>
      <c r="Q861" s="357">
        <f t="shared" ca="1" si="396"/>
        <v>0</v>
      </c>
      <c r="R861" s="359">
        <f t="shared" ca="1" si="397"/>
        <v>0</v>
      </c>
      <c r="S861" s="360">
        <f t="shared" ca="1" si="398"/>
        <v>9.637999999999975</v>
      </c>
      <c r="T861" s="357">
        <f t="shared" ca="1" si="378"/>
        <v>94.548779999999766</v>
      </c>
      <c r="U861" s="364">
        <f t="shared" ca="1" si="379"/>
        <v>0</v>
      </c>
      <c r="V861" s="359">
        <f t="shared" ca="1" si="380"/>
        <v>1.0714526899605692</v>
      </c>
      <c r="W861" s="357">
        <f t="shared" ca="1" si="381"/>
        <v>49.039224183643839</v>
      </c>
      <c r="X861" s="343"/>
      <c r="Y861" s="367" t="str">
        <f t="shared" ca="1" si="399"/>
        <v/>
      </c>
      <c r="Z861" s="368" t="str">
        <f t="shared" ca="1" si="400"/>
        <v/>
      </c>
      <c r="AA861" s="369" t="str">
        <f t="shared" ca="1" si="401"/>
        <v/>
      </c>
      <c r="AB861" s="344"/>
      <c r="AC861" s="363" t="e">
        <f t="shared" ca="1" si="402"/>
        <v>#N/A</v>
      </c>
      <c r="AD861" s="376" t="e">
        <f t="shared" ca="1" si="403"/>
        <v>#N/A</v>
      </c>
      <c r="AE861" s="377" t="e">
        <f t="shared" ca="1" si="382"/>
        <v>#N/A</v>
      </c>
      <c r="AF861" s="344"/>
      <c r="AG861" s="359">
        <f t="shared" ca="1" si="404"/>
        <v>4.5892436079811816</v>
      </c>
      <c r="AH861" s="357">
        <f t="shared" ca="1" si="405"/>
        <v>-5.0482357821974055</v>
      </c>
    </row>
    <row r="862" spans="1:34" x14ac:dyDescent="0.25">
      <c r="A862" s="402">
        <f t="shared" ca="1" si="383"/>
        <v>0.1</v>
      </c>
      <c r="B862" s="357">
        <f t="shared" ca="1" si="384"/>
        <v>40.800000000000246</v>
      </c>
      <c r="C862" s="342"/>
      <c r="D862" s="359">
        <f t="shared" ca="1" si="385"/>
        <v>-0.9435958255756336</v>
      </c>
      <c r="E862" s="360">
        <f t="shared" ca="1" si="386"/>
        <v>-4.8101488611380923</v>
      </c>
      <c r="F862" s="357">
        <f t="shared" ca="1" si="387"/>
        <v>4.9018267154553561</v>
      </c>
      <c r="G862" s="359">
        <f t="shared" ca="1" si="388"/>
        <v>26.276532941224502</v>
      </c>
      <c r="H862" s="360">
        <f t="shared" ca="1" si="389"/>
        <v>-140.2130203105786</v>
      </c>
      <c r="I862" s="357">
        <f t="shared" ca="1" si="390"/>
        <v>142.65394228000144</v>
      </c>
      <c r="J862" s="359">
        <f t="shared" ca="1" si="391"/>
        <v>1600.2177736742804</v>
      </c>
      <c r="K862" s="360">
        <f t="shared" ca="1" si="392"/>
        <v>1323.2592113496908</v>
      </c>
      <c r="L862" s="357">
        <f t="shared" ca="1" si="377"/>
        <v>2076.466196114176</v>
      </c>
      <c r="M862" s="359">
        <f t="shared" ca="1" si="393"/>
        <v>-1.3855407591814441</v>
      </c>
      <c r="N862" s="357">
        <f t="shared" ca="1" si="394"/>
        <v>-79.385637844448709</v>
      </c>
      <c r="O862" s="343"/>
      <c r="P862" s="363">
        <f t="shared" ca="1" si="395"/>
        <v>23</v>
      </c>
      <c r="Q862" s="357">
        <f t="shared" ca="1" si="396"/>
        <v>0</v>
      </c>
      <c r="R862" s="359">
        <f t="shared" ca="1" si="397"/>
        <v>0</v>
      </c>
      <c r="S862" s="360">
        <f t="shared" ca="1" si="398"/>
        <v>9.637999999999975</v>
      </c>
      <c r="T862" s="357">
        <f t="shared" ca="1" si="378"/>
        <v>94.548779999999766</v>
      </c>
      <c r="U862" s="364">
        <f t="shared" ca="1" si="379"/>
        <v>0</v>
      </c>
      <c r="V862" s="359">
        <f t="shared" ca="1" si="380"/>
        <v>1.0729601530107022</v>
      </c>
      <c r="W862" s="357">
        <f t="shared" ca="1" si="381"/>
        <v>49.42318934217122</v>
      </c>
      <c r="X862" s="343"/>
      <c r="Y862" s="367" t="str">
        <f t="shared" ca="1" si="399"/>
        <v/>
      </c>
      <c r="Z862" s="368" t="str">
        <f t="shared" ca="1" si="400"/>
        <v/>
      </c>
      <c r="AA862" s="369" t="str">
        <f t="shared" ca="1" si="401"/>
        <v/>
      </c>
      <c r="AB862" s="344"/>
      <c r="AC862" s="363" t="e">
        <f t="shared" ca="1" si="402"/>
        <v>#N/A</v>
      </c>
      <c r="AD862" s="376" t="e">
        <f t="shared" ca="1" si="403"/>
        <v>#N/A</v>
      </c>
      <c r="AE862" s="377" t="e">
        <f t="shared" ca="1" si="382"/>
        <v>#N/A</v>
      </c>
      <c r="AF862" s="344"/>
      <c r="AG862" s="359">
        <f t="shared" ca="1" si="404"/>
        <v>4.5517187585041174</v>
      </c>
      <c r="AH862" s="357">
        <f t="shared" ca="1" si="405"/>
        <v>-5.0881120754974027</v>
      </c>
    </row>
    <row r="863" spans="1:34" x14ac:dyDescent="0.25">
      <c r="A863" s="402">
        <f t="shared" ca="1" si="383"/>
        <v>0.1</v>
      </c>
      <c r="B863" s="357">
        <f t="shared" ca="1" si="384"/>
        <v>40.900000000000247</v>
      </c>
      <c r="C863" s="342"/>
      <c r="D863" s="359">
        <f t="shared" ca="1" si="385"/>
        <v>-0.94455690944837301</v>
      </c>
      <c r="E863" s="360">
        <f t="shared" ca="1" si="386"/>
        <v>-4.7697925485366452</v>
      </c>
      <c r="F863" s="357">
        <f t="shared" ca="1" si="387"/>
        <v>4.8624179901837286</v>
      </c>
      <c r="G863" s="359">
        <f t="shared" ca="1" si="388"/>
        <v>26.182077250279665</v>
      </c>
      <c r="H863" s="360">
        <f t="shared" ca="1" si="389"/>
        <v>-140.68999956543226</v>
      </c>
      <c r="I863" s="357">
        <f t="shared" ca="1" si="390"/>
        <v>143.10547560055466</v>
      </c>
      <c r="J863" s="359">
        <f t="shared" ca="1" si="391"/>
        <v>1602.8407041838555</v>
      </c>
      <c r="K863" s="360">
        <f t="shared" ca="1" si="392"/>
        <v>1309.2140603558903</v>
      </c>
      <c r="L863" s="357">
        <f t="shared" ca="1" si="377"/>
        <v>2069.5747821284822</v>
      </c>
      <c r="M863" s="359">
        <f t="shared" ca="1" si="393"/>
        <v>-1.3868034503852509</v>
      </c>
      <c r="N863" s="357">
        <f t="shared" ca="1" si="394"/>
        <v>-79.45798472125513</v>
      </c>
      <c r="O863" s="343"/>
      <c r="P863" s="363">
        <f t="shared" ca="1" si="395"/>
        <v>23</v>
      </c>
      <c r="Q863" s="357">
        <f t="shared" ca="1" si="396"/>
        <v>0</v>
      </c>
      <c r="R863" s="359">
        <f t="shared" ca="1" si="397"/>
        <v>0</v>
      </c>
      <c r="S863" s="360">
        <f t="shared" ca="1" si="398"/>
        <v>9.637999999999975</v>
      </c>
      <c r="T863" s="357">
        <f t="shared" ca="1" si="378"/>
        <v>94.548779999999766</v>
      </c>
      <c r="U863" s="364">
        <f t="shared" ca="1" si="379"/>
        <v>0</v>
      </c>
      <c r="V863" s="359">
        <f t="shared" ca="1" si="380"/>
        <v>1.0744747652922888</v>
      </c>
      <c r="W863" s="357">
        <f t="shared" ca="1" si="381"/>
        <v>49.806765695199815</v>
      </c>
      <c r="X863" s="343"/>
      <c r="Y863" s="367" t="str">
        <f t="shared" ca="1" si="399"/>
        <v/>
      </c>
      <c r="Z863" s="368" t="str">
        <f t="shared" ca="1" si="400"/>
        <v/>
      </c>
      <c r="AA863" s="369" t="str">
        <f t="shared" ca="1" si="401"/>
        <v/>
      </c>
      <c r="AB863" s="344"/>
      <c r="AC863" s="363" t="e">
        <f t="shared" ca="1" si="402"/>
        <v>#N/A</v>
      </c>
      <c r="AD863" s="376" t="e">
        <f t="shared" ca="1" si="403"/>
        <v>#N/A</v>
      </c>
      <c r="AE863" s="377" t="e">
        <f t="shared" ca="1" si="382"/>
        <v>#N/A</v>
      </c>
      <c r="AF863" s="344"/>
      <c r="AG863" s="359">
        <f t="shared" ca="1" si="404"/>
        <v>4.5141923766484728</v>
      </c>
      <c r="AH863" s="357">
        <f t="shared" ca="1" si="405"/>
        <v>-5.1279507514184841</v>
      </c>
    </row>
    <row r="864" spans="1:34" x14ac:dyDescent="0.25">
      <c r="A864" s="402">
        <f t="shared" ca="1" si="383"/>
        <v>0.1</v>
      </c>
      <c r="B864" s="357">
        <f t="shared" ca="1" si="384"/>
        <v>41.000000000000249</v>
      </c>
      <c r="C864" s="342"/>
      <c r="D864" s="359">
        <f t="shared" ca="1" si="385"/>
        <v>-0.94547329669723423</v>
      </c>
      <c r="E864" s="360">
        <f t="shared" ca="1" si="386"/>
        <v>-4.7294773038857763</v>
      </c>
      <c r="F864" s="357">
        <f t="shared" ca="1" si="387"/>
        <v>4.823056636899282</v>
      </c>
      <c r="G864" s="359">
        <f t="shared" ca="1" si="388"/>
        <v>26.087529920609942</v>
      </c>
      <c r="H864" s="360">
        <f t="shared" ca="1" si="389"/>
        <v>-141.16294729582083</v>
      </c>
      <c r="I864" s="357">
        <f t="shared" ca="1" si="390"/>
        <v>143.55325460121551</v>
      </c>
      <c r="J864" s="359">
        <f t="shared" ca="1" si="391"/>
        <v>1605.4541845423998</v>
      </c>
      <c r="K864" s="360">
        <f t="shared" ca="1" si="392"/>
        <v>1295.1214130128276</v>
      </c>
      <c r="L864" s="357">
        <f t="shared" ca="1" si="377"/>
        <v>2062.7221366701442</v>
      </c>
      <c r="M864" s="359">
        <f t="shared" ca="1" si="393"/>
        <v>-1.3880537207176056</v>
      </c>
      <c r="N864" s="357">
        <f t="shared" ca="1" si="394"/>
        <v>-79.529619934549473</v>
      </c>
      <c r="O864" s="343"/>
      <c r="P864" s="363">
        <f t="shared" ca="1" si="395"/>
        <v>23</v>
      </c>
      <c r="Q864" s="357">
        <f t="shared" ca="1" si="396"/>
        <v>0</v>
      </c>
      <c r="R864" s="359">
        <f t="shared" ca="1" si="397"/>
        <v>0</v>
      </c>
      <c r="S864" s="360">
        <f t="shared" ca="1" si="398"/>
        <v>9.637999999999975</v>
      </c>
      <c r="T864" s="357">
        <f t="shared" ca="1" si="378"/>
        <v>94.548779999999766</v>
      </c>
      <c r="U864" s="364">
        <f t="shared" ca="1" si="379"/>
        <v>0</v>
      </c>
      <c r="V864" s="359">
        <f t="shared" ca="1" si="380"/>
        <v>1.0759965075877675</v>
      </c>
      <c r="W864" s="357">
        <f t="shared" ca="1" si="381"/>
        <v>50.189927217461516</v>
      </c>
      <c r="X864" s="343"/>
      <c r="Y864" s="367" t="str">
        <f t="shared" ca="1" si="399"/>
        <v/>
      </c>
      <c r="Z864" s="368" t="str">
        <f t="shared" ca="1" si="400"/>
        <v/>
      </c>
      <c r="AA864" s="369" t="str">
        <f t="shared" ca="1" si="401"/>
        <v/>
      </c>
      <c r="AB864" s="344"/>
      <c r="AC864" s="363">
        <f t="shared" ca="1" si="402"/>
        <v>41.000000000000249</v>
      </c>
      <c r="AD864" s="376">
        <f t="shared" ca="1" si="403"/>
        <v>1605.4541845423998</v>
      </c>
      <c r="AE864" s="377" t="e">
        <f t="shared" ca="1" si="382"/>
        <v>#N/A</v>
      </c>
      <c r="AF864" s="344"/>
      <c r="AG864" s="359">
        <f t="shared" ca="1" si="404"/>
        <v>4.4766680118124373</v>
      </c>
      <c r="AH864" s="357">
        <f t="shared" ca="1" si="405"/>
        <v>-5.1677490864494651</v>
      </c>
    </row>
    <row r="865" spans="1:34" x14ac:dyDescent="0.25">
      <c r="A865" s="402">
        <f t="shared" ca="1" si="383"/>
        <v>0.1</v>
      </c>
      <c r="B865" s="357">
        <f t="shared" ca="1" si="384"/>
        <v>41.10000000000025</v>
      </c>
      <c r="C865" s="342"/>
      <c r="D865" s="359">
        <f t="shared" ca="1" si="385"/>
        <v>-0.94634515051939361</v>
      </c>
      <c r="E865" s="360">
        <f t="shared" ca="1" si="386"/>
        <v>-4.6892058499610769</v>
      </c>
      <c r="F865" s="357">
        <f t="shared" ca="1" si="387"/>
        <v>4.7837454622106259</v>
      </c>
      <c r="G865" s="359">
        <f t="shared" ca="1" si="388"/>
        <v>25.992895405558002</v>
      </c>
      <c r="H865" s="360">
        <f t="shared" ca="1" si="389"/>
        <v>-141.63186788081694</v>
      </c>
      <c r="I865" s="357">
        <f t="shared" ca="1" si="390"/>
        <v>143.99727987352213</v>
      </c>
      <c r="J865" s="359">
        <f t="shared" ca="1" si="391"/>
        <v>1608.0582058087082</v>
      </c>
      <c r="K865" s="360">
        <f t="shared" ca="1" si="392"/>
        <v>1280.9816722539956</v>
      </c>
      <c r="L865" s="357">
        <f t="shared" ca="1" si="377"/>
        <v>2055.9098321471602</v>
      </c>
      <c r="M865" s="359">
        <f t="shared" ca="1" si="393"/>
        <v>-1.3892917609184794</v>
      </c>
      <c r="N865" s="357">
        <f t="shared" ca="1" si="394"/>
        <v>-79.600554412927082</v>
      </c>
      <c r="O865" s="343"/>
      <c r="P865" s="363">
        <f t="shared" ca="1" si="395"/>
        <v>23</v>
      </c>
      <c r="Q865" s="357">
        <f t="shared" ca="1" si="396"/>
        <v>0</v>
      </c>
      <c r="R865" s="359">
        <f t="shared" ca="1" si="397"/>
        <v>0</v>
      </c>
      <c r="S865" s="360">
        <f t="shared" ca="1" si="398"/>
        <v>9.637999999999975</v>
      </c>
      <c r="T865" s="357">
        <f t="shared" ca="1" si="378"/>
        <v>94.548779999999766</v>
      </c>
      <c r="U865" s="364">
        <f t="shared" ca="1" si="379"/>
        <v>0</v>
      </c>
      <c r="V865" s="359">
        <f t="shared" ca="1" si="380"/>
        <v>1.0775253606550437</v>
      </c>
      <c r="W865" s="357">
        <f t="shared" ca="1" si="381"/>
        <v>50.572648110219184</v>
      </c>
      <c r="X865" s="343"/>
      <c r="Y865" s="367" t="str">
        <f t="shared" ca="1" si="399"/>
        <v/>
      </c>
      <c r="Z865" s="368" t="str">
        <f t="shared" ca="1" si="400"/>
        <v/>
      </c>
      <c r="AA865" s="369" t="str">
        <f t="shared" ca="1" si="401"/>
        <v/>
      </c>
      <c r="AB865" s="344"/>
      <c r="AC865" s="363" t="e">
        <f t="shared" ca="1" si="402"/>
        <v>#N/A</v>
      </c>
      <c r="AD865" s="376" t="e">
        <f t="shared" ca="1" si="403"/>
        <v>#N/A</v>
      </c>
      <c r="AE865" s="377" t="e">
        <f t="shared" ca="1" si="382"/>
        <v>#N/A</v>
      </c>
      <c r="AF865" s="344"/>
      <c r="AG865" s="359">
        <f t="shared" ca="1" si="404"/>
        <v>4.439149168705196</v>
      </c>
      <c r="AH865" s="357">
        <f t="shared" ca="1" si="405"/>
        <v>-5.2075043803135141</v>
      </c>
    </row>
    <row r="866" spans="1:34" x14ac:dyDescent="0.25">
      <c r="A866" s="402">
        <f t="shared" ca="1" si="383"/>
        <v>0.1</v>
      </c>
      <c r="B866" s="357">
        <f t="shared" ca="1" si="384"/>
        <v>41.200000000000252</v>
      </c>
      <c r="C866" s="342"/>
      <c r="D866" s="359">
        <f t="shared" ca="1" si="385"/>
        <v>-0.94717263864198042</v>
      </c>
      <c r="E866" s="360">
        <f t="shared" ca="1" si="386"/>
        <v>-4.6489808859931481</v>
      </c>
      <c r="F866" s="357">
        <f t="shared" ca="1" si="387"/>
        <v>4.7444872521402823</v>
      </c>
      <c r="G866" s="359">
        <f t="shared" ca="1" si="388"/>
        <v>25.898178141693805</v>
      </c>
      <c r="H866" s="360">
        <f t="shared" ca="1" si="389"/>
        <v>-142.09676596941625</v>
      </c>
      <c r="I866" s="357">
        <f t="shared" ca="1" si="390"/>
        <v>144.4375523540397</v>
      </c>
      <c r="J866" s="359">
        <f t="shared" ca="1" si="391"/>
        <v>1610.6527594860709</v>
      </c>
      <c r="K866" s="360">
        <f t="shared" ca="1" si="392"/>
        <v>1266.795240561484</v>
      </c>
      <c r="L866" s="357">
        <f t="shared" ca="1" si="377"/>
        <v>2049.1394518551742</v>
      </c>
      <c r="M866" s="359">
        <f t="shared" ca="1" si="393"/>
        <v>-1.3905177578038033</v>
      </c>
      <c r="N866" s="357">
        <f t="shared" ca="1" si="394"/>
        <v>-79.670798860152317</v>
      </c>
      <c r="O866" s="343"/>
      <c r="P866" s="363">
        <f t="shared" ca="1" si="395"/>
        <v>23</v>
      </c>
      <c r="Q866" s="357">
        <f t="shared" ca="1" si="396"/>
        <v>0</v>
      </c>
      <c r="R866" s="359">
        <f t="shared" ca="1" si="397"/>
        <v>0</v>
      </c>
      <c r="S866" s="360">
        <f t="shared" ca="1" si="398"/>
        <v>9.637999999999975</v>
      </c>
      <c r="T866" s="357">
        <f t="shared" ca="1" si="378"/>
        <v>94.548779999999766</v>
      </c>
      <c r="U866" s="364">
        <f t="shared" ca="1" si="379"/>
        <v>0</v>
      </c>
      <c r="V866" s="359">
        <f t="shared" ca="1" si="380"/>
        <v>1.0790613052287188</v>
      </c>
      <c r="W866" s="357">
        <f t="shared" ca="1" si="381"/>
        <v>50.954902803799172</v>
      </c>
      <c r="X866" s="343"/>
      <c r="Y866" s="367" t="str">
        <f t="shared" ca="1" si="399"/>
        <v/>
      </c>
      <c r="Z866" s="368" t="str">
        <f t="shared" ca="1" si="400"/>
        <v/>
      </c>
      <c r="AA866" s="369" t="str">
        <f t="shared" ca="1" si="401"/>
        <v/>
      </c>
      <c r="AB866" s="344"/>
      <c r="AC866" s="363" t="e">
        <f t="shared" ca="1" si="402"/>
        <v>#N/A</v>
      </c>
      <c r="AD866" s="376" t="e">
        <f t="shared" ca="1" si="403"/>
        <v>#N/A</v>
      </c>
      <c r="AE866" s="377" t="e">
        <f t="shared" ca="1" si="382"/>
        <v>#N/A</v>
      </c>
      <c r="AF866" s="344"/>
      <c r="AG866" s="359">
        <f t="shared" ca="1" si="404"/>
        <v>4.4016393077348921</v>
      </c>
      <c r="AH866" s="357">
        <f t="shared" ca="1" si="405"/>
        <v>-5.2472139562377373</v>
      </c>
    </row>
    <row r="867" spans="1:34" x14ac:dyDescent="0.25">
      <c r="A867" s="402">
        <f t="shared" ca="1" si="383"/>
        <v>0.1</v>
      </c>
      <c r="B867" s="357">
        <f t="shared" ca="1" si="384"/>
        <v>41.300000000000253</v>
      </c>
      <c r="C867" s="342"/>
      <c r="D867" s="359">
        <f t="shared" ca="1" si="385"/>
        <v>-0.94795593324963501</v>
      </c>
      <c r="E867" s="360">
        <f t="shared" ca="1" si="386"/>
        <v>-4.6088050873958819</v>
      </c>
      <c r="F867" s="357">
        <f t="shared" ca="1" si="387"/>
        <v>4.7052847719335062</v>
      </c>
      <c r="G867" s="359">
        <f t="shared" ca="1" si="388"/>
        <v>25.803382548368841</v>
      </c>
      <c r="H867" s="360">
        <f t="shared" ca="1" si="389"/>
        <v>-142.55764647815585</v>
      </c>
      <c r="I867" s="357">
        <f t="shared" ca="1" si="390"/>
        <v>144.87407331999859</v>
      </c>
      <c r="J867" s="359">
        <f t="shared" ca="1" si="391"/>
        <v>1613.237837520574</v>
      </c>
      <c r="K867" s="360">
        <f t="shared" ca="1" si="392"/>
        <v>1252.5625199391054</v>
      </c>
      <c r="L867" s="357">
        <f t="shared" ca="1" si="377"/>
        <v>2042.4125897487656</v>
      </c>
      <c r="M867" s="359">
        <f t="shared" ca="1" si="393"/>
        <v>-1.391731894363534</v>
      </c>
      <c r="N867" s="357">
        <f t="shared" ca="1" si="394"/>
        <v>-79.740363760777413</v>
      </c>
      <c r="O867" s="343"/>
      <c r="P867" s="363">
        <f t="shared" ca="1" si="395"/>
        <v>23</v>
      </c>
      <c r="Q867" s="357">
        <f t="shared" ca="1" si="396"/>
        <v>0</v>
      </c>
      <c r="R867" s="359">
        <f t="shared" ca="1" si="397"/>
        <v>0</v>
      </c>
      <c r="S867" s="360">
        <f t="shared" ca="1" si="398"/>
        <v>9.637999999999975</v>
      </c>
      <c r="T867" s="357">
        <f t="shared" ca="1" si="378"/>
        <v>94.548779999999766</v>
      </c>
      <c r="U867" s="364">
        <f t="shared" ca="1" si="379"/>
        <v>0</v>
      </c>
      <c r="V867" s="359">
        <f t="shared" ca="1" si="380"/>
        <v>1.0806043220213239</v>
      </c>
      <c r="W867" s="357">
        <f t="shared" ca="1" si="381"/>
        <v>51.336665960058781</v>
      </c>
      <c r="X867" s="343"/>
      <c r="Y867" s="367" t="str">
        <f t="shared" ca="1" si="399"/>
        <v/>
      </c>
      <c r="Z867" s="368" t="str">
        <f t="shared" ca="1" si="400"/>
        <v/>
      </c>
      <c r="AA867" s="369" t="str">
        <f t="shared" ca="1" si="401"/>
        <v/>
      </c>
      <c r="AB867" s="344"/>
      <c r="AC867" s="363" t="e">
        <f t="shared" ca="1" si="402"/>
        <v>#N/A</v>
      </c>
      <c r="AD867" s="376" t="e">
        <f t="shared" ca="1" si="403"/>
        <v>#N/A</v>
      </c>
      <c r="AE867" s="377" t="e">
        <f t="shared" ca="1" si="382"/>
        <v>#N/A</v>
      </c>
      <c r="AF867" s="344"/>
      <c r="AG867" s="359">
        <f t="shared" ca="1" si="404"/>
        <v>4.3641418453803045</v>
      </c>
      <c r="AH867" s="357">
        <f t="shared" ca="1" si="405"/>
        <v>-5.2868751612159475</v>
      </c>
    </row>
    <row r="868" spans="1:34" x14ac:dyDescent="0.25">
      <c r="A868" s="402">
        <f t="shared" ca="1" si="383"/>
        <v>0.1</v>
      </c>
      <c r="B868" s="357">
        <f t="shared" ca="1" si="384"/>
        <v>41.400000000000254</v>
      </c>
      <c r="C868" s="342"/>
      <c r="D868" s="359">
        <f t="shared" ca="1" si="385"/>
        <v>-0.94869521091213271</v>
      </c>
      <c r="E868" s="360">
        <f t="shared" ca="1" si="386"/>
        <v>-4.568681105501776</v>
      </c>
      <c r="F868" s="357">
        <f t="shared" ca="1" si="387"/>
        <v>4.6661407658767162</v>
      </c>
      <c r="G868" s="359">
        <f t="shared" ca="1" si="388"/>
        <v>25.708513027277629</v>
      </c>
      <c r="H868" s="360">
        <f t="shared" ca="1" si="389"/>
        <v>-143.01451458870602</v>
      </c>
      <c r="I868" s="357">
        <f t="shared" ca="1" si="390"/>
        <v>145.30684438496664</v>
      </c>
      <c r="J868" s="359">
        <f t="shared" ca="1" si="391"/>
        <v>1615.8134322993562</v>
      </c>
      <c r="K868" s="360">
        <f t="shared" ca="1" si="392"/>
        <v>1238.2839118857623</v>
      </c>
      <c r="L868" s="357">
        <f t="shared" ca="1" si="377"/>
        <v>2035.7308501946254</v>
      </c>
      <c r="M868" s="359">
        <f t="shared" ca="1" si="393"/>
        <v>-1.3929343498568492</v>
      </c>
      <c r="N868" s="357">
        <f t="shared" ca="1" si="394"/>
        <v>-79.809259385596704</v>
      </c>
      <c r="O868" s="343"/>
      <c r="P868" s="363">
        <f t="shared" ca="1" si="395"/>
        <v>23</v>
      </c>
      <c r="Q868" s="357">
        <f t="shared" ca="1" si="396"/>
        <v>0</v>
      </c>
      <c r="R868" s="359">
        <f t="shared" ca="1" si="397"/>
        <v>0</v>
      </c>
      <c r="S868" s="360">
        <f t="shared" ca="1" si="398"/>
        <v>9.637999999999975</v>
      </c>
      <c r="T868" s="357">
        <f t="shared" ca="1" si="378"/>
        <v>94.548779999999766</v>
      </c>
      <c r="U868" s="364">
        <f t="shared" ca="1" si="379"/>
        <v>0</v>
      </c>
      <c r="V868" s="359">
        <f t="shared" ca="1" si="380"/>
        <v>1.0821543917245455</v>
      </c>
      <c r="W868" s="357">
        <f t="shared" ca="1" si="381"/>
        <v>51.717912474787212</v>
      </c>
      <c r="X868" s="343"/>
      <c r="Y868" s="367" t="str">
        <f t="shared" ca="1" si="399"/>
        <v/>
      </c>
      <c r="Z868" s="368" t="str">
        <f t="shared" ca="1" si="400"/>
        <v/>
      </c>
      <c r="AA868" s="369" t="str">
        <f t="shared" ca="1" si="401"/>
        <v/>
      </c>
      <c r="AB868" s="344"/>
      <c r="AC868" s="363" t="e">
        <f t="shared" ca="1" si="402"/>
        <v>#N/A</v>
      </c>
      <c r="AD868" s="376" t="e">
        <f t="shared" ca="1" si="403"/>
        <v>#N/A</v>
      </c>
      <c r="AE868" s="377" t="e">
        <f t="shared" ca="1" si="382"/>
        <v>#N/A</v>
      </c>
      <c r="AF868" s="344"/>
      <c r="AG868" s="359">
        <f t="shared" ca="1" si="404"/>
        <v>4.3266601545471568</v>
      </c>
      <c r="AH868" s="357">
        <f t="shared" ca="1" si="405"/>
        <v>-5.3264853662646727</v>
      </c>
    </row>
    <row r="869" spans="1:34" x14ac:dyDescent="0.25">
      <c r="A869" s="402">
        <f t="shared" ca="1" si="383"/>
        <v>0.1</v>
      </c>
      <c r="B869" s="357">
        <f t="shared" ca="1" si="384"/>
        <v>41.500000000000256</v>
      </c>
      <c r="C869" s="342"/>
      <c r="D869" s="359">
        <f t="shared" ca="1" si="385"/>
        <v>-0.94939065251206534</v>
      </c>
      <c r="E869" s="360">
        <f t="shared" ca="1" si="386"/>
        <v>-4.5286115673044147</v>
      </c>
      <c r="F869" s="357">
        <f t="shared" ca="1" si="387"/>
        <v>4.6270579571257411</v>
      </c>
      <c r="G869" s="359">
        <f t="shared" ca="1" si="388"/>
        <v>25.613573962026422</v>
      </c>
      <c r="H869" s="360">
        <f t="shared" ca="1" si="389"/>
        <v>-143.46737574543647</v>
      </c>
      <c r="I869" s="357">
        <f t="shared" ca="1" si="390"/>
        <v>145.73586749455484</v>
      </c>
      <c r="J869" s="359">
        <f t="shared" ca="1" si="391"/>
        <v>1618.3795366488214</v>
      </c>
      <c r="K869" s="360">
        <f t="shared" ca="1" si="392"/>
        <v>1223.9598173690551</v>
      </c>
      <c r="L869" s="357">
        <f t="shared" ca="1" si="377"/>
        <v>2029.0958477060035</v>
      </c>
      <c r="M869" s="359">
        <f t="shared" ca="1" si="393"/>
        <v>-1.3941252999045692</v>
      </c>
      <c r="N869" s="357">
        <f t="shared" ca="1" si="394"/>
        <v>-79.877495796941972</v>
      </c>
      <c r="O869" s="343"/>
      <c r="P869" s="363">
        <f t="shared" ca="1" si="395"/>
        <v>23</v>
      </c>
      <c r="Q869" s="357">
        <f t="shared" ca="1" si="396"/>
        <v>0</v>
      </c>
      <c r="R869" s="359">
        <f t="shared" ca="1" si="397"/>
        <v>0</v>
      </c>
      <c r="S869" s="360">
        <f t="shared" ca="1" si="398"/>
        <v>9.637999999999975</v>
      </c>
      <c r="T869" s="357">
        <f t="shared" ca="1" si="378"/>
        <v>94.548779999999766</v>
      </c>
      <c r="U869" s="364">
        <f t="shared" ca="1" si="379"/>
        <v>0</v>
      </c>
      <c r="V869" s="359">
        <f t="shared" ca="1" si="380"/>
        <v>1.0837114950104583</v>
      </c>
      <c r="W869" s="357">
        <f t="shared" ca="1" si="381"/>
        <v>52.098617480040907</v>
      </c>
      <c r="X869" s="343"/>
      <c r="Y869" s="367" t="str">
        <f t="shared" ca="1" si="399"/>
        <v/>
      </c>
      <c r="Z869" s="368" t="str">
        <f t="shared" ca="1" si="400"/>
        <v/>
      </c>
      <c r="AA869" s="369" t="str">
        <f t="shared" ca="1" si="401"/>
        <v/>
      </c>
      <c r="AB869" s="344"/>
      <c r="AC869" s="363" t="e">
        <f t="shared" ca="1" si="402"/>
        <v>#N/A</v>
      </c>
      <c r="AD869" s="376" t="e">
        <f t="shared" ca="1" si="403"/>
        <v>#N/A</v>
      </c>
      <c r="AE869" s="377" t="e">
        <f t="shared" ca="1" si="382"/>
        <v>#N/A</v>
      </c>
      <c r="AF869" s="344"/>
      <c r="AG869" s="359">
        <f t="shared" ca="1" si="404"/>
        <v>4.2891975649100198</v>
      </c>
      <c r="AH869" s="357">
        <f t="shared" ca="1" si="405"/>
        <v>-5.3660419666722712</v>
      </c>
    </row>
    <row r="870" spans="1:34" x14ac:dyDescent="0.25">
      <c r="A870" s="402">
        <f t="shared" ca="1" si="383"/>
        <v>0.1</v>
      </c>
      <c r="B870" s="357">
        <f t="shared" ca="1" si="384"/>
        <v>41.600000000000257</v>
      </c>
      <c r="C870" s="342"/>
      <c r="D870" s="359">
        <f t="shared" ca="1" si="385"/>
        <v>-0.9500424431725949</v>
      </c>
      <c r="E870" s="360">
        <f t="shared" ca="1" si="386"/>
        <v>-4.4885990752080227</v>
      </c>
      <c r="F870" s="357">
        <f t="shared" ca="1" si="387"/>
        <v>4.5880390475439148</v>
      </c>
      <c r="G870" s="359">
        <f t="shared" ca="1" si="388"/>
        <v>25.518569717709163</v>
      </c>
      <c r="H870" s="360">
        <f t="shared" ca="1" si="389"/>
        <v>-143.91623565295728</v>
      </c>
      <c r="I870" s="357">
        <f t="shared" ca="1" si="390"/>
        <v>146.16114492215473</v>
      </c>
      <c r="J870" s="359">
        <f t="shared" ca="1" si="391"/>
        <v>1620.9361438328081</v>
      </c>
      <c r="K870" s="360">
        <f t="shared" ca="1" si="392"/>
        <v>1209.5906367991354</v>
      </c>
      <c r="L870" s="357">
        <f t="shared" ca="1" si="377"/>
        <v>2022.5092066578366</v>
      </c>
      <c r="M870" s="359">
        <f t="shared" ca="1" si="393"/>
        <v>-1.3953049165788947</v>
      </c>
      <c r="N870" s="357">
        <f t="shared" ca="1" si="394"/>
        <v>-79.945082853824076</v>
      </c>
      <c r="O870" s="343"/>
      <c r="P870" s="363">
        <f t="shared" ca="1" si="395"/>
        <v>23</v>
      </c>
      <c r="Q870" s="357">
        <f t="shared" ca="1" si="396"/>
        <v>0</v>
      </c>
      <c r="R870" s="359">
        <f t="shared" ca="1" si="397"/>
        <v>0</v>
      </c>
      <c r="S870" s="360">
        <f t="shared" ca="1" si="398"/>
        <v>9.637999999999975</v>
      </c>
      <c r="T870" s="357">
        <f t="shared" ca="1" si="378"/>
        <v>94.548779999999766</v>
      </c>
      <c r="U870" s="364">
        <f t="shared" ca="1" si="379"/>
        <v>0</v>
      </c>
      <c r="V870" s="359">
        <f t="shared" ca="1" si="380"/>
        <v>1.0852756125327501</v>
      </c>
      <c r="W870" s="357">
        <f t="shared" ca="1" si="381"/>
        <v>52.478756346412034</v>
      </c>
      <c r="X870" s="343"/>
      <c r="Y870" s="367" t="str">
        <f t="shared" ca="1" si="399"/>
        <v/>
      </c>
      <c r="Z870" s="368" t="str">
        <f t="shared" ca="1" si="400"/>
        <v/>
      </c>
      <c r="AA870" s="369" t="str">
        <f t="shared" ca="1" si="401"/>
        <v/>
      </c>
      <c r="AB870" s="344"/>
      <c r="AC870" s="363" t="e">
        <f t="shared" ca="1" si="402"/>
        <v>#N/A</v>
      </c>
      <c r="AD870" s="376" t="e">
        <f t="shared" ca="1" si="403"/>
        <v>#N/A</v>
      </c>
      <c r="AE870" s="377" t="e">
        <f t="shared" ca="1" si="382"/>
        <v>#N/A</v>
      </c>
      <c r="AF870" s="344"/>
      <c r="AG870" s="359">
        <f t="shared" ca="1" si="404"/>
        <v>4.2517573632405492</v>
      </c>
      <c r="AH870" s="357">
        <f t="shared" ca="1" si="405"/>
        <v>-5.4055423822412374</v>
      </c>
    </row>
    <row r="871" spans="1:34" x14ac:dyDescent="0.25">
      <c r="A871" s="402">
        <f t="shared" ca="1" si="383"/>
        <v>0.1</v>
      </c>
      <c r="B871" s="357">
        <f t="shared" ca="1" si="384"/>
        <v>41.700000000000259</v>
      </c>
      <c r="C871" s="342"/>
      <c r="D871" s="359">
        <f t="shared" ca="1" si="385"/>
        <v>-0.95065077218527416</v>
      </c>
      <c r="E871" s="360">
        <f t="shared" ca="1" si="386"/>
        <v>-4.4486462067842059</v>
      </c>
      <c r="F871" s="357">
        <f t="shared" ca="1" si="387"/>
        <v>4.5490867175502334</v>
      </c>
      <c r="G871" s="359">
        <f t="shared" ca="1" si="388"/>
        <v>25.423504640490634</v>
      </c>
      <c r="H871" s="360">
        <f t="shared" ca="1" si="389"/>
        <v>-144.36110027363571</v>
      </c>
      <c r="I871" s="357">
        <f t="shared" ca="1" si="390"/>
        <v>146.58267926470629</v>
      </c>
      <c r="J871" s="359">
        <f t="shared" ca="1" si="391"/>
        <v>1623.483247550718</v>
      </c>
      <c r="K871" s="360">
        <f t="shared" ca="1" si="392"/>
        <v>1195.1767700028058</v>
      </c>
      <c r="L871" s="357">
        <f t="shared" ca="1" si="377"/>
        <v>2015.9725609819609</v>
      </c>
      <c r="M871" s="359">
        <f t="shared" ca="1" si="393"/>
        <v>-1.3964733684905521</v>
      </c>
      <c r="N871" s="357">
        <f t="shared" ca="1" si="394"/>
        <v>-80.012030216926036</v>
      </c>
      <c r="O871" s="343"/>
      <c r="P871" s="363">
        <f t="shared" ca="1" si="395"/>
        <v>23</v>
      </c>
      <c r="Q871" s="357">
        <f t="shared" ca="1" si="396"/>
        <v>0</v>
      </c>
      <c r="R871" s="359">
        <f t="shared" ca="1" si="397"/>
        <v>0</v>
      </c>
      <c r="S871" s="360">
        <f t="shared" ca="1" si="398"/>
        <v>9.637999999999975</v>
      </c>
      <c r="T871" s="357">
        <f t="shared" ca="1" si="378"/>
        <v>94.548779999999766</v>
      </c>
      <c r="U871" s="364">
        <f t="shared" ca="1" si="379"/>
        <v>0</v>
      </c>
      <c r="V871" s="359">
        <f t="shared" ca="1" si="380"/>
        <v>1.0868467249279523</v>
      </c>
      <c r="W871" s="357">
        <f t="shared" ca="1" si="381"/>
        <v>52.858304685230543</v>
      </c>
      <c r="X871" s="343"/>
      <c r="Y871" s="367" t="str">
        <f t="shared" ca="1" si="399"/>
        <v/>
      </c>
      <c r="Z871" s="368" t="str">
        <f t="shared" ca="1" si="400"/>
        <v/>
      </c>
      <c r="AA871" s="369" t="str">
        <f t="shared" ca="1" si="401"/>
        <v/>
      </c>
      <c r="AB871" s="344"/>
      <c r="AC871" s="363" t="e">
        <f t="shared" ca="1" si="402"/>
        <v>#N/A</v>
      </c>
      <c r="AD871" s="376" t="e">
        <f t="shared" ca="1" si="403"/>
        <v>#N/A</v>
      </c>
      <c r="AE871" s="377" t="e">
        <f t="shared" ca="1" si="382"/>
        <v>#N/A</v>
      </c>
      <c r="AF871" s="344"/>
      <c r="AG871" s="359">
        <f t="shared" ca="1" si="404"/>
        <v>4.2143427937230049</v>
      </c>
      <c r="AH871" s="357">
        <f t="shared" ca="1" si="405"/>
        <v>-5.4449840575235706</v>
      </c>
    </row>
    <row r="872" spans="1:34" x14ac:dyDescent="0.25">
      <c r="A872" s="402">
        <f t="shared" ca="1" si="383"/>
        <v>0.1</v>
      </c>
      <c r="B872" s="357">
        <f t="shared" ca="1" si="384"/>
        <v>41.80000000000026</v>
      </c>
      <c r="C872" s="342"/>
      <c r="D872" s="359">
        <f t="shared" ca="1" si="385"/>
        <v>-0.95121583293792999</v>
      </c>
      <c r="E872" s="360">
        <f t="shared" ca="1" si="386"/>
        <v>-4.4087555145358435</v>
      </c>
      <c r="F872" s="357">
        <f t="shared" ca="1" si="387"/>
        <v>4.510203625977657</v>
      </c>
      <c r="G872" s="359">
        <f t="shared" ca="1" si="388"/>
        <v>25.328383057196842</v>
      </c>
      <c r="H872" s="360">
        <f t="shared" ca="1" si="389"/>
        <v>-144.8019758250893</v>
      </c>
      <c r="I872" s="357">
        <f t="shared" ca="1" si="390"/>
        <v>147.00047343849556</v>
      </c>
      <c r="J872" s="359">
        <f t="shared" ca="1" si="391"/>
        <v>1626.0208419356024</v>
      </c>
      <c r="K872" s="360">
        <f t="shared" ca="1" si="392"/>
        <v>1180.7186161978696</v>
      </c>
      <c r="L872" s="357">
        <f t="shared" ca="1" si="377"/>
        <v>2009.4875538418191</v>
      </c>
      <c r="M872" s="359">
        <f t="shared" ca="1" si="393"/>
        <v>-1.3976308208734312</v>
      </c>
      <c r="N872" s="357">
        <f t="shared" ca="1" si="394"/>
        <v>-80.078347353452372</v>
      </c>
      <c r="O872" s="343"/>
      <c r="P872" s="363">
        <f t="shared" ca="1" si="395"/>
        <v>23</v>
      </c>
      <c r="Q872" s="357">
        <f t="shared" ca="1" si="396"/>
        <v>0</v>
      </c>
      <c r="R872" s="359">
        <f t="shared" ca="1" si="397"/>
        <v>0</v>
      </c>
      <c r="S872" s="360">
        <f t="shared" ca="1" si="398"/>
        <v>9.637999999999975</v>
      </c>
      <c r="T872" s="357">
        <f t="shared" ca="1" si="378"/>
        <v>94.548779999999766</v>
      </c>
      <c r="U872" s="364">
        <f t="shared" ca="1" si="379"/>
        <v>0</v>
      </c>
      <c r="V872" s="359">
        <f t="shared" ca="1" si="380"/>
        <v>1.0884248128166649</v>
      </c>
      <c r="W872" s="357">
        <f t="shared" ca="1" si="381"/>
        <v>53.237238350699648</v>
      </c>
      <c r="X872" s="343"/>
      <c r="Y872" s="367" t="str">
        <f t="shared" ca="1" si="399"/>
        <v/>
      </c>
      <c r="Z872" s="368" t="str">
        <f t="shared" ca="1" si="400"/>
        <v/>
      </c>
      <c r="AA872" s="369" t="str">
        <f t="shared" ca="1" si="401"/>
        <v/>
      </c>
      <c r="AB872" s="344"/>
      <c r="AC872" s="363" t="e">
        <f t="shared" ca="1" si="402"/>
        <v>#N/A</v>
      </c>
      <c r="AD872" s="376" t="e">
        <f t="shared" ca="1" si="403"/>
        <v>#N/A</v>
      </c>
      <c r="AE872" s="377" t="e">
        <f t="shared" ca="1" si="382"/>
        <v>#N/A</v>
      </c>
      <c r="AF872" s="344"/>
      <c r="AG872" s="359">
        <f t="shared" ca="1" si="404"/>
        <v>4.1769570582577566</v>
      </c>
      <c r="AH872" s="357">
        <f t="shared" ca="1" si="405"/>
        <v>-5.4843644620492507</v>
      </c>
    </row>
    <row r="873" spans="1:34" x14ac:dyDescent="0.25">
      <c r="A873" s="402">
        <f t="shared" ca="1" si="383"/>
        <v>0.1</v>
      </c>
      <c r="B873" s="357">
        <f t="shared" ca="1" si="384"/>
        <v>41.900000000000261</v>
      </c>
      <c r="C873" s="342"/>
      <c r="D873" s="359">
        <f t="shared" ca="1" si="385"/>
        <v>-0.95173782284263087</v>
      </c>
      <c r="E873" s="360">
        <f t="shared" ca="1" si="386"/>
        <v>-4.3689295256681158</v>
      </c>
      <c r="F873" s="357">
        <f t="shared" ca="1" si="387"/>
        <v>4.4713924099416564</v>
      </c>
      <c r="G873" s="359">
        <f t="shared" ca="1" si="388"/>
        <v>25.233209274912578</v>
      </c>
      <c r="H873" s="360">
        <f t="shared" ca="1" si="389"/>
        <v>-145.23886877765611</v>
      </c>
      <c r="I873" s="357">
        <f t="shared" ca="1" si="390"/>
        <v>147.41453067498043</v>
      </c>
      <c r="J873" s="359">
        <f t="shared" ca="1" si="391"/>
        <v>1628.548921552208</v>
      </c>
      <c r="K873" s="360">
        <f t="shared" ca="1" si="392"/>
        <v>1166.2165739677323</v>
      </c>
      <c r="L873" s="357">
        <f t="shared" ca="1" si="377"/>
        <v>2003.0558372860939</v>
      </c>
      <c r="M873" s="359">
        <f t="shared" ca="1" si="393"/>
        <v>-1.3987774356667952</v>
      </c>
      <c r="N873" s="357">
        <f t="shared" ca="1" si="394"/>
        <v>-80.144043541839395</v>
      </c>
      <c r="O873" s="343"/>
      <c r="P873" s="363">
        <f t="shared" ca="1" si="395"/>
        <v>23</v>
      </c>
      <c r="Q873" s="357">
        <f t="shared" ca="1" si="396"/>
        <v>0</v>
      </c>
      <c r="R873" s="359">
        <f t="shared" ca="1" si="397"/>
        <v>0</v>
      </c>
      <c r="S873" s="360">
        <f t="shared" ca="1" si="398"/>
        <v>9.637999999999975</v>
      </c>
      <c r="T873" s="357">
        <f t="shared" ca="1" si="378"/>
        <v>94.548779999999766</v>
      </c>
      <c r="U873" s="364">
        <f t="shared" ca="1" si="379"/>
        <v>0</v>
      </c>
      <c r="V873" s="359">
        <f t="shared" ca="1" si="380"/>
        <v>1.09000985680478</v>
      </c>
      <c r="W873" s="357">
        <f t="shared" ca="1" si="381"/>
        <v>53.615533441964004</v>
      </c>
      <c r="X873" s="343"/>
      <c r="Y873" s="367" t="str">
        <f t="shared" ca="1" si="399"/>
        <v/>
      </c>
      <c r="Z873" s="368" t="str">
        <f t="shared" ca="1" si="400"/>
        <v/>
      </c>
      <c r="AA873" s="369" t="str">
        <f t="shared" ca="1" si="401"/>
        <v/>
      </c>
      <c r="AB873" s="344"/>
      <c r="AC873" s="363" t="e">
        <f t="shared" ca="1" si="402"/>
        <v>#N/A</v>
      </c>
      <c r="AD873" s="376" t="e">
        <f t="shared" ca="1" si="403"/>
        <v>#N/A</v>
      </c>
      <c r="AE873" s="377" t="e">
        <f t="shared" ca="1" si="382"/>
        <v>#N/A</v>
      </c>
      <c r="AF873" s="344"/>
      <c r="AG873" s="359">
        <f t="shared" ca="1" si="404"/>
        <v>4.1396033167535116</v>
      </c>
      <c r="AH873" s="357">
        <f t="shared" ca="1" si="405"/>
        <v>-5.5236810905478091</v>
      </c>
    </row>
    <row r="874" spans="1:34" x14ac:dyDescent="0.25">
      <c r="A874" s="402">
        <f t="shared" ca="1" si="383"/>
        <v>0.1</v>
      </c>
      <c r="B874" s="357">
        <f t="shared" ca="1" si="384"/>
        <v>42.000000000000263</v>
      </c>
      <c r="C874" s="342"/>
      <c r="D874" s="359">
        <f t="shared" ca="1" si="385"/>
        <v>-0.95221694326371809</v>
      </c>
      <c r="E874" s="360">
        <f t="shared" ca="1" si="386"/>
        <v>-4.3291707418667613</v>
      </c>
      <c r="F874" s="357">
        <f t="shared" ca="1" si="387"/>
        <v>4.4326556847192302</v>
      </c>
      <c r="G874" s="359">
        <f t="shared" ca="1" si="388"/>
        <v>25.137987580586206</v>
      </c>
      <c r="H874" s="360">
        <f t="shared" ca="1" si="389"/>
        <v>-145.6717858518428</v>
      </c>
      <c r="I874" s="357">
        <f t="shared" ca="1" si="390"/>
        <v>147.82485451664363</v>
      </c>
      <c r="J874" s="359">
        <f t="shared" ca="1" si="391"/>
        <v>1631.0674813949829</v>
      </c>
      <c r="K874" s="360">
        <f t="shared" ca="1" si="392"/>
        <v>1151.6710412362575</v>
      </c>
      <c r="L874" s="357">
        <f t="shared" ca="1" si="377"/>
        <v>1996.679071880701</v>
      </c>
      <c r="M874" s="359">
        <f t="shared" ca="1" si="393"/>
        <v>-1.3999133715951464</v>
      </c>
      <c r="N874" s="357">
        <f t="shared" ca="1" si="394"/>
        <v>-80.209127876331195</v>
      </c>
      <c r="O874" s="343"/>
      <c r="P874" s="363">
        <f t="shared" ca="1" si="395"/>
        <v>23</v>
      </c>
      <c r="Q874" s="357">
        <f t="shared" ca="1" si="396"/>
        <v>0</v>
      </c>
      <c r="R874" s="359">
        <f t="shared" ca="1" si="397"/>
        <v>0</v>
      </c>
      <c r="S874" s="360">
        <f t="shared" ca="1" si="398"/>
        <v>9.637999999999975</v>
      </c>
      <c r="T874" s="357">
        <f t="shared" ca="1" si="378"/>
        <v>94.548779999999766</v>
      </c>
      <c r="U874" s="364">
        <f t="shared" ca="1" si="379"/>
        <v>0</v>
      </c>
      <c r="V874" s="359">
        <f t="shared" ca="1" si="380"/>
        <v>1.0916018374847078</v>
      </c>
      <c r="W874" s="357">
        <f t="shared" ca="1" si="381"/>
        <v>53.993166305111039</v>
      </c>
      <c r="X874" s="343"/>
      <c r="Y874" s="367" t="str">
        <f t="shared" ca="1" si="399"/>
        <v/>
      </c>
      <c r="Z874" s="368" t="str">
        <f t="shared" ca="1" si="400"/>
        <v/>
      </c>
      <c r="AA874" s="369" t="str">
        <f t="shared" ca="1" si="401"/>
        <v/>
      </c>
      <c r="AB874" s="344"/>
      <c r="AC874" s="363">
        <f t="shared" ca="1" si="402"/>
        <v>42.000000000000263</v>
      </c>
      <c r="AD874" s="376">
        <f t="shared" ca="1" si="403"/>
        <v>1631.0674813949829</v>
      </c>
      <c r="AE874" s="377" t="e">
        <f t="shared" ca="1" si="382"/>
        <v>#N/A</v>
      </c>
      <c r="AF874" s="344"/>
      <c r="AG874" s="359">
        <f t="shared" ca="1" si="404"/>
        <v>4.1022846874090497</v>
      </c>
      <c r="AH874" s="357">
        <f t="shared" ca="1" si="405"/>
        <v>-5.5629314631629114</v>
      </c>
    </row>
    <row r="875" spans="1:34" x14ac:dyDescent="0.25">
      <c r="A875" s="402">
        <f t="shared" ca="1" si="383"/>
        <v>0.1</v>
      </c>
      <c r="B875" s="357">
        <f t="shared" ca="1" si="384"/>
        <v>42.100000000000264</v>
      </c>
      <c r="C875" s="342"/>
      <c r="D875" s="359">
        <f t="shared" ca="1" si="385"/>
        <v>-0.95265339944592797</v>
      </c>
      <c r="E875" s="360">
        <f t="shared" ca="1" si="386"/>
        <v>-4.2894816390834922</v>
      </c>
      <c r="F875" s="357">
        <f t="shared" ca="1" si="387"/>
        <v>4.3939960436384427</v>
      </c>
      <c r="G875" s="359">
        <f t="shared" ca="1" si="388"/>
        <v>25.042722240641613</v>
      </c>
      <c r="H875" s="360">
        <f t="shared" ca="1" si="389"/>
        <v>-146.10073401575116</v>
      </c>
      <c r="I875" s="357">
        <f t="shared" ca="1" si="390"/>
        <v>148.23144881287234</v>
      </c>
      <c r="J875" s="359">
        <f t="shared" ca="1" si="391"/>
        <v>1633.5765168860444</v>
      </c>
      <c r="K875" s="360">
        <f t="shared" ca="1" si="392"/>
        <v>1137.0824152428777</v>
      </c>
      <c r="L875" s="357">
        <f t="shared" ca="1" si="377"/>
        <v>1990.3589263185966</v>
      </c>
      <c r="M875" s="359">
        <f t="shared" ca="1" si="393"/>
        <v>-1.4010387842458185</v>
      </c>
      <c r="N875" s="357">
        <f t="shared" ca="1" si="394"/>
        <v>-80.273609271425329</v>
      </c>
      <c r="O875" s="343"/>
      <c r="P875" s="363">
        <f t="shared" ca="1" si="395"/>
        <v>23</v>
      </c>
      <c r="Q875" s="357">
        <f t="shared" ca="1" si="396"/>
        <v>0</v>
      </c>
      <c r="R875" s="359">
        <f t="shared" ca="1" si="397"/>
        <v>0</v>
      </c>
      <c r="S875" s="360">
        <f t="shared" ca="1" si="398"/>
        <v>9.637999999999975</v>
      </c>
      <c r="T875" s="357">
        <f t="shared" ca="1" si="378"/>
        <v>94.548779999999766</v>
      </c>
      <c r="U875" s="364">
        <f t="shared" ca="1" si="379"/>
        <v>0</v>
      </c>
      <c r="V875" s="359">
        <f t="shared" ca="1" si="380"/>
        <v>1.0932007354365973</v>
      </c>
      <c r="W875" s="357">
        <f t="shared" ca="1" si="381"/>
        <v>54.370113535105197</v>
      </c>
      <c r="X875" s="343"/>
      <c r="Y875" s="367" t="str">
        <f t="shared" ca="1" si="399"/>
        <v/>
      </c>
      <c r="Z875" s="368" t="str">
        <f t="shared" ca="1" si="400"/>
        <v/>
      </c>
      <c r="AA875" s="369" t="str">
        <f t="shared" ca="1" si="401"/>
        <v/>
      </c>
      <c r="AB875" s="344"/>
      <c r="AC875" s="363" t="e">
        <f t="shared" ca="1" si="402"/>
        <v>#N/A</v>
      </c>
      <c r="AD875" s="376" t="e">
        <f t="shared" ca="1" si="403"/>
        <v>#N/A</v>
      </c>
      <c r="AE875" s="377" t="e">
        <f t="shared" ca="1" si="382"/>
        <v>#N/A</v>
      </c>
      <c r="AF875" s="344"/>
      <c r="AG875" s="359">
        <f t="shared" ca="1" si="404"/>
        <v>4.0650042469850751</v>
      </c>
      <c r="AH875" s="357">
        <f t="shared" ca="1" si="405"/>
        <v>-5.6021131256600105</v>
      </c>
    </row>
    <row r="876" spans="1:34" x14ac:dyDescent="0.25">
      <c r="A876" s="402">
        <f t="shared" ca="1" si="383"/>
        <v>0.1</v>
      </c>
      <c r="B876" s="357">
        <f t="shared" ca="1" si="384"/>
        <v>42.200000000000266</v>
      </c>
      <c r="C876" s="342"/>
      <c r="D876" s="359">
        <f t="shared" ca="1" si="385"/>
        <v>-0.9530474004426005</v>
      </c>
      <c r="E876" s="360">
        <f t="shared" ca="1" si="386"/>
        <v>-4.2498646673285974</v>
      </c>
      <c r="F876" s="357">
        <f t="shared" ca="1" si="387"/>
        <v>4.3554160579786645</v>
      </c>
      <c r="G876" s="359">
        <f t="shared" ca="1" si="388"/>
        <v>24.947417500597354</v>
      </c>
      <c r="H876" s="360">
        <f t="shared" ca="1" si="389"/>
        <v>-146.52572048248402</v>
      </c>
      <c r="I876" s="357">
        <f t="shared" ca="1" si="390"/>
        <v>148.63431771586315</v>
      </c>
      <c r="J876" s="359">
        <f t="shared" ca="1" si="391"/>
        <v>1636.0760238731064</v>
      </c>
      <c r="K876" s="360">
        <f t="shared" ca="1" si="392"/>
        <v>1122.4510925179659</v>
      </c>
      <c r="L876" s="357">
        <f t="shared" ca="1" si="377"/>
        <v>1984.0970770068707</v>
      </c>
      <c r="M876" s="359">
        <f t="shared" ca="1" si="393"/>
        <v>-1.4021538261443767</v>
      </c>
      <c r="N876" s="357">
        <f t="shared" ca="1" si="394"/>
        <v>-80.337496466192974</v>
      </c>
      <c r="O876" s="343"/>
      <c r="P876" s="363">
        <f t="shared" ca="1" si="395"/>
        <v>23</v>
      </c>
      <c r="Q876" s="357">
        <f t="shared" ca="1" si="396"/>
        <v>0</v>
      </c>
      <c r="R876" s="359">
        <f t="shared" ca="1" si="397"/>
        <v>0</v>
      </c>
      <c r="S876" s="360">
        <f t="shared" ca="1" si="398"/>
        <v>9.637999999999975</v>
      </c>
      <c r="T876" s="357">
        <f t="shared" ca="1" si="378"/>
        <v>94.548779999999766</v>
      </c>
      <c r="U876" s="364">
        <f t="shared" ca="1" si="379"/>
        <v>0</v>
      </c>
      <c r="V876" s="359">
        <f t="shared" ca="1" si="380"/>
        <v>1.0948065312295536</v>
      </c>
      <c r="W876" s="357">
        <f t="shared" ca="1" si="381"/>
        <v>54.74635197765457</v>
      </c>
      <c r="X876" s="343"/>
      <c r="Y876" s="367" t="str">
        <f t="shared" ca="1" si="399"/>
        <v/>
      </c>
      <c r="Z876" s="368" t="str">
        <f t="shared" ca="1" si="400"/>
        <v/>
      </c>
      <c r="AA876" s="369" t="str">
        <f t="shared" ca="1" si="401"/>
        <v/>
      </c>
      <c r="AB876" s="344"/>
      <c r="AC876" s="363" t="e">
        <f t="shared" ca="1" si="402"/>
        <v>#N/A</v>
      </c>
      <c r="AD876" s="376" t="e">
        <f t="shared" ca="1" si="403"/>
        <v>#N/A</v>
      </c>
      <c r="AE876" s="377" t="e">
        <f t="shared" ca="1" si="382"/>
        <v>#N/A</v>
      </c>
      <c r="AF876" s="344"/>
      <c r="AG876" s="359">
        <f t="shared" ca="1" si="404"/>
        <v>4.0277650310668625</v>
      </c>
      <c r="AH876" s="357">
        <f t="shared" ca="1" si="405"/>
        <v>-5.6412236496270323</v>
      </c>
    </row>
    <row r="877" spans="1:34" x14ac:dyDescent="0.25">
      <c r="A877" s="402">
        <f t="shared" ca="1" si="383"/>
        <v>0.1</v>
      </c>
      <c r="B877" s="357">
        <f t="shared" ca="1" si="384"/>
        <v>42.300000000000267</v>
      </c>
      <c r="C877" s="342"/>
      <c r="D877" s="359">
        <f t="shared" ca="1" si="385"/>
        <v>-0.95339915904396388</v>
      </c>
      <c r="E877" s="360">
        <f t="shared" ca="1" si="386"/>
        <v>-4.21032225047077</v>
      </c>
      <c r="F877" s="357">
        <f t="shared" ca="1" si="387"/>
        <v>4.3169182768816672</v>
      </c>
      <c r="G877" s="359">
        <f t="shared" ca="1" si="388"/>
        <v>24.852077584692957</v>
      </c>
      <c r="H877" s="360">
        <f t="shared" ca="1" si="389"/>
        <v>-146.94675270753109</v>
      </c>
      <c r="I877" s="357">
        <f t="shared" ca="1" si="390"/>
        <v>149.03346567655163</v>
      </c>
      <c r="J877" s="359">
        <f t="shared" ca="1" si="391"/>
        <v>1638.5659986273708</v>
      </c>
      <c r="K877" s="360">
        <f t="shared" ca="1" si="392"/>
        <v>1107.7774688584652</v>
      </c>
      <c r="L877" s="357">
        <f t="shared" ca="1" si="377"/>
        <v>1977.8952076306221</v>
      </c>
      <c r="M877" s="359">
        <f t="shared" ca="1" si="393"/>
        <v>-1.403258646827888</v>
      </c>
      <c r="N877" s="357">
        <f t="shared" ca="1" si="394"/>
        <v>-80.400798028476927</v>
      </c>
      <c r="O877" s="343"/>
      <c r="P877" s="363">
        <f t="shared" ca="1" si="395"/>
        <v>23</v>
      </c>
      <c r="Q877" s="357">
        <f t="shared" ca="1" si="396"/>
        <v>0</v>
      </c>
      <c r="R877" s="359">
        <f t="shared" ca="1" si="397"/>
        <v>0</v>
      </c>
      <c r="S877" s="360">
        <f t="shared" ca="1" si="398"/>
        <v>9.637999999999975</v>
      </c>
      <c r="T877" s="357">
        <f t="shared" ca="1" si="378"/>
        <v>94.548779999999766</v>
      </c>
      <c r="U877" s="364">
        <f t="shared" ca="1" si="379"/>
        <v>0</v>
      </c>
      <c r="V877" s="359">
        <f t="shared" ca="1" si="380"/>
        <v>1.0964192054228619</v>
      </c>
      <c r="W877" s="357">
        <f t="shared" ca="1" si="381"/>
        <v>55.121858731010825</v>
      </c>
      <c r="X877" s="343"/>
      <c r="Y877" s="367" t="str">
        <f t="shared" ca="1" si="399"/>
        <v/>
      </c>
      <c r="Z877" s="368" t="str">
        <f t="shared" ca="1" si="400"/>
        <v/>
      </c>
      <c r="AA877" s="369" t="str">
        <f t="shared" ca="1" si="401"/>
        <v/>
      </c>
      <c r="AB877" s="344"/>
      <c r="AC877" s="363" t="e">
        <f t="shared" ca="1" si="402"/>
        <v>#N/A</v>
      </c>
      <c r="AD877" s="376" t="e">
        <f t="shared" ca="1" si="403"/>
        <v>#N/A</v>
      </c>
      <c r="AE877" s="377" t="e">
        <f t="shared" ca="1" si="382"/>
        <v>#N/A</v>
      </c>
      <c r="AF877" s="344"/>
      <c r="AG877" s="359">
        <f t="shared" ca="1" si="404"/>
        <v>3.9905700343183392</v>
      </c>
      <c r="AH877" s="357">
        <f t="shared" ca="1" si="405"/>
        <v>-5.6802606326680545</v>
      </c>
    </row>
    <row r="878" spans="1:34" x14ac:dyDescent="0.25">
      <c r="A878" s="402">
        <f t="shared" ca="1" si="383"/>
        <v>0.1</v>
      </c>
      <c r="B878" s="357">
        <f t="shared" ca="1" si="384"/>
        <v>42.400000000000269</v>
      </c>
      <c r="C878" s="342"/>
      <c r="D878" s="359">
        <f t="shared" ca="1" si="385"/>
        <v>-0.95370889170553852</v>
      </c>
      <c r="E878" s="360">
        <f t="shared" ca="1" si="386"/>
        <v>-4.1708567860440784</v>
      </c>
      <c r="F878" s="357">
        <f t="shared" ca="1" si="387"/>
        <v>4.2785052272736728</v>
      </c>
      <c r="G878" s="359">
        <f t="shared" ca="1" si="388"/>
        <v>24.756706695522404</v>
      </c>
      <c r="H878" s="360">
        <f t="shared" ca="1" si="389"/>
        <v>-147.36383838613548</v>
      </c>
      <c r="I878" s="357">
        <f t="shared" ca="1" si="390"/>
        <v>149.42889744056598</v>
      </c>
      <c r="J878" s="359">
        <f t="shared" ca="1" si="391"/>
        <v>1641.0464378413817</v>
      </c>
      <c r="K878" s="360">
        <f t="shared" ca="1" si="392"/>
        <v>1093.0619393037819</v>
      </c>
      <c r="L878" s="357">
        <f t="shared" ca="1" si="377"/>
        <v>1971.7550086931267</v>
      </c>
      <c r="M878" s="359">
        <f t="shared" ca="1" si="393"/>
        <v>-1.4043533929161369</v>
      </c>
      <c r="N878" s="357">
        <f t="shared" ca="1" si="394"/>
        <v>-80.463522358972043</v>
      </c>
      <c r="O878" s="343"/>
      <c r="P878" s="363">
        <f t="shared" ca="1" si="395"/>
        <v>23</v>
      </c>
      <c r="Q878" s="357">
        <f t="shared" ca="1" si="396"/>
        <v>0</v>
      </c>
      <c r="R878" s="359">
        <f t="shared" ca="1" si="397"/>
        <v>0</v>
      </c>
      <c r="S878" s="360">
        <f t="shared" ca="1" si="398"/>
        <v>9.637999999999975</v>
      </c>
      <c r="T878" s="357">
        <f t="shared" ca="1" si="378"/>
        <v>94.548779999999766</v>
      </c>
      <c r="U878" s="364">
        <f t="shared" ca="1" si="379"/>
        <v>0</v>
      </c>
      <c r="V878" s="359">
        <f t="shared" ca="1" si="380"/>
        <v>1.0980387385671966</v>
      </c>
      <c r="W878" s="357">
        <f t="shared" ca="1" si="381"/>
        <v>55.496611147701259</v>
      </c>
      <c r="X878" s="343"/>
      <c r="Y878" s="367" t="str">
        <f t="shared" ca="1" si="399"/>
        <v/>
      </c>
      <c r="Z878" s="368" t="str">
        <f t="shared" ca="1" si="400"/>
        <v/>
      </c>
      <c r="AA878" s="369" t="str">
        <f t="shared" ca="1" si="401"/>
        <v/>
      </c>
      <c r="AB878" s="344"/>
      <c r="AC878" s="363" t="e">
        <f t="shared" ca="1" si="402"/>
        <v>#N/A</v>
      </c>
      <c r="AD878" s="376" t="e">
        <f t="shared" ca="1" si="403"/>
        <v>#N/A</v>
      </c>
      <c r="AE878" s="377" t="e">
        <f t="shared" ca="1" si="382"/>
        <v>#N/A</v>
      </c>
      <c r="AF878" s="344"/>
      <c r="AG878" s="359">
        <f t="shared" ca="1" si="404"/>
        <v>3.9534222107281414</v>
      </c>
      <c r="AH878" s="357">
        <f t="shared" ca="1" si="405"/>
        <v>-5.719221698590057</v>
      </c>
    </row>
    <row r="879" spans="1:34" x14ac:dyDescent="0.25">
      <c r="A879" s="402">
        <f t="shared" ca="1" si="383"/>
        <v>0.1</v>
      </c>
      <c r="B879" s="357">
        <f t="shared" ca="1" si="384"/>
        <v>42.50000000000027</v>
      </c>
      <c r="C879" s="342"/>
      <c r="D879" s="359">
        <f t="shared" ca="1" si="385"/>
        <v>-0.95397681847662918</v>
      </c>
      <c r="E879" s="360">
        <f t="shared" ca="1" si="386"/>
        <v>-4.1314706450621799</v>
      </c>
      <c r="F879" s="357">
        <f t="shared" ca="1" si="387"/>
        <v>4.2401794137985833</v>
      </c>
      <c r="G879" s="359">
        <f t="shared" ca="1" si="388"/>
        <v>24.661309013674742</v>
      </c>
      <c r="H879" s="360">
        <f t="shared" ca="1" si="389"/>
        <v>-147.77698545064169</v>
      </c>
      <c r="I879" s="357">
        <f t="shared" ca="1" si="390"/>
        <v>149.82061804420351</v>
      </c>
      <c r="J879" s="359">
        <f t="shared" ca="1" si="391"/>
        <v>1643.5173386268416</v>
      </c>
      <c r="K879" s="360">
        <f t="shared" ca="1" si="392"/>
        <v>1078.304898111943</v>
      </c>
      <c r="L879" s="357">
        <f t="shared" ca="1" si="377"/>
        <v>1965.6781770318519</v>
      </c>
      <c r="M879" s="359">
        <f t="shared" ca="1" si="393"/>
        <v>-1.4054382081808496</v>
      </c>
      <c r="N879" s="357">
        <f t="shared" ca="1" si="394"/>
        <v>-80.525677695191447</v>
      </c>
      <c r="O879" s="343"/>
      <c r="P879" s="363">
        <f t="shared" ca="1" si="395"/>
        <v>23</v>
      </c>
      <c r="Q879" s="357">
        <f t="shared" ca="1" si="396"/>
        <v>0</v>
      </c>
      <c r="R879" s="359">
        <f t="shared" ca="1" si="397"/>
        <v>0</v>
      </c>
      <c r="S879" s="360">
        <f t="shared" ca="1" si="398"/>
        <v>9.637999999999975</v>
      </c>
      <c r="T879" s="357">
        <f t="shared" ca="1" si="378"/>
        <v>94.548779999999766</v>
      </c>
      <c r="U879" s="364">
        <f t="shared" ca="1" si="379"/>
        <v>0</v>
      </c>
      <c r="V879" s="359">
        <f t="shared" ca="1" si="380"/>
        <v>1.09966511120584</v>
      </c>
      <c r="W879" s="357">
        <f t="shared" ca="1" si="381"/>
        <v>55.870586836193802</v>
      </c>
      <c r="X879" s="343"/>
      <c r="Y879" s="367" t="str">
        <f t="shared" ca="1" si="399"/>
        <v/>
      </c>
      <c r="Z879" s="368" t="str">
        <f t="shared" ca="1" si="400"/>
        <v/>
      </c>
      <c r="AA879" s="369" t="str">
        <f t="shared" ca="1" si="401"/>
        <v/>
      </c>
      <c r="AB879" s="344"/>
      <c r="AC879" s="363" t="e">
        <f t="shared" ca="1" si="402"/>
        <v>#N/A</v>
      </c>
      <c r="AD879" s="376" t="e">
        <f t="shared" ca="1" si="403"/>
        <v>#N/A</v>
      </c>
      <c r="AE879" s="377" t="e">
        <f t="shared" ca="1" si="382"/>
        <v>#N/A</v>
      </c>
      <c r="AF879" s="344"/>
      <c r="AG879" s="359">
        <f t="shared" ca="1" si="404"/>
        <v>3.9163244738482765</v>
      </c>
      <c r="AH879" s="357">
        <f t="shared" ca="1" si="405"/>
        <v>-5.7581044975826314</v>
      </c>
    </row>
    <row r="880" spans="1:34" x14ac:dyDescent="0.25">
      <c r="A880" s="402">
        <f t="shared" ca="1" si="383"/>
        <v>0.1</v>
      </c>
      <c r="B880" s="357">
        <f t="shared" ca="1" si="384"/>
        <v>42.600000000000271</v>
      </c>
      <c r="C880" s="342"/>
      <c r="D880" s="359">
        <f t="shared" ca="1" si="385"/>
        <v>-0.95420316292892626</v>
      </c>
      <c r="E880" s="360">
        <f t="shared" ca="1" si="386"/>
        <v>-4.0921661718396924</v>
      </c>
      <c r="F880" s="357">
        <f t="shared" ca="1" si="387"/>
        <v>4.2019433187624848</v>
      </c>
      <c r="G880" s="359">
        <f t="shared" ca="1" si="388"/>
        <v>24.565888697381851</v>
      </c>
      <c r="H880" s="360">
        <f t="shared" ca="1" si="389"/>
        <v>-148.18620206782566</v>
      </c>
      <c r="I880" s="357">
        <f t="shared" ca="1" si="390"/>
        <v>150.20863281043009</v>
      </c>
      <c r="J880" s="359">
        <f t="shared" ca="1" si="391"/>
        <v>1645.9786985123944</v>
      </c>
      <c r="K880" s="360">
        <f t="shared" ca="1" si="392"/>
        <v>1063.5067387360195</v>
      </c>
      <c r="L880" s="357">
        <f t="shared" ca="1" si="377"/>
        <v>1959.6664153098814</v>
      </c>
      <c r="M880" s="359">
        <f t="shared" ca="1" si="393"/>
        <v>-1.4065132336129895</v>
      </c>
      <c r="N880" s="357">
        <f t="shared" ca="1" si="394"/>
        <v>-80.587272115322293</v>
      </c>
      <c r="O880" s="343"/>
      <c r="P880" s="363">
        <f t="shared" ca="1" si="395"/>
        <v>23</v>
      </c>
      <c r="Q880" s="357">
        <f t="shared" ca="1" si="396"/>
        <v>0</v>
      </c>
      <c r="R880" s="359">
        <f t="shared" ca="1" si="397"/>
        <v>0</v>
      </c>
      <c r="S880" s="360">
        <f t="shared" ca="1" si="398"/>
        <v>9.637999999999975</v>
      </c>
      <c r="T880" s="357">
        <f t="shared" ca="1" si="378"/>
        <v>94.548779999999766</v>
      </c>
      <c r="U880" s="364">
        <f t="shared" ca="1" si="379"/>
        <v>0</v>
      </c>
      <c r="V880" s="359">
        <f t="shared" ca="1" si="380"/>
        <v>1.101298303875891</v>
      </c>
      <c r="W880" s="357">
        <f t="shared" ca="1" si="381"/>
        <v>56.24376366249475</v>
      </c>
      <c r="X880" s="343"/>
      <c r="Y880" s="367" t="str">
        <f t="shared" ca="1" si="399"/>
        <v/>
      </c>
      <c r="Z880" s="368" t="str">
        <f t="shared" ca="1" si="400"/>
        <v/>
      </c>
      <c r="AA880" s="369" t="str">
        <f t="shared" ca="1" si="401"/>
        <v/>
      </c>
      <c r="AB880" s="344"/>
      <c r="AC880" s="363" t="e">
        <f t="shared" ca="1" si="402"/>
        <v>#N/A</v>
      </c>
      <c r="AD880" s="376" t="e">
        <f t="shared" ca="1" si="403"/>
        <v>#N/A</v>
      </c>
      <c r="AE880" s="377" t="e">
        <f t="shared" ca="1" si="382"/>
        <v>#N/A</v>
      </c>
      <c r="AF880" s="344"/>
      <c r="AG880" s="359">
        <f t="shared" ca="1" si="404"/>
        <v>3.8792796970258703</v>
      </c>
      <c r="AH880" s="357">
        <f t="shared" ca="1" si="405"/>
        <v>-5.7969067063907396</v>
      </c>
    </row>
    <row r="881" spans="1:34" x14ac:dyDescent="0.25">
      <c r="A881" s="402">
        <f t="shared" ca="1" si="383"/>
        <v>0.1</v>
      </c>
      <c r="B881" s="357">
        <f t="shared" ca="1" si="384"/>
        <v>42.700000000000273</v>
      </c>
      <c r="C881" s="342"/>
      <c r="D881" s="359">
        <f t="shared" ca="1" si="385"/>
        <v>-0.95438815208523597</v>
      </c>
      <c r="E881" s="360">
        <f t="shared" ca="1" si="386"/>
        <v>-4.0529456838207416</v>
      </c>
      <c r="F881" s="357">
        <f t="shared" ca="1" si="387"/>
        <v>4.1637994020896167</v>
      </c>
      <c r="G881" s="359">
        <f t="shared" ca="1" si="388"/>
        <v>24.470449882173327</v>
      </c>
      <c r="H881" s="360">
        <f t="shared" ca="1" si="389"/>
        <v>-148.59149663620772</v>
      </c>
      <c r="I881" s="357">
        <f t="shared" ca="1" si="390"/>
        <v>150.59294734490089</v>
      </c>
      <c r="J881" s="359">
        <f t="shared" ca="1" si="391"/>
        <v>1648.4305154413721</v>
      </c>
      <c r="K881" s="360">
        <f t="shared" ca="1" si="392"/>
        <v>1048.667853800818</v>
      </c>
      <c r="L881" s="357">
        <f t="shared" ca="1" si="377"/>
        <v>1953.7214314823702</v>
      </c>
      <c r="M881" s="359">
        <f t="shared" ca="1" si="393"/>
        <v>-1.4075786074881877</v>
      </c>
      <c r="N881" s="357">
        <f t="shared" ca="1" si="394"/>
        <v>-80.648313541974659</v>
      </c>
      <c r="O881" s="343"/>
      <c r="P881" s="363">
        <f t="shared" ca="1" si="395"/>
        <v>23</v>
      </c>
      <c r="Q881" s="357">
        <f t="shared" ca="1" si="396"/>
        <v>0</v>
      </c>
      <c r="R881" s="359">
        <f t="shared" ca="1" si="397"/>
        <v>0</v>
      </c>
      <c r="S881" s="360">
        <f t="shared" ca="1" si="398"/>
        <v>9.637999999999975</v>
      </c>
      <c r="T881" s="357">
        <f t="shared" ca="1" si="378"/>
        <v>94.548779999999766</v>
      </c>
      <c r="U881" s="364">
        <f t="shared" ca="1" si="379"/>
        <v>0</v>
      </c>
      <c r="V881" s="359">
        <f t="shared" ca="1" si="380"/>
        <v>1.1029382971094741</v>
      </c>
      <c r="W881" s="357">
        <f t="shared" ca="1" si="381"/>
        <v>56.616119751679008</v>
      </c>
      <c r="X881" s="343"/>
      <c r="Y881" s="367" t="str">
        <f t="shared" ca="1" si="399"/>
        <v/>
      </c>
      <c r="Z881" s="368" t="str">
        <f t="shared" ca="1" si="400"/>
        <v/>
      </c>
      <c r="AA881" s="369" t="str">
        <f t="shared" ca="1" si="401"/>
        <v/>
      </c>
      <c r="AB881" s="344"/>
      <c r="AC881" s="363" t="e">
        <f t="shared" ca="1" si="402"/>
        <v>#N/A</v>
      </c>
      <c r="AD881" s="376" t="e">
        <f t="shared" ca="1" si="403"/>
        <v>#N/A</v>
      </c>
      <c r="AE881" s="377" t="e">
        <f t="shared" ca="1" si="382"/>
        <v>#N/A</v>
      </c>
      <c r="AF881" s="344"/>
      <c r="AG881" s="359">
        <f t="shared" ca="1" si="404"/>
        <v>3.8422907136285538</v>
      </c>
      <c r="AH881" s="357">
        <f t="shared" ca="1" si="405"/>
        <v>-5.8356260284804833</v>
      </c>
    </row>
    <row r="882" spans="1:34" x14ac:dyDescent="0.25">
      <c r="A882" s="402">
        <f t="shared" ca="1" si="383"/>
        <v>0.1</v>
      </c>
      <c r="B882" s="357">
        <f t="shared" ca="1" si="384"/>
        <v>42.800000000000274</v>
      </c>
      <c r="C882" s="342"/>
      <c r="D882" s="359">
        <f t="shared" ca="1" si="385"/>
        <v>-0.95453201634832174</v>
      </c>
      <c r="E882" s="360">
        <f t="shared" ca="1" si="386"/>
        <v>-4.0138114714147113</v>
      </c>
      <c r="F882" s="357">
        <f t="shared" ca="1" si="387"/>
        <v>4.1257501012899853</v>
      </c>
      <c r="G882" s="359">
        <f t="shared" ca="1" si="388"/>
        <v>24.374996680538494</v>
      </c>
      <c r="H882" s="360">
        <f t="shared" ca="1" si="389"/>
        <v>-148.9928777833492</v>
      </c>
      <c r="I882" s="357">
        <f t="shared" ca="1" si="390"/>
        <v>150.97356753200307</v>
      </c>
      <c r="J882" s="359">
        <f t="shared" ca="1" si="391"/>
        <v>1650.8727877695078</v>
      </c>
      <c r="K882" s="360">
        <f t="shared" ca="1" si="392"/>
        <v>1033.7886350798401</v>
      </c>
      <c r="L882" s="357">
        <f t="shared" ca="1" si="377"/>
        <v>1947.8449382376682</v>
      </c>
      <c r="M882" s="359">
        <f t="shared" ca="1" si="393"/>
        <v>-1.4086344654303653</v>
      </c>
      <c r="N882" s="357">
        <f t="shared" ca="1" si="394"/>
        <v>-80.708809745826798</v>
      </c>
      <c r="O882" s="343"/>
      <c r="P882" s="363">
        <f t="shared" ca="1" si="395"/>
        <v>23</v>
      </c>
      <c r="Q882" s="357">
        <f t="shared" ca="1" si="396"/>
        <v>0</v>
      </c>
      <c r="R882" s="359">
        <f t="shared" ca="1" si="397"/>
        <v>0</v>
      </c>
      <c r="S882" s="360">
        <f t="shared" ca="1" si="398"/>
        <v>9.637999999999975</v>
      </c>
      <c r="T882" s="357">
        <f t="shared" ca="1" si="378"/>
        <v>94.548779999999766</v>
      </c>
      <c r="U882" s="364">
        <f t="shared" ca="1" si="379"/>
        <v>0</v>
      </c>
      <c r="V882" s="359">
        <f t="shared" ca="1" si="380"/>
        <v>1.104585071434945</v>
      </c>
      <c r="W882" s="357">
        <f t="shared" ca="1" si="381"/>
        <v>56.987633489353442</v>
      </c>
      <c r="X882" s="343"/>
      <c r="Y882" s="367" t="str">
        <f t="shared" ca="1" si="399"/>
        <v/>
      </c>
      <c r="Z882" s="368" t="str">
        <f t="shared" ca="1" si="400"/>
        <v/>
      </c>
      <c r="AA882" s="369" t="str">
        <f t="shared" ca="1" si="401"/>
        <v/>
      </c>
      <c r="AB882" s="344"/>
      <c r="AC882" s="363" t="e">
        <f t="shared" ca="1" si="402"/>
        <v>#N/A</v>
      </c>
      <c r="AD882" s="376" t="e">
        <f t="shared" ca="1" si="403"/>
        <v>#N/A</v>
      </c>
      <c r="AE882" s="377" t="e">
        <f t="shared" ca="1" si="382"/>
        <v>#N/A</v>
      </c>
      <c r="AF882" s="344"/>
      <c r="AG882" s="359">
        <f t="shared" ca="1" si="404"/>
        <v>3.8053603172639772</v>
      </c>
      <c r="AH882" s="357">
        <f t="shared" ca="1" si="405"/>
        <v>-5.8742601941978787</v>
      </c>
    </row>
    <row r="883" spans="1:34" x14ac:dyDescent="0.25">
      <c r="A883" s="402">
        <f t="shared" ca="1" si="383"/>
        <v>0.1</v>
      </c>
      <c r="B883" s="357">
        <f t="shared" ca="1" si="384"/>
        <v>42.900000000000276</v>
      </c>
      <c r="C883" s="342"/>
      <c r="D883" s="359">
        <f t="shared" ca="1" si="385"/>
        <v>-0.95463498942989078</v>
      </c>
      <c r="E883" s="360">
        <f t="shared" ca="1" si="386"/>
        <v>-3.9747657978391029</v>
      </c>
      <c r="F883" s="357">
        <f t="shared" ca="1" si="387"/>
        <v>4.0877978314387473</v>
      </c>
      <c r="G883" s="359">
        <f t="shared" ca="1" si="388"/>
        <v>24.279533181595504</v>
      </c>
      <c r="H883" s="360">
        <f t="shared" ca="1" si="389"/>
        <v>-149.3903543631331</v>
      </c>
      <c r="I883" s="357">
        <f t="shared" ca="1" si="390"/>
        <v>151.35049953091888</v>
      </c>
      <c r="J883" s="359">
        <f t="shared" ca="1" si="391"/>
        <v>1653.3055142626145</v>
      </c>
      <c r="K883" s="360">
        <f t="shared" ca="1" si="392"/>
        <v>1018.869473472516</v>
      </c>
      <c r="L883" s="357">
        <f t="shared" ca="1" si="377"/>
        <v>1942.0386524128014</v>
      </c>
      <c r="M883" s="359">
        <f t="shared" ca="1" si="393"/>
        <v>-1.409680940473607</v>
      </c>
      <c r="N883" s="357">
        <f t="shared" ca="1" si="394"/>
        <v>-80.768768349170315</v>
      </c>
      <c r="O883" s="343"/>
      <c r="P883" s="363">
        <f t="shared" ca="1" si="395"/>
        <v>23</v>
      </c>
      <c r="Q883" s="357">
        <f t="shared" ca="1" si="396"/>
        <v>0</v>
      </c>
      <c r="R883" s="359">
        <f t="shared" ca="1" si="397"/>
        <v>0</v>
      </c>
      <c r="S883" s="360">
        <f t="shared" ca="1" si="398"/>
        <v>9.637999999999975</v>
      </c>
      <c r="T883" s="357">
        <f t="shared" ca="1" si="378"/>
        <v>94.548779999999766</v>
      </c>
      <c r="U883" s="364">
        <f t="shared" ca="1" si="379"/>
        <v>0</v>
      </c>
      <c r="V883" s="359">
        <f t="shared" ca="1" si="380"/>
        <v>1.1062386073780939</v>
      </c>
      <c r="W883" s="357">
        <f t="shared" ca="1" si="381"/>
        <v>57.358283523052982</v>
      </c>
      <c r="X883" s="343"/>
      <c r="Y883" s="367" t="str">
        <f t="shared" ca="1" si="399"/>
        <v/>
      </c>
      <c r="Z883" s="368" t="str">
        <f t="shared" ca="1" si="400"/>
        <v/>
      </c>
      <c r="AA883" s="369" t="str">
        <f t="shared" ca="1" si="401"/>
        <v/>
      </c>
      <c r="AB883" s="344"/>
      <c r="AC883" s="363" t="e">
        <f t="shared" ca="1" si="402"/>
        <v>#N/A</v>
      </c>
      <c r="AD883" s="376" t="e">
        <f t="shared" ca="1" si="403"/>
        <v>#N/A</v>
      </c>
      <c r="AE883" s="377" t="e">
        <f t="shared" ca="1" si="382"/>
        <v>#N/A</v>
      </c>
      <c r="AF883" s="344"/>
      <c r="AG883" s="359">
        <f t="shared" ca="1" si="404"/>
        <v>3.7684912619938915</v>
      </c>
      <c r="AH883" s="357">
        <f t="shared" ca="1" si="405"/>
        <v>-5.9128069609206877</v>
      </c>
    </row>
    <row r="884" spans="1:34" x14ac:dyDescent="0.25">
      <c r="A884" s="402">
        <f t="shared" ca="1" si="383"/>
        <v>0.1</v>
      </c>
      <c r="B884" s="357">
        <f t="shared" ca="1" si="384"/>
        <v>43.000000000000277</v>
      </c>
      <c r="C884" s="342"/>
      <c r="D884" s="359">
        <f t="shared" ca="1" si="385"/>
        <v>-0.95469730827970778</v>
      </c>
      <c r="E884" s="360">
        <f t="shared" ca="1" si="386"/>
        <v>-3.9358108989695779</v>
      </c>
      <c r="F884" s="357">
        <f t="shared" ca="1" si="387"/>
        <v>4.0499449851676053</v>
      </c>
      <c r="G884" s="359">
        <f t="shared" ca="1" si="388"/>
        <v>24.184063450767532</v>
      </c>
      <c r="H884" s="360">
        <f t="shared" ca="1" si="389"/>
        <v>-149.78393545303007</v>
      </c>
      <c r="I884" s="357">
        <f t="shared" ca="1" si="390"/>
        <v>151.72374977170921</v>
      </c>
      <c r="J884" s="359">
        <f t="shared" ca="1" si="391"/>
        <v>1655.7286940942327</v>
      </c>
      <c r="K884" s="360">
        <f t="shared" ca="1" si="392"/>
        <v>1003.9107589817079</v>
      </c>
      <c r="L884" s="357">
        <f t="shared" ca="1" si="377"/>
        <v>1936.3042943830449</v>
      </c>
      <c r="M884" s="359">
        <f t="shared" ca="1" si="393"/>
        <v>-1.4107181631223389</v>
      </c>
      <c r="N884" s="357">
        <f t="shared" ca="1" si="394"/>
        <v>-80.828196829358035</v>
      </c>
      <c r="O884" s="343"/>
      <c r="P884" s="363">
        <f t="shared" ca="1" si="395"/>
        <v>23</v>
      </c>
      <c r="Q884" s="357">
        <f t="shared" ca="1" si="396"/>
        <v>0</v>
      </c>
      <c r="R884" s="359">
        <f t="shared" ca="1" si="397"/>
        <v>0</v>
      </c>
      <c r="S884" s="360">
        <f t="shared" ca="1" si="398"/>
        <v>9.637999999999975</v>
      </c>
      <c r="T884" s="357">
        <f t="shared" ca="1" si="378"/>
        <v>94.548779999999766</v>
      </c>
      <c r="U884" s="364">
        <f t="shared" ca="1" si="379"/>
        <v>0</v>
      </c>
      <c r="V884" s="359">
        <f t="shared" ca="1" si="380"/>
        <v>1.1078988854633458</v>
      </c>
      <c r="W884" s="357">
        <f t="shared" ca="1" si="381"/>
        <v>57.728048763569738</v>
      </c>
      <c r="X884" s="343"/>
      <c r="Y884" s="367" t="str">
        <f t="shared" ca="1" si="399"/>
        <v/>
      </c>
      <c r="Z884" s="368" t="str">
        <f t="shared" ca="1" si="400"/>
        <v/>
      </c>
      <c r="AA884" s="369" t="str">
        <f t="shared" ca="1" si="401"/>
        <v/>
      </c>
      <c r="AB884" s="344"/>
      <c r="AC884" s="363">
        <f t="shared" ca="1" si="402"/>
        <v>43.000000000000277</v>
      </c>
      <c r="AD884" s="376">
        <f t="shared" ca="1" si="403"/>
        <v>1655.7286940942327</v>
      </c>
      <c r="AE884" s="377" t="e">
        <f t="shared" ca="1" si="382"/>
        <v>#N/A</v>
      </c>
      <c r="AF884" s="344"/>
      <c r="AG884" s="359">
        <f t="shared" ca="1" si="404"/>
        <v>3.7316862625432572</v>
      </c>
      <c r="AH884" s="357">
        <f t="shared" ca="1" si="405"/>
        <v>-5.9512641132032718</v>
      </c>
    </row>
    <row r="885" spans="1:34" x14ac:dyDescent="0.25">
      <c r="A885" s="402">
        <f t="shared" ca="1" si="383"/>
        <v>0.1</v>
      </c>
      <c r="B885" s="357">
        <f t="shared" ca="1" si="384"/>
        <v>43.100000000000279</v>
      </c>
      <c r="C885" s="342"/>
      <c r="D885" s="359">
        <f t="shared" ca="1" si="385"/>
        <v>-0.95471921301486729</v>
      </c>
      <c r="E885" s="360">
        <f t="shared" ca="1" si="386"/>
        <v>-3.8969489831971149</v>
      </c>
      <c r="F885" s="357">
        <f t="shared" ca="1" si="387"/>
        <v>4.0121939326683549</v>
      </c>
      <c r="G885" s="359">
        <f t="shared" ca="1" si="388"/>
        <v>24.088591529466044</v>
      </c>
      <c r="H885" s="360">
        <f t="shared" ca="1" si="389"/>
        <v>-150.17363035134977</v>
      </c>
      <c r="I885" s="357">
        <f t="shared" ca="1" si="390"/>
        <v>152.09332495141695</v>
      </c>
      <c r="J885" s="359">
        <f t="shared" ca="1" si="391"/>
        <v>1658.1423268432443</v>
      </c>
      <c r="K885" s="360">
        <f t="shared" ca="1" si="392"/>
        <v>988.91288069148891</v>
      </c>
      <c r="L885" s="357">
        <f t="shared" ca="1" si="377"/>
        <v>1930.6435874253609</v>
      </c>
      <c r="M885" s="359">
        <f t="shared" ca="1" si="393"/>
        <v>-1.4117462614098641</v>
      </c>
      <c r="N885" s="357">
        <f t="shared" ca="1" si="394"/>
        <v>-80.887102522157861</v>
      </c>
      <c r="O885" s="343"/>
      <c r="P885" s="363">
        <f t="shared" ca="1" si="395"/>
        <v>23</v>
      </c>
      <c r="Q885" s="357">
        <f t="shared" ca="1" si="396"/>
        <v>0</v>
      </c>
      <c r="R885" s="359">
        <f t="shared" ca="1" si="397"/>
        <v>0</v>
      </c>
      <c r="S885" s="360">
        <f t="shared" ca="1" si="398"/>
        <v>9.637999999999975</v>
      </c>
      <c r="T885" s="357">
        <f t="shared" ca="1" si="378"/>
        <v>94.548779999999766</v>
      </c>
      <c r="U885" s="364">
        <f t="shared" ca="1" si="379"/>
        <v>0</v>
      </c>
      <c r="V885" s="359">
        <f t="shared" ca="1" si="380"/>
        <v>1.1095658862149547</v>
      </c>
      <c r="W885" s="357">
        <f t="shared" ca="1" si="381"/>
        <v>58.09690838621524</v>
      </c>
      <c r="X885" s="343"/>
      <c r="Y885" s="367" t="str">
        <f t="shared" ca="1" si="399"/>
        <v/>
      </c>
      <c r="Z885" s="368" t="str">
        <f t="shared" ca="1" si="400"/>
        <v/>
      </c>
      <c r="AA885" s="369" t="str">
        <f t="shared" ca="1" si="401"/>
        <v/>
      </c>
      <c r="AB885" s="344"/>
      <c r="AC885" s="363" t="e">
        <f t="shared" ca="1" si="402"/>
        <v>#N/A</v>
      </c>
      <c r="AD885" s="376" t="e">
        <f t="shared" ca="1" si="403"/>
        <v>#N/A</v>
      </c>
      <c r="AE885" s="377" t="e">
        <f t="shared" ca="1" si="382"/>
        <v>#N/A</v>
      </c>
      <c r="AF885" s="344"/>
      <c r="AG885" s="359">
        <f t="shared" ca="1" si="404"/>
        <v>3.6949479945048296</v>
      </c>
      <c r="AH885" s="357">
        <f t="shared" ca="1" si="405"/>
        <v>-5.9896294629144933</v>
      </c>
    </row>
    <row r="886" spans="1:34" x14ac:dyDescent="0.25">
      <c r="A886" s="402">
        <f t="shared" ca="1" si="383"/>
        <v>0.1</v>
      </c>
      <c r="B886" s="357">
        <f t="shared" ca="1" si="384"/>
        <v>43.20000000000028</v>
      </c>
      <c r="C886" s="342"/>
      <c r="D886" s="359">
        <f t="shared" ca="1" si="385"/>
        <v>-0.95470094684921902</v>
      </c>
      <c r="E886" s="360">
        <f t="shared" ca="1" si="386"/>
        <v>-3.8581822312922815</v>
      </c>
      <c r="F886" s="357">
        <f t="shared" ca="1" si="387"/>
        <v>3.9745470217087986</v>
      </c>
      <c r="G886" s="359">
        <f t="shared" ca="1" si="388"/>
        <v>23.99312143478112</v>
      </c>
      <c r="H886" s="360">
        <f t="shared" ca="1" si="389"/>
        <v>-150.55944857447901</v>
      </c>
      <c r="I886" s="357">
        <f t="shared" ca="1" si="390"/>
        <v>152.45923203019009</v>
      </c>
      <c r="J886" s="359">
        <f t="shared" ca="1" si="391"/>
        <v>1660.5464124914567</v>
      </c>
      <c r="K886" s="360">
        <f t="shared" ca="1" si="392"/>
        <v>973.87622674519753</v>
      </c>
      <c r="L886" s="357">
        <f t="shared" ca="1" si="377"/>
        <v>1925.0582570555393</v>
      </c>
      <c r="M886" s="359">
        <f t="shared" ca="1" si="393"/>
        <v>-1.4127653609553086</v>
      </c>
      <c r="N886" s="357">
        <f t="shared" ca="1" si="394"/>
        <v>-80.945492625015518</v>
      </c>
      <c r="O886" s="343"/>
      <c r="P886" s="363">
        <f t="shared" ca="1" si="395"/>
        <v>23</v>
      </c>
      <c r="Q886" s="357">
        <f t="shared" ca="1" si="396"/>
        <v>0</v>
      </c>
      <c r="R886" s="359">
        <f t="shared" ca="1" si="397"/>
        <v>0</v>
      </c>
      <c r="S886" s="360">
        <f t="shared" ca="1" si="398"/>
        <v>9.637999999999975</v>
      </c>
      <c r="T886" s="357">
        <f t="shared" ca="1" si="378"/>
        <v>94.548779999999766</v>
      </c>
      <c r="U886" s="364">
        <f t="shared" ca="1" si="379"/>
        <v>0</v>
      </c>
      <c r="V886" s="359">
        <f t="shared" ca="1" si="380"/>
        <v>1.1112395901581995</v>
      </c>
      <c r="W886" s="357">
        <f t="shared" ca="1" si="381"/>
        <v>58.464841832016248</v>
      </c>
      <c r="X886" s="343"/>
      <c r="Y886" s="367" t="str">
        <f t="shared" ca="1" si="399"/>
        <v/>
      </c>
      <c r="Z886" s="368" t="str">
        <f t="shared" ca="1" si="400"/>
        <v/>
      </c>
      <c r="AA886" s="369" t="str">
        <f t="shared" ca="1" si="401"/>
        <v/>
      </c>
      <c r="AB886" s="344"/>
      <c r="AC886" s="363" t="e">
        <f t="shared" ca="1" si="402"/>
        <v>#N/A</v>
      </c>
      <c r="AD886" s="376" t="e">
        <f t="shared" ca="1" si="403"/>
        <v>#N/A</v>
      </c>
      <c r="AE886" s="377" t="e">
        <f t="shared" ca="1" si="382"/>
        <v>#N/A</v>
      </c>
      <c r="AF886" s="344"/>
      <c r="AG886" s="359">
        <f t="shared" ca="1" si="404"/>
        <v>3.6582790945396075</v>
      </c>
      <c r="AH886" s="357">
        <f t="shared" ca="1" si="405"/>
        <v>-6.0279008493686854</v>
      </c>
    </row>
    <row r="887" spans="1:34" x14ac:dyDescent="0.25">
      <c r="A887" s="402">
        <f t="shared" ca="1" si="383"/>
        <v>0.1</v>
      </c>
      <c r="B887" s="357">
        <f t="shared" ca="1" si="384"/>
        <v>43.300000000000281</v>
      </c>
      <c r="C887" s="342"/>
      <c r="D887" s="359">
        <f t="shared" ca="1" si="385"/>
        <v>-0.954642756022965</v>
      </c>
      <c r="E887" s="360">
        <f t="shared" ca="1" si="386"/>
        <v>-3.8195127962765758</v>
      </c>
      <c r="F887" s="357">
        <f t="shared" ca="1" si="387"/>
        <v>3.9370065776612098</v>
      </c>
      <c r="G887" s="359">
        <f t="shared" ca="1" si="388"/>
        <v>23.897657159178824</v>
      </c>
      <c r="H887" s="360">
        <f t="shared" ca="1" si="389"/>
        <v>-150.94139985410666</v>
      </c>
      <c r="I887" s="357">
        <f t="shared" ca="1" si="390"/>
        <v>152.8214782274238</v>
      </c>
      <c r="J887" s="359">
        <f t="shared" ca="1" si="391"/>
        <v>1662.9409514211548</v>
      </c>
      <c r="K887" s="360">
        <f t="shared" ca="1" si="392"/>
        <v>958.80118432376821</v>
      </c>
      <c r="L887" s="357">
        <f t="shared" ca="1" si="377"/>
        <v>1919.5500303389219</v>
      </c>
      <c r="M887" s="359">
        <f t="shared" ca="1" si="393"/>
        <v>-1.4137755850190254</v>
      </c>
      <c r="N887" s="357">
        <f t="shared" ca="1" si="394"/>
        <v>-81.003374200229061</v>
      </c>
      <c r="O887" s="343"/>
      <c r="P887" s="363">
        <f t="shared" ca="1" si="395"/>
        <v>23</v>
      </c>
      <c r="Q887" s="357">
        <f t="shared" ca="1" si="396"/>
        <v>0</v>
      </c>
      <c r="R887" s="359">
        <f t="shared" ca="1" si="397"/>
        <v>0</v>
      </c>
      <c r="S887" s="360">
        <f t="shared" ca="1" si="398"/>
        <v>9.637999999999975</v>
      </c>
      <c r="T887" s="357">
        <f t="shared" ca="1" si="378"/>
        <v>94.548779999999766</v>
      </c>
      <c r="U887" s="364">
        <f t="shared" ca="1" si="379"/>
        <v>0</v>
      </c>
      <c r="V887" s="359">
        <f t="shared" ca="1" si="380"/>
        <v>1.1129199778205718</v>
      </c>
      <c r="W887" s="357">
        <f t="shared" ca="1" si="381"/>
        <v>58.831828808843852</v>
      </c>
      <c r="X887" s="343"/>
      <c r="Y887" s="367" t="str">
        <f t="shared" ca="1" si="399"/>
        <v/>
      </c>
      <c r="Z887" s="368" t="str">
        <f t="shared" ca="1" si="400"/>
        <v/>
      </c>
      <c r="AA887" s="369" t="str">
        <f t="shared" ca="1" si="401"/>
        <v/>
      </c>
      <c r="AB887" s="344"/>
      <c r="AC887" s="363" t="e">
        <f t="shared" ca="1" si="402"/>
        <v>#N/A</v>
      </c>
      <c r="AD887" s="376" t="e">
        <f t="shared" ca="1" si="403"/>
        <v>#N/A</v>
      </c>
      <c r="AE887" s="377" t="e">
        <f t="shared" ca="1" si="382"/>
        <v>#N/A</v>
      </c>
      <c r="AF887" s="344"/>
      <c r="AG887" s="359">
        <f t="shared" ca="1" si="404"/>
        <v>3.6216821605734939</v>
      </c>
      <c r="AH887" s="357">
        <f t="shared" ca="1" si="405"/>
        <v>-6.06607613944972</v>
      </c>
    </row>
    <row r="888" spans="1:34" x14ac:dyDescent="0.25">
      <c r="A888" s="402">
        <f t="shared" ca="1" si="383"/>
        <v>0.1</v>
      </c>
      <c r="B888" s="357">
        <f t="shared" ca="1" si="384"/>
        <v>43.400000000000283</v>
      </c>
      <c r="C888" s="342"/>
      <c r="D888" s="359">
        <f t="shared" ca="1" si="385"/>
        <v>-0.95454488973242424</v>
      </c>
      <c r="E888" s="360">
        <f t="shared" ca="1" si="386"/>
        <v>-3.7809428033008494</v>
      </c>
      <c r="F888" s="357">
        <f t="shared" ca="1" si="387"/>
        <v>3.8995749035435607</v>
      </c>
      <c r="G888" s="359">
        <f t="shared" ca="1" si="388"/>
        <v>23.802202670205581</v>
      </c>
      <c r="H888" s="360">
        <f t="shared" ca="1" si="389"/>
        <v>-151.31949413443675</v>
      </c>
      <c r="I888" s="357">
        <f t="shared" ca="1" si="390"/>
        <v>153.18007101792119</v>
      </c>
      <c r="J888" s="359">
        <f t="shared" ca="1" si="391"/>
        <v>1665.325944412624</v>
      </c>
      <c r="K888" s="360">
        <f t="shared" ca="1" si="392"/>
        <v>943.68813962434103</v>
      </c>
      <c r="L888" s="357">
        <f t="shared" ca="1" si="377"/>
        <v>1914.1206351746612</v>
      </c>
      <c r="M888" s="359">
        <f t="shared" ca="1" si="393"/>
        <v>-1.4147770545565059</v>
      </c>
      <c r="N888" s="357">
        <f t="shared" ca="1" si="394"/>
        <v>-81.060754178037598</v>
      </c>
      <c r="O888" s="343"/>
      <c r="P888" s="363">
        <f t="shared" ca="1" si="395"/>
        <v>23</v>
      </c>
      <c r="Q888" s="357">
        <f t="shared" ca="1" si="396"/>
        <v>0</v>
      </c>
      <c r="R888" s="359">
        <f t="shared" ca="1" si="397"/>
        <v>0</v>
      </c>
      <c r="S888" s="360">
        <f t="shared" ca="1" si="398"/>
        <v>9.637999999999975</v>
      </c>
      <c r="T888" s="357">
        <f t="shared" ca="1" si="378"/>
        <v>94.548779999999766</v>
      </c>
      <c r="U888" s="364">
        <f t="shared" ca="1" si="379"/>
        <v>0</v>
      </c>
      <c r="V888" s="359">
        <f t="shared" ca="1" si="380"/>
        <v>1.1146070297329636</v>
      </c>
      <c r="W888" s="357">
        <f t="shared" ca="1" si="381"/>
        <v>59.197849292476334</v>
      </c>
      <c r="X888" s="343"/>
      <c r="Y888" s="367" t="str">
        <f t="shared" ca="1" si="399"/>
        <v/>
      </c>
      <c r="Z888" s="368" t="str">
        <f t="shared" ca="1" si="400"/>
        <v/>
      </c>
      <c r="AA888" s="369" t="str">
        <f t="shared" ca="1" si="401"/>
        <v/>
      </c>
      <c r="AB888" s="344"/>
      <c r="AC888" s="363" t="e">
        <f t="shared" ca="1" si="402"/>
        <v>#N/A</v>
      </c>
      <c r="AD888" s="376" t="e">
        <f t="shared" ca="1" si="403"/>
        <v>#N/A</v>
      </c>
      <c r="AE888" s="377" t="e">
        <f t="shared" ca="1" si="382"/>
        <v>#N/A</v>
      </c>
      <c r="AF888" s="344"/>
      <c r="AG888" s="359">
        <f t="shared" ca="1" si="404"/>
        <v>3.5851597519906093</v>
      </c>
      <c r="AH888" s="357">
        <f t="shared" ca="1" si="405"/>
        <v>-6.10415322772816</v>
      </c>
    </row>
    <row r="889" spans="1:34" x14ac:dyDescent="0.25">
      <c r="A889" s="402">
        <f t="shared" ca="1" si="383"/>
        <v>0.1</v>
      </c>
      <c r="B889" s="357">
        <f t="shared" ca="1" si="384"/>
        <v>43.500000000000284</v>
      </c>
      <c r="C889" s="342"/>
      <c r="D889" s="359">
        <f t="shared" ca="1" si="385"/>
        <v>-0.95440760005999004</v>
      </c>
      <c r="E889" s="360">
        <f t="shared" ca="1" si="386"/>
        <v>-3.7424743495307728</v>
      </c>
      <c r="F889" s="357">
        <f t="shared" ca="1" si="387"/>
        <v>3.8622542800737563</v>
      </c>
      <c r="G889" s="359">
        <f t="shared" ca="1" si="388"/>
        <v>23.706761910199582</v>
      </c>
      <c r="H889" s="360">
        <f t="shared" ca="1" si="389"/>
        <v>-151.69374156938983</v>
      </c>
      <c r="I889" s="357">
        <f t="shared" ca="1" si="390"/>
        <v>153.53501812807303</v>
      </c>
      <c r="J889" s="359">
        <f t="shared" ca="1" si="391"/>
        <v>1667.7013926416444</v>
      </c>
      <c r="K889" s="360">
        <f t="shared" ca="1" si="392"/>
        <v>928.53747783914969</v>
      </c>
      <c r="L889" s="357">
        <f t="shared" ca="1" si="377"/>
        <v>1908.7717995535163</v>
      </c>
      <c r="M889" s="359">
        <f t="shared" ca="1" si="393"/>
        <v>-1.4157698882708436</v>
      </c>
      <c r="N889" s="357">
        <f t="shared" ca="1" si="394"/>
        <v>-81.117639359627447</v>
      </c>
      <c r="O889" s="343"/>
      <c r="P889" s="363">
        <f t="shared" ca="1" si="395"/>
        <v>23</v>
      </c>
      <c r="Q889" s="357">
        <f t="shared" ca="1" si="396"/>
        <v>0</v>
      </c>
      <c r="R889" s="359">
        <f t="shared" ca="1" si="397"/>
        <v>0</v>
      </c>
      <c r="S889" s="360">
        <f t="shared" ca="1" si="398"/>
        <v>9.637999999999975</v>
      </c>
      <c r="T889" s="357">
        <f t="shared" ca="1" si="378"/>
        <v>94.548779999999766</v>
      </c>
      <c r="U889" s="364">
        <f t="shared" ca="1" si="379"/>
        <v>0</v>
      </c>
      <c r="V889" s="359">
        <f t="shared" ca="1" si="380"/>
        <v>1.1163007264308469</v>
      </c>
      <c r="W889" s="357">
        <f t="shared" ca="1" si="381"/>
        <v>59.562883527596085</v>
      </c>
      <c r="X889" s="343"/>
      <c r="Y889" s="367" t="str">
        <f t="shared" ca="1" si="399"/>
        <v/>
      </c>
      <c r="Z889" s="368" t="str">
        <f t="shared" ca="1" si="400"/>
        <v/>
      </c>
      <c r="AA889" s="369" t="str">
        <f t="shared" ca="1" si="401"/>
        <v/>
      </c>
      <c r="AB889" s="344"/>
      <c r="AC889" s="363" t="e">
        <f t="shared" ca="1" si="402"/>
        <v>#N/A</v>
      </c>
      <c r="AD889" s="376" t="e">
        <f t="shared" ca="1" si="403"/>
        <v>#N/A</v>
      </c>
      <c r="AE889" s="377" t="e">
        <f t="shared" ca="1" si="382"/>
        <v>#N/A</v>
      </c>
      <c r="AF889" s="344"/>
      <c r="AG889" s="359">
        <f t="shared" ca="1" si="404"/>
        <v>3.5487143898235463</v>
      </c>
      <c r="AH889" s="357">
        <f t="shared" ca="1" si="405"/>
        <v>-6.1421300365715386</v>
      </c>
    </row>
    <row r="890" spans="1:34" x14ac:dyDescent="0.25">
      <c r="A890" s="402">
        <f t="shared" ca="1" si="383"/>
        <v>0.1</v>
      </c>
      <c r="B890" s="357">
        <f t="shared" ca="1" si="384"/>
        <v>43.600000000000286</v>
      </c>
      <c r="C890" s="342"/>
      <c r="D890" s="359">
        <f t="shared" ca="1" si="385"/>
        <v>-0.95423114190427472</v>
      </c>
      <c r="E890" s="360">
        <f t="shared" ca="1" si="386"/>
        <v>-3.7041095040393008</v>
      </c>
      <c r="F890" s="357">
        <f t="shared" ca="1" si="387"/>
        <v>3.8250469657370498</v>
      </c>
      <c r="G890" s="359">
        <f t="shared" ca="1" si="388"/>
        <v>23.611338796009154</v>
      </c>
      <c r="H890" s="360">
        <f t="shared" ca="1" si="389"/>
        <v>-152.06415251979377</v>
      </c>
      <c r="I890" s="357">
        <f t="shared" ca="1" si="390"/>
        <v>153.88632753205539</v>
      </c>
      <c r="J890" s="359">
        <f t="shared" ca="1" si="391"/>
        <v>1670.0672976769547</v>
      </c>
      <c r="K890" s="360">
        <f t="shared" ca="1" si="392"/>
        <v>913.34958313469053</v>
      </c>
      <c r="L890" s="357">
        <f t="shared" ca="1" si="377"/>
        <v>1903.5052507892692</v>
      </c>
      <c r="M890" s="359">
        <f t="shared" ca="1" si="393"/>
        <v>-1.4167542026637947</v>
      </c>
      <c r="N890" s="357">
        <f t="shared" ca="1" si="394"/>
        <v>-81.174036420057533</v>
      </c>
      <c r="O890" s="343"/>
      <c r="P890" s="363">
        <f t="shared" ca="1" si="395"/>
        <v>23</v>
      </c>
      <c r="Q890" s="357">
        <f t="shared" ca="1" si="396"/>
        <v>0</v>
      </c>
      <c r="R890" s="359">
        <f t="shared" ca="1" si="397"/>
        <v>0</v>
      </c>
      <c r="S890" s="360">
        <f t="shared" ca="1" si="398"/>
        <v>9.637999999999975</v>
      </c>
      <c r="T890" s="357">
        <f t="shared" ca="1" si="378"/>
        <v>94.548779999999766</v>
      </c>
      <c r="U890" s="364">
        <f t="shared" ca="1" si="379"/>
        <v>0</v>
      </c>
      <c r="V890" s="359">
        <f t="shared" ca="1" si="380"/>
        <v>1.1180010484554535</v>
      </c>
      <c r="W890" s="357">
        <f t="shared" ca="1" si="381"/>
        <v>59.926912028720693</v>
      </c>
      <c r="X890" s="343"/>
      <c r="Y890" s="367" t="str">
        <f t="shared" ca="1" si="399"/>
        <v/>
      </c>
      <c r="Z890" s="368" t="str">
        <f t="shared" ca="1" si="400"/>
        <v/>
      </c>
      <c r="AA890" s="369" t="str">
        <f t="shared" ca="1" si="401"/>
        <v/>
      </c>
      <c r="AB890" s="344"/>
      <c r="AC890" s="363" t="e">
        <f t="shared" ca="1" si="402"/>
        <v>#N/A</v>
      </c>
      <c r="AD890" s="376" t="e">
        <f t="shared" ca="1" si="403"/>
        <v>#N/A</v>
      </c>
      <c r="AE890" s="377" t="e">
        <f t="shared" ca="1" si="382"/>
        <v>#N/A</v>
      </c>
      <c r="AF890" s="344"/>
      <c r="AG890" s="359">
        <f t="shared" ca="1" si="404"/>
        <v>3.5123485569409238</v>
      </c>
      <c r="AH890" s="357">
        <f t="shared" ca="1" si="405"/>
        <v>-6.1800045162477941</v>
      </c>
    </row>
    <row r="891" spans="1:34" x14ac:dyDescent="0.25">
      <c r="A891" s="402">
        <f t="shared" ca="1" si="383"/>
        <v>0.1</v>
      </c>
      <c r="B891" s="357">
        <f t="shared" ca="1" si="384"/>
        <v>43.700000000000287</v>
      </c>
      <c r="C891" s="342"/>
      <c r="D891" s="359">
        <f t="shared" ca="1" si="385"/>
        <v>-0.95401577291046702</v>
      </c>
      <c r="E891" s="360">
        <f t="shared" ca="1" si="386"/>
        <v>-3.6658503077061209</v>
      </c>
      <c r="F891" s="357">
        <f t="shared" ca="1" si="387"/>
        <v>3.7879551968669083</v>
      </c>
      <c r="G891" s="359">
        <f t="shared" ca="1" si="388"/>
        <v>23.515937218718108</v>
      </c>
      <c r="H891" s="360">
        <f t="shared" ca="1" si="389"/>
        <v>-152.43073755056437</v>
      </c>
      <c r="I891" s="357">
        <f t="shared" ca="1" si="390"/>
        <v>154.23400744804539</v>
      </c>
      <c r="J891" s="359">
        <f t="shared" ca="1" si="391"/>
        <v>1672.423661477691</v>
      </c>
      <c r="K891" s="360">
        <f t="shared" ca="1" si="392"/>
        <v>898.12483863117268</v>
      </c>
      <c r="L891" s="357">
        <f t="shared" ca="1" si="377"/>
        <v>1898.3227147238997</v>
      </c>
      <c r="M891" s="359">
        <f t="shared" ca="1" si="393"/>
        <v>-1.4177301120854797</v>
      </c>
      <c r="N891" s="357">
        <f t="shared" ca="1" si="394"/>
        <v>-81.229951911107136</v>
      </c>
      <c r="O891" s="343"/>
      <c r="P891" s="363">
        <f t="shared" ca="1" si="395"/>
        <v>23</v>
      </c>
      <c r="Q891" s="357">
        <f t="shared" ca="1" si="396"/>
        <v>0</v>
      </c>
      <c r="R891" s="359">
        <f t="shared" ca="1" si="397"/>
        <v>0</v>
      </c>
      <c r="S891" s="360">
        <f t="shared" ca="1" si="398"/>
        <v>9.637999999999975</v>
      </c>
      <c r="T891" s="357">
        <f t="shared" ca="1" si="378"/>
        <v>94.548779999999766</v>
      </c>
      <c r="U891" s="364">
        <f t="shared" ca="1" si="379"/>
        <v>0</v>
      </c>
      <c r="V891" s="359">
        <f t="shared" ca="1" si="380"/>
        <v>1.1197079763549498</v>
      </c>
      <c r="W891" s="357">
        <f t="shared" ca="1" si="381"/>
        <v>60.28991558106847</v>
      </c>
      <c r="X891" s="343"/>
      <c r="Y891" s="367" t="str">
        <f t="shared" ca="1" si="399"/>
        <v/>
      </c>
      <c r="Z891" s="368" t="str">
        <f t="shared" ca="1" si="400"/>
        <v/>
      </c>
      <c r="AA891" s="369" t="str">
        <f t="shared" ca="1" si="401"/>
        <v/>
      </c>
      <c r="AB891" s="344"/>
      <c r="AC891" s="363" t="e">
        <f t="shared" ca="1" si="402"/>
        <v>#N/A</v>
      </c>
      <c r="AD891" s="376" t="e">
        <f t="shared" ca="1" si="403"/>
        <v>#N/A</v>
      </c>
      <c r="AE891" s="377" t="e">
        <f t="shared" ca="1" si="382"/>
        <v>#N/A</v>
      </c>
      <c r="AF891" s="344"/>
      <c r="AG891" s="359">
        <f t="shared" ca="1" si="404"/>
        <v>3.4760646982325598</v>
      </c>
      <c r="AH891" s="357">
        <f t="shared" ca="1" si="405"/>
        <v>-6.2177746450218772</v>
      </c>
    </row>
    <row r="892" spans="1:34" x14ac:dyDescent="0.25">
      <c r="A892" s="402">
        <f t="shared" ca="1" si="383"/>
        <v>0.1</v>
      </c>
      <c r="B892" s="357">
        <f t="shared" ca="1" si="384"/>
        <v>43.800000000000288</v>
      </c>
      <c r="C892" s="342"/>
      <c r="D892" s="359">
        <f t="shared" ca="1" si="385"/>
        <v>-0.95376175340089786</v>
      </c>
      <c r="E892" s="360">
        <f t="shared" ca="1" si="386"/>
        <v>-3.6276987731240649</v>
      </c>
      <c r="F892" s="357">
        <f t="shared" ca="1" si="387"/>
        <v>3.7509811877395762</v>
      </c>
      <c r="G892" s="359">
        <f t="shared" ca="1" si="388"/>
        <v>23.420561043378019</v>
      </c>
      <c r="H892" s="360">
        <f t="shared" ca="1" si="389"/>
        <v>-152.79350742787679</v>
      </c>
      <c r="I892" s="357">
        <f t="shared" ca="1" si="390"/>
        <v>154.5780663344552</v>
      </c>
      <c r="J892" s="359">
        <f t="shared" ca="1" si="391"/>
        <v>1674.7704863907959</v>
      </c>
      <c r="K892" s="360">
        <f t="shared" ca="1" si="392"/>
        <v>882.86362638225057</v>
      </c>
      <c r="L892" s="357">
        <f t="shared" ca="1" si="377"/>
        <v>1893.2259149067449</v>
      </c>
      <c r="M892" s="359">
        <f t="shared" ca="1" si="393"/>
        <v>-1.418697728782766</v>
      </c>
      <c r="N892" s="357">
        <f t="shared" ca="1" si="394"/>
        <v>-81.285392264048028</v>
      </c>
      <c r="O892" s="343"/>
      <c r="P892" s="363">
        <f t="shared" ca="1" si="395"/>
        <v>23</v>
      </c>
      <c r="Q892" s="357">
        <f t="shared" ca="1" si="396"/>
        <v>0</v>
      </c>
      <c r="R892" s="359">
        <f t="shared" ca="1" si="397"/>
        <v>0</v>
      </c>
      <c r="S892" s="360">
        <f t="shared" ca="1" si="398"/>
        <v>9.637999999999975</v>
      </c>
      <c r="T892" s="357">
        <f t="shared" ca="1" si="378"/>
        <v>94.548779999999766</v>
      </c>
      <c r="U892" s="364">
        <f t="shared" ca="1" si="379"/>
        <v>0</v>
      </c>
      <c r="V892" s="359">
        <f t="shared" ca="1" si="380"/>
        <v>1.121421490685603</v>
      </c>
      <c r="W892" s="357">
        <f t="shared" ca="1" si="381"/>
        <v>60.651875241358901</v>
      </c>
      <c r="X892" s="343"/>
      <c r="Y892" s="367" t="str">
        <f t="shared" ca="1" si="399"/>
        <v/>
      </c>
      <c r="Z892" s="368" t="str">
        <f t="shared" ca="1" si="400"/>
        <v/>
      </c>
      <c r="AA892" s="369" t="str">
        <f t="shared" ca="1" si="401"/>
        <v/>
      </c>
      <c r="AB892" s="344"/>
      <c r="AC892" s="363" t="e">
        <f t="shared" ca="1" si="402"/>
        <v>#N/A</v>
      </c>
      <c r="AD892" s="376" t="e">
        <f t="shared" ca="1" si="403"/>
        <v>#N/A</v>
      </c>
      <c r="AE892" s="377" t="e">
        <f t="shared" ca="1" si="382"/>
        <v>#N/A</v>
      </c>
      <c r="AF892" s="344"/>
      <c r="AG892" s="359">
        <f t="shared" ca="1" si="404"/>
        <v>3.4398652207925382</v>
      </c>
      <c r="AH892" s="357">
        <f t="shared" ca="1" si="405"/>
        <v>-6.2554384292455518</v>
      </c>
    </row>
    <row r="893" spans="1:34" x14ac:dyDescent="0.25">
      <c r="A893" s="402">
        <f t="shared" ca="1" si="383"/>
        <v>0.1</v>
      </c>
      <c r="B893" s="357">
        <f t="shared" ca="1" si="384"/>
        <v>43.90000000000029</v>
      </c>
      <c r="C893" s="342"/>
      <c r="D893" s="359">
        <f t="shared" ca="1" si="385"/>
        <v>-0.95346934630583291</v>
      </c>
      <c r="E893" s="360">
        <f t="shared" ca="1" si="386"/>
        <v>-3.5896568845124142</v>
      </c>
      <c r="F893" s="357">
        <f t="shared" ca="1" si="387"/>
        <v>3.7141271306825567</v>
      </c>
      <c r="G893" s="359">
        <f t="shared" ca="1" si="388"/>
        <v>23.325214108747435</v>
      </c>
      <c r="H893" s="360">
        <f t="shared" ca="1" si="389"/>
        <v>-153.15247311632803</v>
      </c>
      <c r="I893" s="357">
        <f t="shared" ca="1" si="390"/>
        <v>154.91851288618312</v>
      </c>
      <c r="J893" s="359">
        <f t="shared" ca="1" si="391"/>
        <v>1677.1077751484022</v>
      </c>
      <c r="K893" s="360">
        <f t="shared" ca="1" si="392"/>
        <v>867.56632735504036</v>
      </c>
      <c r="L893" s="357">
        <f t="shared" ca="1" si="377"/>
        <v>1888.2165717479381</v>
      </c>
      <c r="M893" s="359">
        <f t="shared" ca="1" si="393"/>
        <v>-1.4196571629463728</v>
      </c>
      <c r="N893" s="357">
        <f t="shared" ca="1" si="394"/>
        <v>-81.340363792343354</v>
      </c>
      <c r="O893" s="343"/>
      <c r="P893" s="363">
        <f t="shared" ca="1" si="395"/>
        <v>23</v>
      </c>
      <c r="Q893" s="357">
        <f t="shared" ca="1" si="396"/>
        <v>0</v>
      </c>
      <c r="R893" s="359">
        <f t="shared" ca="1" si="397"/>
        <v>0</v>
      </c>
      <c r="S893" s="360">
        <f t="shared" ca="1" si="398"/>
        <v>9.637999999999975</v>
      </c>
      <c r="T893" s="357">
        <f t="shared" ca="1" si="378"/>
        <v>94.548779999999766</v>
      </c>
      <c r="U893" s="364">
        <f t="shared" ca="1" si="379"/>
        <v>0</v>
      </c>
      <c r="V893" s="359">
        <f t="shared" ca="1" si="380"/>
        <v>1.1231415720129516</v>
      </c>
      <c r="W893" s="357">
        <f t="shared" ca="1" si="381"/>
        <v>61.012772338548118</v>
      </c>
      <c r="X893" s="343"/>
      <c r="Y893" s="367" t="str">
        <f t="shared" ca="1" si="399"/>
        <v/>
      </c>
      <c r="Z893" s="368" t="str">
        <f t="shared" ca="1" si="400"/>
        <v/>
      </c>
      <c r="AA893" s="369" t="str">
        <f t="shared" ca="1" si="401"/>
        <v/>
      </c>
      <c r="AB893" s="344"/>
      <c r="AC893" s="363" t="e">
        <f t="shared" ca="1" si="402"/>
        <v>#N/A</v>
      </c>
      <c r="AD893" s="376" t="e">
        <f t="shared" ca="1" si="403"/>
        <v>#N/A</v>
      </c>
      <c r="AE893" s="377" t="e">
        <f t="shared" ca="1" si="382"/>
        <v>#N/A</v>
      </c>
      <c r="AF893" s="344"/>
      <c r="AG893" s="359">
        <f t="shared" ca="1" si="404"/>
        <v>3.4037524941004804</v>
      </c>
      <c r="AH893" s="357">
        <f t="shared" ca="1" si="405"/>
        <v>-6.2929939034404505</v>
      </c>
    </row>
    <row r="894" spans="1:34" x14ac:dyDescent="0.25">
      <c r="A894" s="402">
        <f t="shared" ca="1" si="383"/>
        <v>0.1</v>
      </c>
      <c r="B894" s="357">
        <f t="shared" ca="1" si="384"/>
        <v>44.000000000000291</v>
      </c>
      <c r="C894" s="342"/>
      <c r="D894" s="359">
        <f t="shared" ca="1" si="385"/>
        <v>-0.95313881709449866</v>
      </c>
      <c r="E894" s="360">
        <f t="shared" ca="1" si="386"/>
        <v>-3.5517265976371064</v>
      </c>
      <c r="F894" s="357">
        <f t="shared" ca="1" si="387"/>
        <v>3.6773951961973244</v>
      </c>
      <c r="G894" s="359">
        <f t="shared" ca="1" si="388"/>
        <v>23.229900227037984</v>
      </c>
      <c r="H894" s="360">
        <f t="shared" ca="1" si="389"/>
        <v>-153.50764577609175</v>
      </c>
      <c r="I894" s="357">
        <f t="shared" ca="1" si="390"/>
        <v>155.25535603088287</v>
      </c>
      <c r="J894" s="359">
        <f t="shared" ca="1" si="391"/>
        <v>1679.4355308651914</v>
      </c>
      <c r="K894" s="360">
        <f t="shared" ca="1" si="392"/>
        <v>852.23332141041942</v>
      </c>
      <c r="L894" s="357">
        <f t="shared" ca="1" si="377"/>
        <v>1883.2964016465073</v>
      </c>
      <c r="M894" s="359">
        <f t="shared" ca="1" si="393"/>
        <v>-1.4206085227567369</v>
      </c>
      <c r="N894" s="357">
        <f t="shared" ca="1" si="394"/>
        <v>-81.394872694275591</v>
      </c>
      <c r="O894" s="343"/>
      <c r="P894" s="363">
        <f t="shared" ca="1" si="395"/>
        <v>23</v>
      </c>
      <c r="Q894" s="357">
        <f t="shared" ca="1" si="396"/>
        <v>0</v>
      </c>
      <c r="R894" s="359">
        <f t="shared" ca="1" si="397"/>
        <v>0</v>
      </c>
      <c r="S894" s="360">
        <f t="shared" ca="1" si="398"/>
        <v>9.637999999999975</v>
      </c>
      <c r="T894" s="357">
        <f t="shared" ca="1" si="378"/>
        <v>94.548779999999766</v>
      </c>
      <c r="U894" s="364">
        <f t="shared" ca="1" si="379"/>
        <v>0</v>
      </c>
      <c r="V894" s="359">
        <f t="shared" ca="1" si="380"/>
        <v>1.1248682009129611</v>
      </c>
      <c r="W894" s="357">
        <f t="shared" ca="1" si="381"/>
        <v>61.372588474499821</v>
      </c>
      <c r="X894" s="343"/>
      <c r="Y894" s="367" t="str">
        <f t="shared" ca="1" si="399"/>
        <v/>
      </c>
      <c r="Z894" s="368" t="str">
        <f t="shared" ca="1" si="400"/>
        <v/>
      </c>
      <c r="AA894" s="369" t="str">
        <f t="shared" ca="1" si="401"/>
        <v/>
      </c>
      <c r="AB894" s="344"/>
      <c r="AC894" s="363">
        <f t="shared" ca="1" si="402"/>
        <v>44.000000000000291</v>
      </c>
      <c r="AD894" s="376">
        <f t="shared" ca="1" si="403"/>
        <v>1679.4355308651914</v>
      </c>
      <c r="AE894" s="377" t="e">
        <f t="shared" ca="1" si="382"/>
        <v>#N/A</v>
      </c>
      <c r="AF894" s="344"/>
      <c r="AG894" s="359">
        <f t="shared" ca="1" si="404"/>
        <v>3.3677288502012743</v>
      </c>
      <c r="AH894" s="357">
        <f t="shared" ca="1" si="405"/>
        <v>-6.3304391303743799</v>
      </c>
    </row>
    <row r="895" spans="1:34" x14ac:dyDescent="0.25">
      <c r="A895" s="402">
        <f t="shared" ca="1" si="383"/>
        <v>0.1</v>
      </c>
      <c r="B895" s="357">
        <f t="shared" ca="1" si="384"/>
        <v>44.100000000000293</v>
      </c>
      <c r="C895" s="342"/>
      <c r="D895" s="359">
        <f t="shared" ca="1" si="385"/>
        <v>-0.9527704337063484</v>
      </c>
      <c r="E895" s="360">
        <f t="shared" ca="1" si="386"/>
        <v>-3.5139098397377628</v>
      </c>
      <c r="F895" s="357">
        <f t="shared" ca="1" si="387"/>
        <v>3.6407875330964941</v>
      </c>
      <c r="G895" s="359">
        <f t="shared" ca="1" si="388"/>
        <v>23.134623183667347</v>
      </c>
      <c r="H895" s="360">
        <f t="shared" ca="1" si="389"/>
        <v>-153.85903676006552</v>
      </c>
      <c r="I895" s="357">
        <f t="shared" ca="1" si="390"/>
        <v>155.58860492524983</v>
      </c>
      <c r="J895" s="359">
        <f t="shared" ca="1" si="391"/>
        <v>1681.7537570357267</v>
      </c>
      <c r="K895" s="360">
        <f t="shared" ca="1" si="392"/>
        <v>836.86498728361153</v>
      </c>
      <c r="L895" s="357">
        <f t="shared" ca="1" si="377"/>
        <v>1878.4671160935934</v>
      </c>
      <c r="M895" s="359">
        <f t="shared" ca="1" si="393"/>
        <v>-1.4215519144286746</v>
      </c>
      <c r="N895" s="357">
        <f t="shared" ca="1" si="394"/>
        <v>-81.448925055505413</v>
      </c>
      <c r="O895" s="343"/>
      <c r="P895" s="363">
        <f t="shared" ca="1" si="395"/>
        <v>23</v>
      </c>
      <c r="Q895" s="357">
        <f t="shared" ca="1" si="396"/>
        <v>0</v>
      </c>
      <c r="R895" s="359">
        <f t="shared" ca="1" si="397"/>
        <v>0</v>
      </c>
      <c r="S895" s="360">
        <f t="shared" ca="1" si="398"/>
        <v>9.637999999999975</v>
      </c>
      <c r="T895" s="357">
        <f t="shared" ca="1" si="378"/>
        <v>94.548779999999766</v>
      </c>
      <c r="U895" s="364">
        <f t="shared" ca="1" si="379"/>
        <v>0</v>
      </c>
      <c r="V895" s="359">
        <f t="shared" ca="1" si="380"/>
        <v>1.1266013579731826</v>
      </c>
      <c r="W895" s="357">
        <f t="shared" ca="1" si="381"/>
        <v>61.731305524592024</v>
      </c>
      <c r="X895" s="343"/>
      <c r="Y895" s="367" t="str">
        <f t="shared" ca="1" si="399"/>
        <v/>
      </c>
      <c r="Z895" s="368" t="str">
        <f t="shared" ca="1" si="400"/>
        <v/>
      </c>
      <c r="AA895" s="369" t="str">
        <f t="shared" ca="1" si="401"/>
        <v/>
      </c>
      <c r="AB895" s="344"/>
      <c r="AC895" s="363" t="e">
        <f t="shared" ca="1" si="402"/>
        <v>#N/A</v>
      </c>
      <c r="AD895" s="376" t="e">
        <f t="shared" ca="1" si="403"/>
        <v>#N/A</v>
      </c>
      <c r="AE895" s="377" t="e">
        <f t="shared" ca="1" si="382"/>
        <v>#N/A</v>
      </c>
      <c r="AF895" s="344"/>
      <c r="AG895" s="359">
        <f t="shared" ca="1" si="404"/>
        <v>3.3317965838835359</v>
      </c>
      <c r="AH895" s="357">
        <f t="shared" ca="1" si="405"/>
        <v>-6.3677722011309381</v>
      </c>
    </row>
    <row r="896" spans="1:34" x14ac:dyDescent="0.25">
      <c r="A896" s="402">
        <f t="shared" ca="1" si="383"/>
        <v>0.1</v>
      </c>
      <c r="B896" s="357">
        <f t="shared" ca="1" si="384"/>
        <v>44.200000000000294</v>
      </c>
      <c r="C896" s="342"/>
      <c r="D896" s="359">
        <f t="shared" ca="1" si="385"/>
        <v>-0.95236446648259654</v>
      </c>
      <c r="E896" s="360">
        <f t="shared" ca="1" si="386"/>
        <v>-3.4762085094615429</v>
      </c>
      <c r="F896" s="357">
        <f t="shared" ca="1" si="387"/>
        <v>3.6043062686558036</v>
      </c>
      <c r="G896" s="359">
        <f t="shared" ca="1" si="388"/>
        <v>23.039386737019086</v>
      </c>
      <c r="H896" s="360">
        <f t="shared" ca="1" si="389"/>
        <v>-154.20665761101168</v>
      </c>
      <c r="I896" s="357">
        <f t="shared" ca="1" si="390"/>
        <v>155.91826895132499</v>
      </c>
      <c r="J896" s="359">
        <f t="shared" ca="1" si="391"/>
        <v>1684.0624575317611</v>
      </c>
      <c r="K896" s="360">
        <f t="shared" ca="1" si="392"/>
        <v>821.46170256505764</v>
      </c>
      <c r="L896" s="357">
        <f t="shared" ca="1" si="377"/>
        <v>1873.7304207513412</v>
      </c>
      <c r="M896" s="359">
        <f t="shared" ca="1" si="393"/>
        <v>-1.4224874422548799</v>
      </c>
      <c r="N896" s="357">
        <f t="shared" ca="1" si="394"/>
        <v>-81.502526851564028</v>
      </c>
      <c r="O896" s="343"/>
      <c r="P896" s="363">
        <f t="shared" ca="1" si="395"/>
        <v>23</v>
      </c>
      <c r="Q896" s="357">
        <f t="shared" ca="1" si="396"/>
        <v>0</v>
      </c>
      <c r="R896" s="359">
        <f t="shared" ca="1" si="397"/>
        <v>0</v>
      </c>
      <c r="S896" s="360">
        <f t="shared" ca="1" si="398"/>
        <v>9.637999999999975</v>
      </c>
      <c r="T896" s="357">
        <f t="shared" ca="1" si="378"/>
        <v>94.548779999999766</v>
      </c>
      <c r="U896" s="364">
        <f t="shared" ca="1" si="379"/>
        <v>0</v>
      </c>
      <c r="V896" s="359">
        <f t="shared" ca="1" si="380"/>
        <v>1.1283410237939031</v>
      </c>
      <c r="W896" s="357">
        <f t="shared" ca="1" si="381"/>
        <v>62.088905638260059</v>
      </c>
      <c r="X896" s="343"/>
      <c r="Y896" s="367" t="str">
        <f t="shared" ca="1" si="399"/>
        <v/>
      </c>
      <c r="Z896" s="368" t="str">
        <f t="shared" ca="1" si="400"/>
        <v/>
      </c>
      <c r="AA896" s="369" t="str">
        <f t="shared" ca="1" si="401"/>
        <v/>
      </c>
      <c r="AB896" s="344"/>
      <c r="AC896" s="363" t="e">
        <f t="shared" ca="1" si="402"/>
        <v>#N/A</v>
      </c>
      <c r="AD896" s="376" t="e">
        <f t="shared" ca="1" si="403"/>
        <v>#N/A</v>
      </c>
      <c r="AE896" s="377" t="e">
        <f t="shared" ca="1" si="382"/>
        <v>#N/A</v>
      </c>
      <c r="AF896" s="344"/>
      <c r="AG896" s="359">
        <f t="shared" ca="1" si="404"/>
        <v>3.2959579528570266</v>
      </c>
      <c r="AH896" s="357">
        <f t="shared" ca="1" si="405"/>
        <v>-6.4049912351724618</v>
      </c>
    </row>
    <row r="897" spans="1:34" x14ac:dyDescent="0.25">
      <c r="A897" s="402">
        <f t="shared" ca="1" si="383"/>
        <v>0.1</v>
      </c>
      <c r="B897" s="357">
        <f t="shared" ca="1" si="384"/>
        <v>44.300000000000296</v>
      </c>
      <c r="C897" s="342"/>
      <c r="D897" s="359">
        <f t="shared" ca="1" si="385"/>
        <v>-0.95192118809800286</v>
      </c>
      <c r="E897" s="360">
        <f t="shared" ca="1" si="386"/>
        <v>-3.4386244768037271</v>
      </c>
      <c r="F897" s="357">
        <f t="shared" ca="1" si="387"/>
        <v>3.567953508781136</v>
      </c>
      <c r="G897" s="359">
        <f t="shared" ca="1" si="388"/>
        <v>22.944194618209284</v>
      </c>
      <c r="H897" s="360">
        <f t="shared" ca="1" si="389"/>
        <v>-154.55052005869206</v>
      </c>
      <c r="I897" s="357">
        <f t="shared" ca="1" si="390"/>
        <v>156.24435771281611</v>
      </c>
      <c r="J897" s="359">
        <f t="shared" ca="1" si="391"/>
        <v>1686.3616365995224</v>
      </c>
      <c r="K897" s="360">
        <f t="shared" ca="1" si="392"/>
        <v>806.02384368157243</v>
      </c>
      <c r="L897" s="357">
        <f t="shared" ca="1" si="377"/>
        <v>1869.0880145081012</v>
      </c>
      <c r="M897" s="359">
        <f t="shared" ca="1" si="393"/>
        <v>-1.4234152086482901</v>
      </c>
      <c r="N897" s="357">
        <f t="shared" ca="1" si="394"/>
        <v>-81.555683950280496</v>
      </c>
      <c r="O897" s="343"/>
      <c r="P897" s="363">
        <f t="shared" ca="1" si="395"/>
        <v>23</v>
      </c>
      <c r="Q897" s="357">
        <f t="shared" ca="1" si="396"/>
        <v>0</v>
      </c>
      <c r="R897" s="359">
        <f t="shared" ca="1" si="397"/>
        <v>0</v>
      </c>
      <c r="S897" s="360">
        <f t="shared" ca="1" si="398"/>
        <v>9.637999999999975</v>
      </c>
      <c r="T897" s="357">
        <f t="shared" ca="1" si="378"/>
        <v>94.548779999999766</v>
      </c>
      <c r="U897" s="364">
        <f t="shared" ca="1" si="379"/>
        <v>0</v>
      </c>
      <c r="V897" s="359">
        <f t="shared" ca="1" si="380"/>
        <v>1.1300871789892932</v>
      </c>
      <c r="W897" s="357">
        <f t="shared" ca="1" si="381"/>
        <v>62.445371239476259</v>
      </c>
      <c r="X897" s="343"/>
      <c r="Y897" s="367" t="str">
        <f t="shared" ca="1" si="399"/>
        <v/>
      </c>
      <c r="Z897" s="368" t="str">
        <f t="shared" ca="1" si="400"/>
        <v/>
      </c>
      <c r="AA897" s="369" t="str">
        <f t="shared" ca="1" si="401"/>
        <v/>
      </c>
      <c r="AB897" s="344"/>
      <c r="AC897" s="363" t="e">
        <f t="shared" ca="1" si="402"/>
        <v>#N/A</v>
      </c>
      <c r="AD897" s="376" t="e">
        <f t="shared" ca="1" si="403"/>
        <v>#N/A</v>
      </c>
      <c r="AE897" s="377" t="e">
        <f t="shared" ca="1" si="382"/>
        <v>#N/A</v>
      </c>
      <c r="AF897" s="344"/>
      <c r="AG897" s="359">
        <f t="shared" ca="1" si="404"/>
        <v>3.2602151779292479</v>
      </c>
      <c r="AH897" s="357">
        <f t="shared" ca="1" si="405"/>
        <v>-6.4420943803963704</v>
      </c>
    </row>
    <row r="898" spans="1:34" x14ac:dyDescent="0.25">
      <c r="A898" s="402">
        <f t="shared" ca="1" si="383"/>
        <v>0.1</v>
      </c>
      <c r="B898" s="357">
        <f t="shared" ca="1" si="384"/>
        <v>44.400000000000297</v>
      </c>
      <c r="C898" s="342"/>
      <c r="D898" s="359">
        <f t="shared" ca="1" si="385"/>
        <v>-0.95144087349294659</v>
      </c>
      <c r="E898" s="360">
        <f t="shared" ca="1" si="386"/>
        <v>-3.4011595830550183</v>
      </c>
      <c r="F898" s="357">
        <f t="shared" ca="1" si="387"/>
        <v>3.5317313381909456</v>
      </c>
      <c r="G898" s="359">
        <f t="shared" ca="1" si="388"/>
        <v>22.849050530859991</v>
      </c>
      <c r="H898" s="360">
        <f t="shared" ca="1" si="389"/>
        <v>-154.89063601699755</v>
      </c>
      <c r="I898" s="357">
        <f t="shared" ca="1" si="390"/>
        <v>156.56688103143594</v>
      </c>
      <c r="J898" s="359">
        <f t="shared" ca="1" si="391"/>
        <v>1688.6512988569759</v>
      </c>
      <c r="K898" s="360">
        <f t="shared" ca="1" si="392"/>
        <v>790.55178587778801</v>
      </c>
      <c r="L898" s="357">
        <f t="shared" ca="1" si="377"/>
        <v>1864.5415885106752</v>
      </c>
      <c r="M898" s="359">
        <f t="shared" ca="1" si="393"/>
        <v>-1.4243353141833552</v>
      </c>
      <c r="N898" s="357">
        <f t="shared" ca="1" si="394"/>
        <v>-81.608402114146358</v>
      </c>
      <c r="O898" s="343"/>
      <c r="P898" s="363">
        <f t="shared" ca="1" si="395"/>
        <v>23</v>
      </c>
      <c r="Q898" s="357">
        <f t="shared" ca="1" si="396"/>
        <v>0</v>
      </c>
      <c r="R898" s="359">
        <f t="shared" ca="1" si="397"/>
        <v>0</v>
      </c>
      <c r="S898" s="360">
        <f t="shared" ca="1" si="398"/>
        <v>9.637999999999975</v>
      </c>
      <c r="T898" s="357">
        <f t="shared" ca="1" si="378"/>
        <v>94.548779999999766</v>
      </c>
      <c r="U898" s="364">
        <f t="shared" ca="1" si="379"/>
        <v>0</v>
      </c>
      <c r="V898" s="359">
        <f t="shared" ca="1" si="380"/>
        <v>1.1318398041885445</v>
      </c>
      <c r="W898" s="357">
        <f t="shared" ca="1" si="381"/>
        <v>62.800685027166203</v>
      </c>
      <c r="X898" s="343"/>
      <c r="Y898" s="367" t="str">
        <f t="shared" ca="1" si="399"/>
        <v/>
      </c>
      <c r="Z898" s="368" t="str">
        <f t="shared" ca="1" si="400"/>
        <v/>
      </c>
      <c r="AA898" s="369" t="str">
        <f t="shared" ca="1" si="401"/>
        <v/>
      </c>
      <c r="AB898" s="344"/>
      <c r="AC898" s="363" t="e">
        <f t="shared" ca="1" si="402"/>
        <v>#N/A</v>
      </c>
      <c r="AD898" s="376" t="e">
        <f t="shared" ca="1" si="403"/>
        <v>#N/A</v>
      </c>
      <c r="AE898" s="377" t="e">
        <f t="shared" ca="1" si="382"/>
        <v>#N/A</v>
      </c>
      <c r="AF898" s="344"/>
      <c r="AG898" s="359">
        <f t="shared" ca="1" si="404"/>
        <v>3.2245704431814488</v>
      </c>
      <c r="AH898" s="357">
        <f t="shared" ca="1" si="405"/>
        <v>-6.4790798131849368</v>
      </c>
    </row>
    <row r="899" spans="1:34" x14ac:dyDescent="0.25">
      <c r="A899" s="402">
        <f t="shared" ca="1" si="383"/>
        <v>0.1</v>
      </c>
      <c r="B899" s="357">
        <f t="shared" ca="1" si="384"/>
        <v>44.500000000000298</v>
      </c>
      <c r="C899" s="342"/>
      <c r="D899" s="359">
        <f t="shared" ca="1" si="385"/>
        <v>-0.95092379980576913</v>
      </c>
      <c r="E899" s="360">
        <f t="shared" ca="1" si="386"/>
        <v>-3.3638156407555524</v>
      </c>
      <c r="F899" s="357">
        <f t="shared" ca="1" si="387"/>
        <v>3.4956418206144533</v>
      </c>
      <c r="G899" s="359">
        <f t="shared" ca="1" si="388"/>
        <v>22.753958150879413</v>
      </c>
      <c r="H899" s="360">
        <f t="shared" ca="1" si="389"/>
        <v>-155.22701758107311</v>
      </c>
      <c r="I899" s="357">
        <f t="shared" ca="1" si="390"/>
        <v>156.88584894325794</v>
      </c>
      <c r="J899" s="359">
        <f t="shared" ca="1" si="391"/>
        <v>1690.9314492910628</v>
      </c>
      <c r="K899" s="360">
        <f t="shared" ca="1" si="392"/>
        <v>775.04590319788451</v>
      </c>
      <c r="L899" s="357">
        <f t="shared" ca="1" si="377"/>
        <v>1860.0928251744317</v>
      </c>
      <c r="M899" s="359">
        <f t="shared" ca="1" si="393"/>
        <v>-1.425247857636242</v>
      </c>
      <c r="N899" s="357">
        <f t="shared" ca="1" si="394"/>
        <v>-81.660687002619056</v>
      </c>
      <c r="O899" s="343"/>
      <c r="P899" s="363">
        <f t="shared" ca="1" si="395"/>
        <v>23</v>
      </c>
      <c r="Q899" s="357">
        <f t="shared" ca="1" si="396"/>
        <v>0</v>
      </c>
      <c r="R899" s="359">
        <f t="shared" ca="1" si="397"/>
        <v>0</v>
      </c>
      <c r="S899" s="360">
        <f t="shared" ca="1" si="398"/>
        <v>9.637999999999975</v>
      </c>
      <c r="T899" s="357">
        <f t="shared" ca="1" si="378"/>
        <v>94.548779999999766</v>
      </c>
      <c r="U899" s="364">
        <f t="shared" ca="1" si="379"/>
        <v>0</v>
      </c>
      <c r="V899" s="359">
        <f t="shared" ca="1" si="380"/>
        <v>1.1335988800370098</v>
      </c>
      <c r="W899" s="357">
        <f t="shared" ca="1" si="381"/>
        <v>63.154829975563196</v>
      </c>
      <c r="X899" s="343"/>
      <c r="Y899" s="367" t="str">
        <f t="shared" ca="1" si="399"/>
        <v/>
      </c>
      <c r="Z899" s="368" t="str">
        <f t="shared" ca="1" si="400"/>
        <v/>
      </c>
      <c r="AA899" s="369" t="str">
        <f t="shared" ca="1" si="401"/>
        <v/>
      </c>
      <c r="AB899" s="344"/>
      <c r="AC899" s="363" t="e">
        <f t="shared" ca="1" si="402"/>
        <v>#N/A</v>
      </c>
      <c r="AD899" s="376" t="e">
        <f t="shared" ca="1" si="403"/>
        <v>#N/A</v>
      </c>
      <c r="AE899" s="377" t="e">
        <f t="shared" ca="1" si="382"/>
        <v>#N/A</v>
      </c>
      <c r="AF899" s="344"/>
      <c r="AG899" s="359">
        <f t="shared" ca="1" si="404"/>
        <v>3.1890258961442965</v>
      </c>
      <c r="AH899" s="357">
        <f t="shared" ca="1" si="405"/>
        <v>-6.5159457384484716</v>
      </c>
    </row>
    <row r="900" spans="1:34" x14ac:dyDescent="0.25">
      <c r="A900" s="402">
        <f t="shared" ca="1" si="383"/>
        <v>0.1</v>
      </c>
      <c r="B900" s="357">
        <f t="shared" ca="1" si="384"/>
        <v>44.6000000000003</v>
      </c>
      <c r="C900" s="342"/>
      <c r="D900" s="359">
        <f t="shared" ca="1" si="385"/>
        <v>-0.95037024630543443</v>
      </c>
      <c r="E900" s="360">
        <f t="shared" ca="1" si="386"/>
        <v>-3.3265944336554538</v>
      </c>
      <c r="F900" s="357">
        <f t="shared" ca="1" si="387"/>
        <v>3.4596869990058496</v>
      </c>
      <c r="G900" s="359">
        <f t="shared" ca="1" si="388"/>
        <v>22.65892112624887</v>
      </c>
      <c r="H900" s="360">
        <f t="shared" ca="1" si="389"/>
        <v>-155.55967702443866</v>
      </c>
      <c r="I900" s="357">
        <f t="shared" ca="1" si="390"/>
        <v>157.20127169508916</v>
      </c>
      <c r="J900" s="359">
        <f t="shared" ca="1" si="391"/>
        <v>1693.2020932549192</v>
      </c>
      <c r="K900" s="360">
        <f t="shared" ca="1" si="392"/>
        <v>759.50656846760887</v>
      </c>
      <c r="L900" s="357">
        <f t="shared" ref="L900:L963" ca="1" si="406">SQRT(pos_x^2+pos_z^2)</f>
        <v>1855.7433971722176</v>
      </c>
      <c r="M900" s="359">
        <f t="shared" ca="1" si="393"/>
        <v>-1.4261529360240051</v>
      </c>
      <c r="N900" s="357">
        <f t="shared" ca="1" si="394"/>
        <v>-81.7125441743664</v>
      </c>
      <c r="O900" s="343"/>
      <c r="P900" s="363">
        <f t="shared" ca="1" si="395"/>
        <v>23</v>
      </c>
      <c r="Q900" s="357">
        <f t="shared" ca="1" si="396"/>
        <v>0</v>
      </c>
      <c r="R900" s="359">
        <f t="shared" ca="1" si="397"/>
        <v>0</v>
      </c>
      <c r="S900" s="360">
        <f t="shared" ca="1" si="398"/>
        <v>9.637999999999975</v>
      </c>
      <c r="T900" s="357">
        <f t="shared" ref="T900:T963" ca="1" si="407">m*g</f>
        <v>94.548779999999766</v>
      </c>
      <c r="U900" s="364">
        <f t="shared" ref="U900:U963" ca="1" si="408">IF(pos_xz&lt;L_rampe,Poids*COS(Beta),0)</f>
        <v>0</v>
      </c>
      <c r="V900" s="359">
        <f t="shared" ref="V900:V963" ca="1" si="409">Rho_moyen*(20000-Alt_rampe-pos_z)/(20000+Alt_rampe+pos_z)</f>
        <v>1.1353643871973302</v>
      </c>
      <c r="W900" s="357">
        <f t="shared" ref="W900:W963" ca="1" si="410">1/2*Rho*Sref*Cx*vit_xz^2</f>
        <v>63.507789334499975</v>
      </c>
      <c r="X900" s="343"/>
      <c r="Y900" s="367" t="str">
        <f t="shared" ca="1" si="399"/>
        <v/>
      </c>
      <c r="Z900" s="368" t="str">
        <f t="shared" ca="1" si="400"/>
        <v/>
      </c>
      <c r="AA900" s="369" t="str">
        <f t="shared" ca="1" si="401"/>
        <v/>
      </c>
      <c r="AB900" s="344"/>
      <c r="AC900" s="363" t="e">
        <f t="shared" ca="1" si="402"/>
        <v>#N/A</v>
      </c>
      <c r="AD900" s="376" t="e">
        <f t="shared" ca="1" si="403"/>
        <v>#N/A</v>
      </c>
      <c r="AE900" s="377" t="e">
        <f t="shared" ref="AE900:AE963" ca="1" si="411">IF(t&lt;T_para, pos_z, NA())</f>
        <v>#N/A</v>
      </c>
      <c r="AF900" s="344"/>
      <c r="AG900" s="359">
        <f t="shared" ca="1" si="404"/>
        <v>3.1535836479732557</v>
      </c>
      <c r="AH900" s="357">
        <f t="shared" ca="1" si="405"/>
        <v>-6.5526903896621045</v>
      </c>
    </row>
    <row r="901" spans="1:34" x14ac:dyDescent="0.25">
      <c r="A901" s="402">
        <f t="shared" ref="A901:A964" ca="1" si="412">IF(B900+0.01&lt;=T_ini+ROUNDUP(Temps_fin_propu,0), 0.01, IF(K900&gt;0, 0.1, 0.0001))</f>
        <v>0.1</v>
      </c>
      <c r="B901" s="357">
        <f t="shared" ref="B901:B964" ca="1" si="413">B900+pas</f>
        <v>44.700000000000301</v>
      </c>
      <c r="C901" s="342"/>
      <c r="D901" s="359">
        <f t="shared" ref="D901:D964" ca="1" si="414">IF(AND(L900&lt;L_rampe,Poussee&lt;Poids*SIN(M900)),0,(-W900+Poussee)/m*COS(M900)-U900/m*SIN(M900))</f>
        <v>-0.94978049432447897</v>
      </c>
      <c r="E901" s="360">
        <f t="shared" ref="E901:E964" ca="1" si="415">IF(AND(L900&lt;L_rampe,Poussee&lt;Poids*SIN(M900)),0,(-W900+Poussee)/m*SIN(M900)+U900/m*COS(M900)-Poids/m)</f>
        <v>-3.2894977166820238</v>
      </c>
      <c r="F901" s="357">
        <f t="shared" ref="F901:F964" ca="1" si="416">SQRT(acc_x^2+acc_z^2)</f>
        <v>3.4238688957749974</v>
      </c>
      <c r="G901" s="359">
        <f t="shared" ref="G901:G964" ca="1" si="417">G900+acc_x*pas</f>
        <v>22.563943076816422</v>
      </c>
      <c r="H901" s="360">
        <f t="shared" ref="H901:H964" ca="1" si="418">H900+acc_z*pas</f>
        <v>-155.88862679610685</v>
      </c>
      <c r="I901" s="357">
        <f t="shared" ref="I901:I964" ca="1" si="419">SQRT(vit_x^2+vit_z^2)</f>
        <v>157.51315974086003</v>
      </c>
      <c r="J901" s="359">
        <f t="shared" ref="J901:J964" ca="1" si="420">J900+0.5*(vit_x+G900)*pas*(K900&gt;=0)</f>
        <v>1695.4632364650724</v>
      </c>
      <c r="K901" s="360">
        <f t="shared" ref="K901:K964" ca="1" si="421">K900+0.5*(vit_z+H900)*pas</f>
        <v>743.93415327658158</v>
      </c>
      <c r="L901" s="357">
        <f t="shared" ca="1" si="406"/>
        <v>1851.4949664030855</v>
      </c>
      <c r="M901" s="359">
        <f t="shared" ref="M901:M964" ca="1" si="422">IF(AND(L900&gt;L_rampe,G901&gt;0),ATAN2(G901,H901),$M$4)</f>
        <v>-1.4270506446427551</v>
      </c>
      <c r="N901" s="357">
        <f t="shared" ref="N901:N964" ca="1" si="423">DEGREES(Beta)</f>
        <v>-81.763979089453287</v>
      </c>
      <c r="O901" s="343"/>
      <c r="P901" s="363">
        <f t="shared" ref="P901:P964" ca="1" si="424">MATCH(t-pas/2-T_ini,CdP_t)</f>
        <v>23</v>
      </c>
      <c r="Q901" s="357">
        <f t="shared" ref="Q901:Q964" ca="1" si="425">(INDEX(CdP,2,i_P+1)-INDEX(CdP,2,i_P+0))/(INDEX(CdP,1,i_P+1)-INDEX(CdP,1,i_P+0))*(t-pas/2-T_ini-INDEX(CdP,1,i_P+0))+INDEX(CdP,2,i_P+0)</f>
        <v>0</v>
      </c>
      <c r="R901" s="359">
        <f t="shared" ref="R901:R964" ca="1" si="426">Poussee/(g*ISP)</f>
        <v>0</v>
      </c>
      <c r="S901" s="360">
        <f t="shared" ref="S901:S964" ca="1" si="427">S900-Débit*pas</f>
        <v>9.637999999999975</v>
      </c>
      <c r="T901" s="357">
        <f t="shared" ca="1" si="407"/>
        <v>94.548779999999766</v>
      </c>
      <c r="U901" s="364">
        <f t="shared" ca="1" si="408"/>
        <v>0</v>
      </c>
      <c r="V901" s="359">
        <f t="shared" ca="1" si="409"/>
        <v>1.1371363063505611</v>
      </c>
      <c r="W901" s="357">
        <f t="shared" ca="1" si="410"/>
        <v>63.859546629639034</v>
      </c>
      <c r="X901" s="343"/>
      <c r="Y901" s="367" t="str">
        <f t="shared" ref="Y901:Y964" ca="1" si="428">IF(AND(pos_z&lt;=0,K900&gt;0),"Impact balistique","") &amp; IF(AND(H902&lt;0,vit_z&gt;=0),"Apogée","") &amp; IF(AND(Poussee=0,Q900&gt;0),"Fin de propulsion","") &amp; IF(AND(L902&gt;L_rampe,pos_xz&lt;=L_rampe),"Sortie de rampe","")</f>
        <v/>
      </c>
      <c r="Z901" s="368" t="str">
        <f t="shared" ref="Z901:Z964" ca="1" si="429">IF(ABS(t-T_para)&lt;pas/2,"Para","")</f>
        <v/>
      </c>
      <c r="AA901" s="369" t="str">
        <f t="shared" ref="AA901:AA964" ca="1" si="430">IF(ABS(t-T_satellite)&lt;pas/2,"Satellite","")</f>
        <v/>
      </c>
      <c r="AB901" s="344"/>
      <c r="AC901" s="363" t="e">
        <f t="shared" ref="AC901:AC964" ca="1" si="431">IF(ABS(t-ROUND(t,0))&lt;0.001,t,NA())</f>
        <v>#N/A</v>
      </c>
      <c r="AD901" s="376" t="e">
        <f t="shared" ref="AD901:AD964" ca="1" si="432">IF(ABS(t-ROUND(t,0))&lt;0.001,pos_x,NA())</f>
        <v>#N/A</v>
      </c>
      <c r="AE901" s="377" t="e">
        <f t="shared" ca="1" si="411"/>
        <v>#N/A</v>
      </c>
      <c r="AF901" s="344"/>
      <c r="AG901" s="359">
        <f t="shared" ref="AG901:AG964" ca="1" si="433">IF(AND(L900&lt;L_rampe,Poussee&lt;Poids*SIN(M900)),0,(-W900+Poussee)/m-Poids*SIN(M900)/m)</f>
        <v>3.1182457736240394</v>
      </c>
      <c r="AH901" s="357">
        <f t="shared" ref="AH901:AH964" ca="1" si="434">IF(AND(L900&lt;L_rampe,Poussee&lt;Poids*SIN(M900)), g*SIN(M900), (-W900+Poussee)/m)</f>
        <v>-6.5893120288960514</v>
      </c>
    </row>
    <row r="902" spans="1:34" x14ac:dyDescent="0.25">
      <c r="A902" s="402">
        <f t="shared" ca="1" si="412"/>
        <v>0.1</v>
      </c>
      <c r="B902" s="357">
        <f t="shared" ca="1" si="413"/>
        <v>44.800000000000303</v>
      </c>
      <c r="C902" s="342"/>
      <c r="D902" s="359">
        <f t="shared" ca="1" si="414"/>
        <v>-0.94915482719229116</v>
      </c>
      <c r="E902" s="360">
        <f t="shared" ca="1" si="415"/>
        <v>-3.2525272159134309</v>
      </c>
      <c r="F902" s="357">
        <f t="shared" ca="1" si="416"/>
        <v>3.3881895130349484</v>
      </c>
      <c r="G902" s="359">
        <f t="shared" ca="1" si="417"/>
        <v>22.469027594097192</v>
      </c>
      <c r="H902" s="360">
        <f t="shared" ca="1" si="418"/>
        <v>-156.21387951769819</v>
      </c>
      <c r="I902" s="357">
        <f t="shared" ca="1" si="419"/>
        <v>157.82152373803208</v>
      </c>
      <c r="J902" s="359">
        <f t="shared" ca="1" si="420"/>
        <v>1697.7148849986181</v>
      </c>
      <c r="K902" s="360">
        <f t="shared" ca="1" si="421"/>
        <v>728.32902796089138</v>
      </c>
      <c r="L902" s="357">
        <f t="shared" ca="1" si="406"/>
        <v>1847.3491829419602</v>
      </c>
      <c r="M902" s="359">
        <f t="shared" ca="1" si="422"/>
        <v>-1.4279410771048553</v>
      </c>
      <c r="N902" s="357">
        <f t="shared" ca="1" si="423"/>
        <v>-81.814997111473076</v>
      </c>
      <c r="O902" s="343"/>
      <c r="P902" s="363">
        <f t="shared" ca="1" si="424"/>
        <v>23</v>
      </c>
      <c r="Q902" s="357">
        <f t="shared" ca="1" si="425"/>
        <v>0</v>
      </c>
      <c r="R902" s="359">
        <f t="shared" ca="1" si="426"/>
        <v>0</v>
      </c>
      <c r="S902" s="360">
        <f t="shared" ca="1" si="427"/>
        <v>9.637999999999975</v>
      </c>
      <c r="T902" s="357">
        <f t="shared" ca="1" si="407"/>
        <v>94.548779999999766</v>
      </c>
      <c r="U902" s="364">
        <f t="shared" ca="1" si="408"/>
        <v>0</v>
      </c>
      <c r="V902" s="359">
        <f t="shared" ca="1" si="409"/>
        <v>1.1389146181972913</v>
      </c>
      <c r="W902" s="357">
        <f t="shared" ca="1" si="410"/>
        <v>64.210085662642186</v>
      </c>
      <c r="X902" s="343"/>
      <c r="Y902" s="367" t="str">
        <f t="shared" ca="1" si="428"/>
        <v/>
      </c>
      <c r="Z902" s="368" t="str">
        <f t="shared" ca="1" si="429"/>
        <v/>
      </c>
      <c r="AA902" s="369" t="str">
        <f t="shared" ca="1" si="430"/>
        <v/>
      </c>
      <c r="AB902" s="344"/>
      <c r="AC902" s="363" t="e">
        <f t="shared" ca="1" si="431"/>
        <v>#N/A</v>
      </c>
      <c r="AD902" s="376" t="e">
        <f t="shared" ca="1" si="432"/>
        <v>#N/A</v>
      </c>
      <c r="AE902" s="377" t="e">
        <f t="shared" ca="1" si="411"/>
        <v>#N/A</v>
      </c>
      <c r="AF902" s="344"/>
      <c r="AG902" s="359">
        <f t="shared" ca="1" si="433"/>
        <v>3.083014312028209</v>
      </c>
      <c r="AH902" s="357">
        <f t="shared" ca="1" si="434"/>
        <v>-6.62580894683951</v>
      </c>
    </row>
    <row r="903" spans="1:34" x14ac:dyDescent="0.25">
      <c r="A903" s="402">
        <f t="shared" ca="1" si="412"/>
        <v>0.1</v>
      </c>
      <c r="B903" s="357">
        <f t="shared" ca="1" si="413"/>
        <v>44.900000000000304</v>
      </c>
      <c r="C903" s="342"/>
      <c r="D903" s="359">
        <f t="shared" ca="1" si="414"/>
        <v>-0.94849353016871052</v>
      </c>
      <c r="E903" s="360">
        <f t="shared" ca="1" si="415"/>
        <v>-3.2156846285588196</v>
      </c>
      <c r="F903" s="357">
        <f t="shared" ca="1" si="416"/>
        <v>3.3526508328666402</v>
      </c>
      <c r="G903" s="359">
        <f t="shared" ca="1" si="417"/>
        <v>22.374178241080319</v>
      </c>
      <c r="H903" s="360">
        <f t="shared" ca="1" si="418"/>
        <v>-156.53544798055407</v>
      </c>
      <c r="I903" s="357">
        <f t="shared" ca="1" si="419"/>
        <v>158.12637454402216</v>
      </c>
      <c r="J903" s="359">
        <f t="shared" ca="1" si="420"/>
        <v>1699.957045290377</v>
      </c>
      <c r="K903" s="360">
        <f t="shared" ca="1" si="421"/>
        <v>712.69156158597877</v>
      </c>
      <c r="L903" s="357">
        <f t="shared" ca="1" si="406"/>
        <v>1843.3076839714658</v>
      </c>
      <c r="M903" s="359">
        <f t="shared" ca="1" si="422"/>
        <v>-1.4288243253751705</v>
      </c>
      <c r="N903" s="357">
        <f t="shared" ca="1" si="423"/>
        <v>-81.865603509624364</v>
      </c>
      <c r="O903" s="343"/>
      <c r="P903" s="363">
        <f t="shared" ca="1" si="424"/>
        <v>23</v>
      </c>
      <c r="Q903" s="357">
        <f t="shared" ca="1" si="425"/>
        <v>0</v>
      </c>
      <c r="R903" s="359">
        <f t="shared" ca="1" si="426"/>
        <v>0</v>
      </c>
      <c r="S903" s="360">
        <f t="shared" ca="1" si="427"/>
        <v>9.637999999999975</v>
      </c>
      <c r="T903" s="357">
        <f t="shared" ca="1" si="407"/>
        <v>94.548779999999766</v>
      </c>
      <c r="U903" s="364">
        <f t="shared" ca="1" si="408"/>
        <v>0</v>
      </c>
      <c r="V903" s="359">
        <f t="shared" ca="1" si="409"/>
        <v>1.1406993034587558</v>
      </c>
      <c r="W903" s="357">
        <f t="shared" ca="1" si="410"/>
        <v>64.559390511278906</v>
      </c>
      <c r="X903" s="343"/>
      <c r="Y903" s="367" t="str">
        <f t="shared" ca="1" si="428"/>
        <v/>
      </c>
      <c r="Z903" s="368" t="str">
        <f t="shared" ca="1" si="429"/>
        <v/>
      </c>
      <c r="AA903" s="369" t="str">
        <f t="shared" ca="1" si="430"/>
        <v/>
      </c>
      <c r="AB903" s="344"/>
      <c r="AC903" s="363" t="e">
        <f t="shared" ca="1" si="431"/>
        <v>#N/A</v>
      </c>
      <c r="AD903" s="376" t="e">
        <f t="shared" ca="1" si="432"/>
        <v>#N/A</v>
      </c>
      <c r="AE903" s="377" t="e">
        <f t="shared" ca="1" si="411"/>
        <v>#N/A</v>
      </c>
      <c r="AF903" s="344"/>
      <c r="AG903" s="359">
        <f t="shared" ca="1" si="433"/>
        <v>3.0478912662690272</v>
      </c>
      <c r="AH903" s="357">
        <f t="shared" ca="1" si="434"/>
        <v>-6.6621794628182558</v>
      </c>
    </row>
    <row r="904" spans="1:34" x14ac:dyDescent="0.25">
      <c r="A904" s="402">
        <f t="shared" ca="1" si="412"/>
        <v>0.1</v>
      </c>
      <c r="B904" s="357">
        <f t="shared" ca="1" si="413"/>
        <v>45.000000000000306</v>
      </c>
      <c r="C904" s="342"/>
      <c r="D904" s="359">
        <f t="shared" ca="1" si="414"/>
        <v>-0.94779689037797421</v>
      </c>
      <c r="E904" s="360">
        <f t="shared" ca="1" si="415"/>
        <v>-3.1789716229449034</v>
      </c>
      <c r="F904" s="357">
        <f t="shared" ca="1" si="416"/>
        <v>3.3172548176013112</v>
      </c>
      <c r="G904" s="359">
        <f t="shared" ca="1" si="417"/>
        <v>22.279398552042522</v>
      </c>
      <c r="H904" s="360">
        <f t="shared" ca="1" si="418"/>
        <v>-156.85334514284855</v>
      </c>
      <c r="I904" s="357">
        <f t="shared" ca="1" si="419"/>
        <v>158.42772321264459</v>
      </c>
      <c r="J904" s="359">
        <f t="shared" ca="1" si="420"/>
        <v>1702.189724130033</v>
      </c>
      <c r="K904" s="360">
        <f t="shared" ca="1" si="421"/>
        <v>697.02212192980869</v>
      </c>
      <c r="L904" s="357">
        <f t="shared" ca="1" si="406"/>
        <v>1839.3720926972364</v>
      </c>
      <c r="M904" s="359">
        <f t="shared" ca="1" si="422"/>
        <v>-1.4297004798064019</v>
      </c>
      <c r="N904" s="357">
        <f t="shared" ca="1" si="423"/>
        <v>-81.915803460735603</v>
      </c>
      <c r="O904" s="343"/>
      <c r="P904" s="363">
        <f t="shared" ca="1" si="424"/>
        <v>23</v>
      </c>
      <c r="Q904" s="357">
        <f t="shared" ca="1" si="425"/>
        <v>0</v>
      </c>
      <c r="R904" s="359">
        <f t="shared" ca="1" si="426"/>
        <v>0</v>
      </c>
      <c r="S904" s="360">
        <f t="shared" ca="1" si="427"/>
        <v>9.637999999999975</v>
      </c>
      <c r="T904" s="357">
        <f t="shared" ca="1" si="407"/>
        <v>94.548779999999766</v>
      </c>
      <c r="U904" s="364">
        <f t="shared" ca="1" si="408"/>
        <v>0</v>
      </c>
      <c r="V904" s="359">
        <f t="shared" ca="1" si="409"/>
        <v>1.1424903428779445</v>
      </c>
      <c r="W904" s="357">
        <f t="shared" ca="1" si="410"/>
        <v>64.907445529475197</v>
      </c>
      <c r="X904" s="343"/>
      <c r="Y904" s="367" t="str">
        <f t="shared" ca="1" si="428"/>
        <v/>
      </c>
      <c r="Z904" s="368" t="str">
        <f t="shared" ca="1" si="429"/>
        <v/>
      </c>
      <c r="AA904" s="369" t="str">
        <f t="shared" ca="1" si="430"/>
        <v/>
      </c>
      <c r="AB904" s="344"/>
      <c r="AC904" s="363">
        <f t="shared" ca="1" si="431"/>
        <v>45.000000000000306</v>
      </c>
      <c r="AD904" s="376">
        <f t="shared" ca="1" si="432"/>
        <v>1702.189724130033</v>
      </c>
      <c r="AE904" s="377" t="e">
        <f t="shared" ca="1" si="411"/>
        <v>#N/A</v>
      </c>
      <c r="AF904" s="344"/>
      <c r="AG904" s="359">
        <f t="shared" ca="1" si="433"/>
        <v>3.0128786037578932</v>
      </c>
      <c r="AH904" s="357">
        <f t="shared" ca="1" si="434"/>
        <v>-6.6984219248058805</v>
      </c>
    </row>
    <row r="905" spans="1:34" x14ac:dyDescent="0.25">
      <c r="A905" s="402">
        <f t="shared" ca="1" si="412"/>
        <v>0.1</v>
      </c>
      <c r="B905" s="357">
        <f t="shared" ca="1" si="413"/>
        <v>45.100000000000307</v>
      </c>
      <c r="C905" s="342"/>
      <c r="D905" s="359">
        <f t="shared" ca="1" si="414"/>
        <v>-0.94706519674300416</v>
      </c>
      <c r="E905" s="360">
        <f t="shared" ca="1" si="415"/>
        <v>-3.142389838508838</v>
      </c>
      <c r="F905" s="357">
        <f t="shared" ca="1" si="416"/>
        <v>3.2820034101209381</v>
      </c>
      <c r="G905" s="359">
        <f t="shared" ca="1" si="417"/>
        <v>22.184692032368222</v>
      </c>
      <c r="H905" s="360">
        <f t="shared" ca="1" si="418"/>
        <v>-157.16758412669944</v>
      </c>
      <c r="I905" s="357">
        <f t="shared" ca="1" si="419"/>
        <v>158.72558099057053</v>
      </c>
      <c r="J905" s="359">
        <f t="shared" ca="1" si="420"/>
        <v>1704.4129286592536</v>
      </c>
      <c r="K905" s="360">
        <f t="shared" ca="1" si="421"/>
        <v>681.32107546633131</v>
      </c>
      <c r="L905" s="357">
        <f t="shared" ca="1" si="406"/>
        <v>1835.5440172481324</v>
      </c>
      <c r="M905" s="359">
        <f t="shared" ca="1" si="422"/>
        <v>-1.4305696291735304</v>
      </c>
      <c r="N905" s="357">
        <f t="shared" ca="1" si="423"/>
        <v>-81.965602051238534</v>
      </c>
      <c r="O905" s="343"/>
      <c r="P905" s="363">
        <f t="shared" ca="1" si="424"/>
        <v>23</v>
      </c>
      <c r="Q905" s="357">
        <f t="shared" ca="1" si="425"/>
        <v>0</v>
      </c>
      <c r="R905" s="359">
        <f t="shared" ca="1" si="426"/>
        <v>0</v>
      </c>
      <c r="S905" s="360">
        <f t="shared" ca="1" si="427"/>
        <v>9.637999999999975</v>
      </c>
      <c r="T905" s="357">
        <f t="shared" ca="1" si="407"/>
        <v>94.548779999999766</v>
      </c>
      <c r="U905" s="364">
        <f t="shared" ca="1" si="408"/>
        <v>0</v>
      </c>
      <c r="V905" s="359">
        <f t="shared" ca="1" si="409"/>
        <v>1.1442877172207013</v>
      </c>
      <c r="W905" s="357">
        <f t="shared" ca="1" si="410"/>
        <v>65.254235347302512</v>
      </c>
      <c r="X905" s="343"/>
      <c r="Y905" s="367" t="str">
        <f t="shared" ca="1" si="428"/>
        <v/>
      </c>
      <c r="Z905" s="368" t="str">
        <f t="shared" ca="1" si="429"/>
        <v/>
      </c>
      <c r="AA905" s="369" t="str">
        <f t="shared" ca="1" si="430"/>
        <v/>
      </c>
      <c r="AB905" s="344"/>
      <c r="AC905" s="363" t="e">
        <f t="shared" ca="1" si="431"/>
        <v>#N/A</v>
      </c>
      <c r="AD905" s="376" t="e">
        <f t="shared" ca="1" si="432"/>
        <v>#N/A</v>
      </c>
      <c r="AE905" s="377" t="e">
        <f t="shared" ca="1" si="411"/>
        <v>#N/A</v>
      </c>
      <c r="AF905" s="344"/>
      <c r="AG905" s="359">
        <f t="shared" ca="1" si="433"/>
        <v>2.9779782564112844</v>
      </c>
      <c r="AH905" s="357">
        <f t="shared" ca="1" si="434"/>
        <v>-6.7345347094288615</v>
      </c>
    </row>
    <row r="906" spans="1:34" x14ac:dyDescent="0.25">
      <c r="A906" s="402">
        <f t="shared" ca="1" si="412"/>
        <v>0.1</v>
      </c>
      <c r="B906" s="357">
        <f t="shared" ca="1" si="413"/>
        <v>45.200000000000308</v>
      </c>
      <c r="C906" s="342"/>
      <c r="D906" s="359">
        <f t="shared" ca="1" si="414"/>
        <v>-0.94629873992005697</v>
      </c>
      <c r="E906" s="360">
        <f t="shared" ca="1" si="415"/>
        <v>-3.1059408857974296</v>
      </c>
      <c r="F906" s="357">
        <f t="shared" ca="1" si="416"/>
        <v>3.2468985341772556</v>
      </c>
      <c r="G906" s="359">
        <f t="shared" ca="1" si="417"/>
        <v>22.090062158376217</v>
      </c>
      <c r="H906" s="360">
        <f t="shared" ca="1" si="418"/>
        <v>-157.47817821527917</v>
      </c>
      <c r="I906" s="357">
        <f t="shared" ca="1" si="419"/>
        <v>159.01995931380486</v>
      </c>
      <c r="J906" s="359">
        <f t="shared" ca="1" si="420"/>
        <v>1706.6266663687909</v>
      </c>
      <c r="K906" s="360">
        <f t="shared" ca="1" si="421"/>
        <v>665.58878734923235</v>
      </c>
      <c r="L906" s="357">
        <f t="shared" ca="1" si="406"/>
        <v>1831.8250495628872</v>
      </c>
      <c r="M906" s="359">
        <f t="shared" ca="1" si="422"/>
        <v>-1.4314318607073939</v>
      </c>
      <c r="N906" s="357">
        <f t="shared" ca="1" si="423"/>
        <v>-82.015004279092011</v>
      </c>
      <c r="O906" s="343"/>
      <c r="P906" s="363">
        <f t="shared" ca="1" si="424"/>
        <v>23</v>
      </c>
      <c r="Q906" s="357">
        <f t="shared" ca="1" si="425"/>
        <v>0</v>
      </c>
      <c r="R906" s="359">
        <f t="shared" ca="1" si="426"/>
        <v>0</v>
      </c>
      <c r="S906" s="360">
        <f t="shared" ca="1" si="427"/>
        <v>9.637999999999975</v>
      </c>
      <c r="T906" s="357">
        <f t="shared" ca="1" si="407"/>
        <v>94.548779999999766</v>
      </c>
      <c r="U906" s="364">
        <f t="shared" ca="1" si="408"/>
        <v>0</v>
      </c>
      <c r="V906" s="359">
        <f t="shared" ca="1" si="409"/>
        <v>1.1460914072768218</v>
      </c>
      <c r="W906" s="357">
        <f t="shared" ca="1" si="410"/>
        <v>65.599744870908054</v>
      </c>
      <c r="X906" s="343"/>
      <c r="Y906" s="367" t="str">
        <f t="shared" ca="1" si="428"/>
        <v/>
      </c>
      <c r="Z906" s="368" t="str">
        <f t="shared" ca="1" si="429"/>
        <v/>
      </c>
      <c r="AA906" s="369" t="str">
        <f t="shared" ca="1" si="430"/>
        <v/>
      </c>
      <c r="AB906" s="344"/>
      <c r="AC906" s="363" t="e">
        <f t="shared" ca="1" si="431"/>
        <v>#N/A</v>
      </c>
      <c r="AD906" s="376" t="e">
        <f t="shared" ca="1" si="432"/>
        <v>#N/A</v>
      </c>
      <c r="AE906" s="377" t="e">
        <f t="shared" ca="1" si="411"/>
        <v>#N/A</v>
      </c>
      <c r="AF906" s="344"/>
      <c r="AG906" s="359">
        <f t="shared" ca="1" si="433"/>
        <v>2.9431921208285319</v>
      </c>
      <c r="AH906" s="357">
        <f t="shared" ca="1" si="434"/>
        <v>-6.7705162219654165</v>
      </c>
    </row>
    <row r="907" spans="1:34" x14ac:dyDescent="0.25">
      <c r="A907" s="402">
        <f t="shared" ca="1" si="412"/>
        <v>0.1</v>
      </c>
      <c r="B907" s="357">
        <f t="shared" ca="1" si="413"/>
        <v>45.30000000000031</v>
      </c>
      <c r="C907" s="342"/>
      <c r="D907" s="359">
        <f t="shared" ca="1" si="414"/>
        <v>-0.94549781223374929</v>
      </c>
      <c r="E907" s="360">
        <f t="shared" ca="1" si="415"/>
        <v>-3.0696263464725462</v>
      </c>
      <c r="F907" s="357">
        <f t="shared" ca="1" si="416"/>
        <v>3.2119420947297908</v>
      </c>
      <c r="G907" s="359">
        <f t="shared" ca="1" si="417"/>
        <v>21.995512377152842</v>
      </c>
      <c r="H907" s="360">
        <f t="shared" ca="1" si="418"/>
        <v>-157.78514084992642</v>
      </c>
      <c r="I907" s="357">
        <f t="shared" ca="1" si="419"/>
        <v>159.31086980418067</v>
      </c>
      <c r="J907" s="359">
        <f t="shared" ca="1" si="420"/>
        <v>1708.8309450955674</v>
      </c>
      <c r="K907" s="360">
        <f t="shared" ca="1" si="421"/>
        <v>649.82562139597212</v>
      </c>
      <c r="L907" s="357">
        <f t="shared" ca="1" si="406"/>
        <v>1828.2167642648042</v>
      </c>
      <c r="M907" s="359">
        <f t="shared" ca="1" si="422"/>
        <v>-1.4322872601274284</v>
      </c>
      <c r="N907" s="357">
        <f t="shared" ca="1" si="423"/>
        <v>-82.064015055657919</v>
      </c>
      <c r="O907" s="343"/>
      <c r="P907" s="363">
        <f t="shared" ca="1" si="424"/>
        <v>23</v>
      </c>
      <c r="Q907" s="357">
        <f t="shared" ca="1" si="425"/>
        <v>0</v>
      </c>
      <c r="R907" s="359">
        <f t="shared" ca="1" si="426"/>
        <v>0</v>
      </c>
      <c r="S907" s="360">
        <f t="shared" ca="1" si="427"/>
        <v>9.637999999999975</v>
      </c>
      <c r="T907" s="357">
        <f t="shared" ca="1" si="407"/>
        <v>94.548779999999766</v>
      </c>
      <c r="U907" s="364">
        <f t="shared" ca="1" si="408"/>
        <v>0</v>
      </c>
      <c r="V907" s="359">
        <f t="shared" ca="1" si="409"/>
        <v>1.1479013938611409</v>
      </c>
      <c r="W907" s="357">
        <f t="shared" ca="1" si="410"/>
        <v>65.943959282386487</v>
      </c>
      <c r="X907" s="343"/>
      <c r="Y907" s="367" t="str">
        <f t="shared" ca="1" si="428"/>
        <v/>
      </c>
      <c r="Z907" s="368" t="str">
        <f t="shared" ca="1" si="429"/>
        <v/>
      </c>
      <c r="AA907" s="369" t="str">
        <f t="shared" ca="1" si="430"/>
        <v/>
      </c>
      <c r="AB907" s="344"/>
      <c r="AC907" s="363" t="e">
        <f t="shared" ca="1" si="431"/>
        <v>#N/A</v>
      </c>
      <c r="AD907" s="376" t="e">
        <f t="shared" ca="1" si="432"/>
        <v>#N/A</v>
      </c>
      <c r="AE907" s="377" t="e">
        <f t="shared" ca="1" si="411"/>
        <v>#N/A</v>
      </c>
      <c r="AF907" s="344"/>
      <c r="AG907" s="359">
        <f t="shared" ca="1" si="433"/>
        <v>2.9085220584704068</v>
      </c>
      <c r="AH907" s="357">
        <f t="shared" ca="1" si="434"/>
        <v>-6.8063648963382679</v>
      </c>
    </row>
    <row r="908" spans="1:34" x14ac:dyDescent="0.25">
      <c r="A908" s="402">
        <f t="shared" ca="1" si="412"/>
        <v>0.1</v>
      </c>
      <c r="B908" s="357">
        <f t="shared" ca="1" si="413"/>
        <v>45.400000000000311</v>
      </c>
      <c r="C908" s="342"/>
      <c r="D908" s="359">
        <f t="shared" ca="1" si="414"/>
        <v>-0.94466270761244708</v>
      </c>
      <c r="E908" s="360">
        <f t="shared" ca="1" si="415"/>
        <v>-3.0334477733227176</v>
      </c>
      <c r="F908" s="357">
        <f t="shared" ca="1" si="416"/>
        <v>3.1771359783034518</v>
      </c>
      <c r="G908" s="359">
        <f t="shared" ca="1" si="417"/>
        <v>21.901046106391597</v>
      </c>
      <c r="H908" s="360">
        <f t="shared" ca="1" si="418"/>
        <v>-158.08848562725871</v>
      </c>
      <c r="I908" s="357">
        <f t="shared" ca="1" si="419"/>
        <v>159.59832426587153</v>
      </c>
      <c r="J908" s="359">
        <f t="shared" ca="1" si="420"/>
        <v>1711.0257730197445</v>
      </c>
      <c r="K908" s="360">
        <f t="shared" ca="1" si="421"/>
        <v>634.03194007211289</v>
      </c>
      <c r="L908" s="357">
        <f t="shared" ca="1" si="406"/>
        <v>1824.7207175262251</v>
      </c>
      <c r="M908" s="359">
        <f t="shared" ca="1" si="422"/>
        <v>-1.4331359116735889</v>
      </c>
      <c r="N908" s="357">
        <f t="shared" ca="1" si="423"/>
        <v>-82.112639207530165</v>
      </c>
      <c r="O908" s="343"/>
      <c r="P908" s="363">
        <f t="shared" ca="1" si="424"/>
        <v>23</v>
      </c>
      <c r="Q908" s="357">
        <f t="shared" ca="1" si="425"/>
        <v>0</v>
      </c>
      <c r="R908" s="359">
        <f t="shared" ca="1" si="426"/>
        <v>0</v>
      </c>
      <c r="S908" s="360">
        <f t="shared" ca="1" si="427"/>
        <v>9.637999999999975</v>
      </c>
      <c r="T908" s="357">
        <f t="shared" ca="1" si="407"/>
        <v>94.548779999999766</v>
      </c>
      <c r="U908" s="364">
        <f t="shared" ca="1" si="408"/>
        <v>0</v>
      </c>
      <c r="V908" s="359">
        <f t="shared" ca="1" si="409"/>
        <v>1.1497176578146149</v>
      </c>
      <c r="W908" s="357">
        <f t="shared" ca="1" si="410"/>
        <v>66.286864039593993</v>
      </c>
      <c r="X908" s="343"/>
      <c r="Y908" s="367" t="str">
        <f t="shared" ca="1" si="428"/>
        <v/>
      </c>
      <c r="Z908" s="368" t="str">
        <f t="shared" ca="1" si="429"/>
        <v/>
      </c>
      <c r="AA908" s="369" t="str">
        <f t="shared" ca="1" si="430"/>
        <v/>
      </c>
      <c r="AB908" s="344"/>
      <c r="AC908" s="363" t="e">
        <f t="shared" ca="1" si="431"/>
        <v>#N/A</v>
      </c>
      <c r="AD908" s="376" t="e">
        <f t="shared" ca="1" si="432"/>
        <v>#N/A</v>
      </c>
      <c r="AE908" s="377" t="e">
        <f t="shared" ca="1" si="411"/>
        <v>#N/A</v>
      </c>
      <c r="AF908" s="344"/>
      <c r="AG908" s="359">
        <f t="shared" ca="1" si="433"/>
        <v>2.8739698958387159</v>
      </c>
      <c r="AH908" s="357">
        <f t="shared" ca="1" si="434"/>
        <v>-6.8420791951013342</v>
      </c>
    </row>
    <row r="909" spans="1:34" x14ac:dyDescent="0.25">
      <c r="A909" s="402">
        <f t="shared" ca="1" si="412"/>
        <v>0.1</v>
      </c>
      <c r="B909" s="357">
        <f t="shared" ca="1" si="413"/>
        <v>45.500000000000313</v>
      </c>
      <c r="C909" s="342"/>
      <c r="D909" s="359">
        <f t="shared" ca="1" si="414"/>
        <v>-0.94379372152406893</v>
      </c>
      <c r="E909" s="360">
        <f t="shared" ca="1" si="415"/>
        <v>-2.9974066902808172</v>
      </c>
      <c r="F909" s="357">
        <f t="shared" ca="1" si="416"/>
        <v>3.142482053366169</v>
      </c>
      <c r="G909" s="359">
        <f t="shared" ca="1" si="417"/>
        <v>21.80666673423919</v>
      </c>
      <c r="H909" s="360">
        <f t="shared" ca="1" si="418"/>
        <v>-158.38822629628677</v>
      </c>
      <c r="I909" s="357">
        <f t="shared" ca="1" si="419"/>
        <v>159.88233468192141</v>
      </c>
      <c r="J909" s="359">
        <f t="shared" ca="1" si="420"/>
        <v>1713.2111586617762</v>
      </c>
      <c r="K909" s="360">
        <f t="shared" ca="1" si="421"/>
        <v>618.20810447593567</v>
      </c>
      <c r="L909" s="357">
        <f t="shared" ca="1" si="406"/>
        <v>1821.3384459245774</v>
      </c>
      <c r="M909" s="359">
        <f t="shared" ca="1" si="422"/>
        <v>-1.4339778981374824</v>
      </c>
      <c r="N909" s="357">
        <f t="shared" ca="1" si="423"/>
        <v>-82.160881478318416</v>
      </c>
      <c r="O909" s="343"/>
      <c r="P909" s="363">
        <f t="shared" ca="1" si="424"/>
        <v>23</v>
      </c>
      <c r="Q909" s="357">
        <f t="shared" ca="1" si="425"/>
        <v>0</v>
      </c>
      <c r="R909" s="359">
        <f t="shared" ca="1" si="426"/>
        <v>0</v>
      </c>
      <c r="S909" s="360">
        <f t="shared" ca="1" si="427"/>
        <v>9.637999999999975</v>
      </c>
      <c r="T909" s="357">
        <f t="shared" ca="1" si="407"/>
        <v>94.548779999999766</v>
      </c>
      <c r="U909" s="364">
        <f t="shared" ca="1" si="408"/>
        <v>0</v>
      </c>
      <c r="V909" s="359">
        <f t="shared" ca="1" si="409"/>
        <v>1.1515401800053982</v>
      </c>
      <c r="W909" s="357">
        <f t="shared" ca="1" si="410"/>
        <v>66.628444875905004</v>
      </c>
      <c r="X909" s="343"/>
      <c r="Y909" s="367" t="str">
        <f t="shared" ca="1" si="428"/>
        <v/>
      </c>
      <c r="Z909" s="368" t="str">
        <f t="shared" ca="1" si="429"/>
        <v/>
      </c>
      <c r="AA909" s="369" t="str">
        <f t="shared" ca="1" si="430"/>
        <v/>
      </c>
      <c r="AB909" s="344"/>
      <c r="AC909" s="363" t="e">
        <f t="shared" ca="1" si="431"/>
        <v>#N/A</v>
      </c>
      <c r="AD909" s="376" t="e">
        <f t="shared" ca="1" si="432"/>
        <v>#N/A</v>
      </c>
      <c r="AE909" s="377" t="e">
        <f t="shared" ca="1" si="411"/>
        <v>#N/A</v>
      </c>
      <c r="AF909" s="344"/>
      <c r="AG909" s="359">
        <f t="shared" ca="1" si="433"/>
        <v>2.8395374246570055</v>
      </c>
      <c r="AH909" s="357">
        <f t="shared" ca="1" si="434"/>
        <v>-6.877657609420436</v>
      </c>
    </row>
    <row r="910" spans="1:34" x14ac:dyDescent="0.25">
      <c r="A910" s="402">
        <f t="shared" ca="1" si="412"/>
        <v>0.1</v>
      </c>
      <c r="B910" s="357">
        <f t="shared" ca="1" si="413"/>
        <v>45.600000000000314</v>
      </c>
      <c r="C910" s="342"/>
      <c r="D910" s="359">
        <f t="shared" ca="1" si="414"/>
        <v>-0.94289115091226561</v>
      </c>
      <c r="E910" s="360">
        <f t="shared" ca="1" si="415"/>
        <v>-2.9615045924478132</v>
      </c>
      <c r="F910" s="357">
        <f t="shared" ca="1" si="416"/>
        <v>3.107982170727198</v>
      </c>
      <c r="G910" s="359">
        <f t="shared" ca="1" si="417"/>
        <v>21.712377619147965</v>
      </c>
      <c r="H910" s="360">
        <f t="shared" ca="1" si="418"/>
        <v>-158.68437675553156</v>
      </c>
      <c r="I910" s="357">
        <f t="shared" ca="1" si="419"/>
        <v>160.16291321079285</v>
      </c>
      <c r="J910" s="359">
        <f t="shared" ca="1" si="420"/>
        <v>1715.3871108794456</v>
      </c>
      <c r="K910" s="360">
        <f t="shared" ca="1" si="421"/>
        <v>602.35447432334479</v>
      </c>
      <c r="L910" s="357">
        <f t="shared" ca="1" si="406"/>
        <v>1818.0714652919132</v>
      </c>
      <c r="M910" s="359">
        <f t="shared" ca="1" si="422"/>
        <v>-1.4348133008927293</v>
      </c>
      <c r="N910" s="357">
        <f t="shared" ca="1" si="423"/>
        <v>-82.208746530387657</v>
      </c>
      <c r="O910" s="343"/>
      <c r="P910" s="363">
        <f t="shared" ca="1" si="424"/>
        <v>23</v>
      </c>
      <c r="Q910" s="357">
        <f t="shared" ca="1" si="425"/>
        <v>0</v>
      </c>
      <c r="R910" s="359">
        <f t="shared" ca="1" si="426"/>
        <v>0</v>
      </c>
      <c r="S910" s="360">
        <f t="shared" ca="1" si="427"/>
        <v>9.637999999999975</v>
      </c>
      <c r="T910" s="357">
        <f t="shared" ca="1" si="407"/>
        <v>94.548779999999766</v>
      </c>
      <c r="U910" s="364">
        <f t="shared" ca="1" si="408"/>
        <v>0</v>
      </c>
      <c r="V910" s="359">
        <f t="shared" ca="1" si="409"/>
        <v>1.1533689413299129</v>
      </c>
      <c r="W910" s="357">
        <f t="shared" ca="1" si="410"/>
        <v>66.968687799912715</v>
      </c>
      <c r="X910" s="343"/>
      <c r="Y910" s="367" t="str">
        <f t="shared" ca="1" si="428"/>
        <v/>
      </c>
      <c r="Z910" s="368" t="str">
        <f t="shared" ca="1" si="429"/>
        <v/>
      </c>
      <c r="AA910" s="369" t="str">
        <f t="shared" ca="1" si="430"/>
        <v/>
      </c>
      <c r="AB910" s="344"/>
      <c r="AC910" s="363" t="e">
        <f t="shared" ca="1" si="431"/>
        <v>#N/A</v>
      </c>
      <c r="AD910" s="376" t="e">
        <f t="shared" ca="1" si="432"/>
        <v>#N/A</v>
      </c>
      <c r="AE910" s="377" t="e">
        <f t="shared" ca="1" si="411"/>
        <v>#N/A</v>
      </c>
      <c r="AF910" s="344"/>
      <c r="AG910" s="359">
        <f t="shared" ca="1" si="433"/>
        <v>2.8052264020524378</v>
      </c>
      <c r="AH910" s="357">
        <f t="shared" ca="1" si="434"/>
        <v>-6.9130986590480576</v>
      </c>
    </row>
    <row r="911" spans="1:34" x14ac:dyDescent="0.25">
      <c r="A911" s="402">
        <f t="shared" ca="1" si="412"/>
        <v>0.1</v>
      </c>
      <c r="B911" s="357">
        <f t="shared" ca="1" si="413"/>
        <v>45.700000000000315</v>
      </c>
      <c r="C911" s="342"/>
      <c r="D911" s="359">
        <f t="shared" ca="1" si="414"/>
        <v>-0.9419552941330247</v>
      </c>
      <c r="E911" s="360">
        <f t="shared" ca="1" si="415"/>
        <v>-2.9257429461224538</v>
      </c>
      <c r="F911" s="357">
        <f t="shared" ca="1" si="416"/>
        <v>3.0736381639566046</v>
      </c>
      <c r="G911" s="359">
        <f t="shared" ca="1" si="417"/>
        <v>21.618182089734663</v>
      </c>
      <c r="H911" s="360">
        <f t="shared" ca="1" si="418"/>
        <v>-158.97695105014381</v>
      </c>
      <c r="I911" s="357">
        <f t="shared" ca="1" si="419"/>
        <v>160.44007218293297</v>
      </c>
      <c r="J911" s="359">
        <f t="shared" ca="1" si="420"/>
        <v>1717.5536388648898</v>
      </c>
      <c r="K911" s="360">
        <f t="shared" ca="1" si="421"/>
        <v>586.47140793306107</v>
      </c>
      <c r="L911" s="357">
        <f t="shared" ca="1" si="406"/>
        <v>1814.9212695599253</v>
      </c>
      <c r="M911" s="359">
        <f t="shared" ca="1" si="422"/>
        <v>-1.4356421999245768</v>
      </c>
      <c r="N911" s="357">
        <f t="shared" ca="1" si="423"/>
        <v>-82.256238946555001</v>
      </c>
      <c r="O911" s="343"/>
      <c r="P911" s="363">
        <f t="shared" ca="1" si="424"/>
        <v>23</v>
      </c>
      <c r="Q911" s="357">
        <f t="shared" ca="1" si="425"/>
        <v>0</v>
      </c>
      <c r="R911" s="359">
        <f t="shared" ca="1" si="426"/>
        <v>0</v>
      </c>
      <c r="S911" s="360">
        <f t="shared" ca="1" si="427"/>
        <v>9.637999999999975</v>
      </c>
      <c r="T911" s="357">
        <f t="shared" ca="1" si="407"/>
        <v>94.548779999999766</v>
      </c>
      <c r="U911" s="364">
        <f t="shared" ca="1" si="408"/>
        <v>0</v>
      </c>
      <c r="V911" s="359">
        <f t="shared" ca="1" si="409"/>
        <v>1.1552039227139088</v>
      </c>
      <c r="W911" s="357">
        <f t="shared" ca="1" si="410"/>
        <v>67.30757909507328</v>
      </c>
      <c r="X911" s="343"/>
      <c r="Y911" s="367" t="str">
        <f t="shared" ca="1" si="428"/>
        <v/>
      </c>
      <c r="Z911" s="368" t="str">
        <f t="shared" ca="1" si="429"/>
        <v/>
      </c>
      <c r="AA911" s="369" t="str">
        <f t="shared" ca="1" si="430"/>
        <v/>
      </c>
      <c r="AB911" s="344"/>
      <c r="AC911" s="363" t="e">
        <f t="shared" ca="1" si="431"/>
        <v>#N/A</v>
      </c>
      <c r="AD911" s="376" t="e">
        <f t="shared" ca="1" si="432"/>
        <v>#N/A</v>
      </c>
      <c r="AE911" s="377" t="e">
        <f t="shared" ca="1" si="411"/>
        <v>#N/A</v>
      </c>
      <c r="AF911" s="344"/>
      <c r="AG911" s="359">
        <f t="shared" ca="1" si="433"/>
        <v>2.7710385507389423</v>
      </c>
      <c r="AH911" s="357">
        <f t="shared" ca="1" si="434"/>
        <v>-6.9484008922922689</v>
      </c>
    </row>
    <row r="912" spans="1:34" x14ac:dyDescent="0.25">
      <c r="A912" s="402">
        <f t="shared" ca="1" si="412"/>
        <v>0.1</v>
      </c>
      <c r="B912" s="357">
        <f t="shared" ca="1" si="413"/>
        <v>45.800000000000317</v>
      </c>
      <c r="C912" s="342"/>
      <c r="D912" s="359">
        <f t="shared" ca="1" si="414"/>
        <v>-0.94098645089168909</v>
      </c>
      <c r="E912" s="360">
        <f t="shared" ca="1" si="415"/>
        <v>-2.8901231888368875</v>
      </c>
      <c r="F912" s="357">
        <f t="shared" ca="1" si="416"/>
        <v>3.0394518498266159</v>
      </c>
      <c r="G912" s="359">
        <f t="shared" ca="1" si="417"/>
        <v>21.524083444645495</v>
      </c>
      <c r="H912" s="360">
        <f t="shared" ca="1" si="418"/>
        <v>-159.2659633690275</v>
      </c>
      <c r="I912" s="357">
        <f t="shared" ca="1" si="419"/>
        <v>160.71382409735781</v>
      </c>
      <c r="J912" s="359">
        <f t="shared" ca="1" si="420"/>
        <v>1719.7107521416087</v>
      </c>
      <c r="K912" s="360">
        <f t="shared" ca="1" si="421"/>
        <v>570.55926221210245</v>
      </c>
      <c r="L912" s="357">
        <f t="shared" ca="1" si="406"/>
        <v>1811.8893296025219</v>
      </c>
      <c r="M912" s="359">
        <f t="shared" ca="1" si="422"/>
        <v>-1.4364646738587867</v>
      </c>
      <c r="N912" s="357">
        <f t="shared" ca="1" si="423"/>
        <v>-82.303363231744754</v>
      </c>
      <c r="O912" s="343"/>
      <c r="P912" s="363">
        <f t="shared" ca="1" si="424"/>
        <v>23</v>
      </c>
      <c r="Q912" s="357">
        <f t="shared" ca="1" si="425"/>
        <v>0</v>
      </c>
      <c r="R912" s="359">
        <f t="shared" ca="1" si="426"/>
        <v>0</v>
      </c>
      <c r="S912" s="360">
        <f t="shared" ca="1" si="427"/>
        <v>9.637999999999975</v>
      </c>
      <c r="T912" s="357">
        <f t="shared" ca="1" si="407"/>
        <v>94.548779999999766</v>
      </c>
      <c r="U912" s="364">
        <f t="shared" ca="1" si="408"/>
        <v>0</v>
      </c>
      <c r="V912" s="359">
        <f t="shared" ca="1" si="409"/>
        <v>1.1570451051135238</v>
      </c>
      <c r="W912" s="357">
        <f t="shared" ca="1" si="410"/>
        <v>67.64510531929524</v>
      </c>
      <c r="X912" s="343"/>
      <c r="Y912" s="367" t="str">
        <f t="shared" ca="1" si="428"/>
        <v/>
      </c>
      <c r="Z912" s="368" t="str">
        <f t="shared" ca="1" si="429"/>
        <v/>
      </c>
      <c r="AA912" s="369" t="str">
        <f t="shared" ca="1" si="430"/>
        <v/>
      </c>
      <c r="AB912" s="344"/>
      <c r="AC912" s="363" t="e">
        <f t="shared" ca="1" si="431"/>
        <v>#N/A</v>
      </c>
      <c r="AD912" s="376" t="e">
        <f t="shared" ca="1" si="432"/>
        <v>#N/A</v>
      </c>
      <c r="AE912" s="377" t="e">
        <f t="shared" ca="1" si="411"/>
        <v>#N/A</v>
      </c>
      <c r="AF912" s="344"/>
      <c r="AG912" s="359">
        <f t="shared" ca="1" si="433"/>
        <v>2.7369755592017828</v>
      </c>
      <c r="AH912" s="357">
        <f t="shared" ca="1" si="434"/>
        <v>-6.9835628859798149</v>
      </c>
    </row>
    <row r="913" spans="1:34" x14ac:dyDescent="0.25">
      <c r="A913" s="402">
        <f t="shared" ca="1" si="412"/>
        <v>0.1</v>
      </c>
      <c r="B913" s="357">
        <f t="shared" ca="1" si="413"/>
        <v>45.900000000000318</v>
      </c>
      <c r="C913" s="342"/>
      <c r="D913" s="359">
        <f t="shared" ca="1" si="414"/>
        <v>-0.93998492218041074</v>
      </c>
      <c r="E913" s="360">
        <f t="shared" ca="1" si="415"/>
        <v>-2.8546467293980866</v>
      </c>
      <c r="F913" s="357">
        <f t="shared" ca="1" si="416"/>
        <v>3.0054250287754152</v>
      </c>
      <c r="G913" s="359">
        <f t="shared" ca="1" si="417"/>
        <v>21.430084952427453</v>
      </c>
      <c r="H913" s="360">
        <f t="shared" ca="1" si="418"/>
        <v>-159.55142804196731</v>
      </c>
      <c r="I913" s="357">
        <f t="shared" ca="1" si="419"/>
        <v>160.98418161825506</v>
      </c>
      <c r="J913" s="359">
        <f t="shared" ca="1" si="420"/>
        <v>1721.8584605614624</v>
      </c>
      <c r="K913" s="360">
        <f t="shared" ca="1" si="421"/>
        <v>554.61839264155276</v>
      </c>
      <c r="L913" s="357">
        <f t="shared" ca="1" si="406"/>
        <v>1808.9770920781139</v>
      </c>
      <c r="M913" s="359">
        <f t="shared" ca="1" si="422"/>
        <v>-1.4372807999898176</v>
      </c>
      <c r="N913" s="357">
        <f t="shared" ca="1" si="423"/>
        <v>-82.350123814603165</v>
      </c>
      <c r="O913" s="343"/>
      <c r="P913" s="363">
        <f t="shared" ca="1" si="424"/>
        <v>23</v>
      </c>
      <c r="Q913" s="357">
        <f t="shared" ca="1" si="425"/>
        <v>0</v>
      </c>
      <c r="R913" s="359">
        <f t="shared" ca="1" si="426"/>
        <v>0</v>
      </c>
      <c r="S913" s="360">
        <f t="shared" ca="1" si="427"/>
        <v>9.637999999999975</v>
      </c>
      <c r="T913" s="357">
        <f t="shared" ca="1" si="407"/>
        <v>94.548779999999766</v>
      </c>
      <c r="U913" s="364">
        <f t="shared" ca="1" si="408"/>
        <v>0</v>
      </c>
      <c r="V913" s="359">
        <f t="shared" ca="1" si="409"/>
        <v>1.1588924695163274</v>
      </c>
      <c r="W913" s="357">
        <f t="shared" ca="1" si="410"/>
        <v>67.98125330447381</v>
      </c>
      <c r="X913" s="343"/>
      <c r="Y913" s="367" t="str">
        <f t="shared" ca="1" si="428"/>
        <v/>
      </c>
      <c r="Z913" s="368" t="str">
        <f t="shared" ca="1" si="429"/>
        <v/>
      </c>
      <c r="AA913" s="369" t="str">
        <f t="shared" ca="1" si="430"/>
        <v/>
      </c>
      <c r="AB913" s="344"/>
      <c r="AC913" s="363" t="e">
        <f t="shared" ca="1" si="431"/>
        <v>#N/A</v>
      </c>
      <c r="AD913" s="376" t="e">
        <f t="shared" ca="1" si="432"/>
        <v>#N/A</v>
      </c>
      <c r="AE913" s="377" t="e">
        <f t="shared" ca="1" si="411"/>
        <v>#N/A</v>
      </c>
      <c r="AF913" s="344"/>
      <c r="AG913" s="359">
        <f t="shared" ca="1" si="433"/>
        <v>2.7030390818835128</v>
      </c>
      <c r="AH913" s="357">
        <f t="shared" ca="1" si="434"/>
        <v>-7.0185832454135104</v>
      </c>
    </row>
    <row r="914" spans="1:34" x14ac:dyDescent="0.25">
      <c r="A914" s="402">
        <f t="shared" ca="1" si="412"/>
        <v>0.1</v>
      </c>
      <c r="B914" s="357">
        <f t="shared" ca="1" si="413"/>
        <v>46.00000000000032</v>
      </c>
      <c r="C914" s="342"/>
      <c r="D914" s="359">
        <f t="shared" ca="1" si="414"/>
        <v>-0.93895101021603378</v>
      </c>
      <c r="E914" s="360">
        <f t="shared" ca="1" si="415"/>
        <v>-2.8193149479350801</v>
      </c>
      <c r="F914" s="357">
        <f t="shared" ca="1" si="416"/>
        <v>2.9715594853941414</v>
      </c>
      <c r="G914" s="359">
        <f t="shared" ca="1" si="417"/>
        <v>21.336189851405848</v>
      </c>
      <c r="H914" s="360">
        <f t="shared" ca="1" si="418"/>
        <v>-159.83335953676081</v>
      </c>
      <c r="I914" s="357">
        <f t="shared" ca="1" si="419"/>
        <v>161.25115757160532</v>
      </c>
      <c r="J914" s="359">
        <f t="shared" ca="1" si="420"/>
        <v>1723.9967743016541</v>
      </c>
      <c r="K914" s="360">
        <f t="shared" ca="1" si="421"/>
        <v>538.64915326261632</v>
      </c>
      <c r="L914" s="357">
        <f t="shared" ca="1" si="406"/>
        <v>1806.1859782738436</v>
      </c>
      <c r="M914" s="359">
        <f t="shared" ca="1" si="422"/>
        <v>-1.4380906543083201</v>
      </c>
      <c r="N914" s="357">
        <f t="shared" ca="1" si="423"/>
        <v>-82.396525049073801</v>
      </c>
      <c r="O914" s="343"/>
      <c r="P914" s="363">
        <f t="shared" ca="1" si="424"/>
        <v>23</v>
      </c>
      <c r="Q914" s="357">
        <f t="shared" ca="1" si="425"/>
        <v>0</v>
      </c>
      <c r="R914" s="359">
        <f t="shared" ca="1" si="426"/>
        <v>0</v>
      </c>
      <c r="S914" s="360">
        <f t="shared" ca="1" si="427"/>
        <v>9.637999999999975</v>
      </c>
      <c r="T914" s="357">
        <f t="shared" ca="1" si="407"/>
        <v>94.548779999999766</v>
      </c>
      <c r="U914" s="364">
        <f t="shared" ca="1" si="408"/>
        <v>0</v>
      </c>
      <c r="V914" s="359">
        <f t="shared" ca="1" si="409"/>
        <v>1.1607459969423659</v>
      </c>
      <c r="W914" s="357">
        <f t="shared" ca="1" si="410"/>
        <v>68.316010155971796</v>
      </c>
      <c r="X914" s="343"/>
      <c r="Y914" s="367" t="str">
        <f t="shared" ca="1" si="428"/>
        <v/>
      </c>
      <c r="Z914" s="368" t="str">
        <f t="shared" ca="1" si="429"/>
        <v/>
      </c>
      <c r="AA914" s="369" t="str">
        <f t="shared" ca="1" si="430"/>
        <v/>
      </c>
      <c r="AB914" s="344"/>
      <c r="AC914" s="363">
        <f t="shared" ca="1" si="431"/>
        <v>46.00000000000032</v>
      </c>
      <c r="AD914" s="376">
        <f t="shared" ca="1" si="432"/>
        <v>1723.9967743016541</v>
      </c>
      <c r="AE914" s="377" t="e">
        <f t="shared" ca="1" si="411"/>
        <v>#N/A</v>
      </c>
      <c r="AF914" s="344"/>
      <c r="AG914" s="359">
        <f t="shared" ca="1" si="433"/>
        <v>2.6692307393714936</v>
      </c>
      <c r="AH914" s="357">
        <f t="shared" ca="1" si="434"/>
        <v>-7.0534606043239245</v>
      </c>
    </row>
    <row r="915" spans="1:34" x14ac:dyDescent="0.25">
      <c r="A915" s="402">
        <f t="shared" ca="1" si="412"/>
        <v>0.1</v>
      </c>
      <c r="B915" s="357">
        <f t="shared" ca="1" si="413"/>
        <v>46.100000000000321</v>
      </c>
      <c r="C915" s="342"/>
      <c r="D915" s="359">
        <f t="shared" ca="1" si="414"/>
        <v>-0.9378850183784323</v>
      </c>
      <c r="E915" s="360">
        <f t="shared" ca="1" si="415"/>
        <v>-2.7841291959518175</v>
      </c>
      <c r="F915" s="357">
        <f t="shared" ca="1" si="416"/>
        <v>2.9378569889376895</v>
      </c>
      <c r="G915" s="359">
        <f t="shared" ca="1" si="417"/>
        <v>21.242401349568006</v>
      </c>
      <c r="H915" s="360">
        <f t="shared" ca="1" si="418"/>
        <v>-160.11177245635599</v>
      </c>
      <c r="I915" s="357">
        <f t="shared" ca="1" si="419"/>
        <v>161.51476494182211</v>
      </c>
      <c r="J915" s="359">
        <f t="shared" ca="1" si="420"/>
        <v>1726.1257038617027</v>
      </c>
      <c r="K915" s="360">
        <f t="shared" ca="1" si="421"/>
        <v>522.65189666296044</v>
      </c>
      <c r="L915" s="357">
        <f t="shared" ca="1" si="406"/>
        <v>1803.5173829540565</v>
      </c>
      <c r="M915" s="359">
        <f t="shared" ca="1" si="422"/>
        <v>-1.4388943115279649</v>
      </c>
      <c r="N915" s="357">
        <f t="shared" ca="1" si="423"/>
        <v>-82.442571215934663</v>
      </c>
      <c r="O915" s="343"/>
      <c r="P915" s="363">
        <f t="shared" ca="1" si="424"/>
        <v>23</v>
      </c>
      <c r="Q915" s="357">
        <f t="shared" ca="1" si="425"/>
        <v>0</v>
      </c>
      <c r="R915" s="359">
        <f t="shared" ca="1" si="426"/>
        <v>0</v>
      </c>
      <c r="S915" s="360">
        <f t="shared" ca="1" si="427"/>
        <v>9.637999999999975</v>
      </c>
      <c r="T915" s="357">
        <f t="shared" ca="1" si="407"/>
        <v>94.548779999999766</v>
      </c>
      <c r="U915" s="364">
        <f t="shared" ca="1" si="408"/>
        <v>0</v>
      </c>
      <c r="V915" s="359">
        <f t="shared" ca="1" si="409"/>
        <v>1.1626056684451944</v>
      </c>
      <c r="W915" s="357">
        <f t="shared" ca="1" si="410"/>
        <v>68.649363252046996</v>
      </c>
      <c r="X915" s="343"/>
      <c r="Y915" s="367" t="str">
        <f t="shared" ca="1" si="428"/>
        <v/>
      </c>
      <c r="Z915" s="368" t="str">
        <f t="shared" ca="1" si="429"/>
        <v/>
      </c>
      <c r="AA915" s="369" t="str">
        <f t="shared" ca="1" si="430"/>
        <v/>
      </c>
      <c r="AB915" s="344"/>
      <c r="AC915" s="363" t="e">
        <f t="shared" ca="1" si="431"/>
        <v>#N/A</v>
      </c>
      <c r="AD915" s="376" t="e">
        <f t="shared" ca="1" si="432"/>
        <v>#N/A</v>
      </c>
      <c r="AE915" s="377" t="e">
        <f t="shared" ca="1" si="411"/>
        <v>#N/A</v>
      </c>
      <c r="AF915" s="344"/>
      <c r="AG915" s="359">
        <f t="shared" ca="1" si="433"/>
        <v>2.6355521185869861</v>
      </c>
      <c r="AH915" s="357">
        <f t="shared" ca="1" si="434"/>
        <v>-7.0881936248155188</v>
      </c>
    </row>
    <row r="916" spans="1:34" x14ac:dyDescent="0.25">
      <c r="A916" s="402">
        <f t="shared" ca="1" si="412"/>
        <v>0.1</v>
      </c>
      <c r="B916" s="357">
        <f t="shared" ca="1" si="413"/>
        <v>46.200000000000323</v>
      </c>
      <c r="C916" s="342"/>
      <c r="D916" s="359">
        <f t="shared" ca="1" si="414"/>
        <v>-0.93678725114931083</v>
      </c>
      <c r="E916" s="360">
        <f t="shared" ca="1" si="415"/>
        <v>-2.7490907963856941</v>
      </c>
      <c r="F916" s="357">
        <f t="shared" ca="1" si="416"/>
        <v>2.9043192938601661</v>
      </c>
      <c r="G916" s="359">
        <f t="shared" ca="1" si="417"/>
        <v>21.148722624453075</v>
      </c>
      <c r="H916" s="360">
        <f t="shared" ca="1" si="418"/>
        <v>-160.38668153599457</v>
      </c>
      <c r="I916" s="357">
        <f t="shared" ca="1" si="419"/>
        <v>161.77501686841077</v>
      </c>
      <c r="J916" s="359">
        <f t="shared" ca="1" si="420"/>
        <v>1728.2452600604038</v>
      </c>
      <c r="K916" s="360">
        <f t="shared" ca="1" si="421"/>
        <v>506.62697396334289</v>
      </c>
      <c r="L916" s="357">
        <f t="shared" ca="1" si="406"/>
        <v>1800.9726732153674</v>
      </c>
      <c r="M916" s="359">
        <f t="shared" ca="1" si="422"/>
        <v>-1.4396918451116238</v>
      </c>
      <c r="N916" s="357">
        <f t="shared" ca="1" si="423"/>
        <v>-82.488266524298268</v>
      </c>
      <c r="O916" s="343"/>
      <c r="P916" s="363">
        <f t="shared" ca="1" si="424"/>
        <v>23</v>
      </c>
      <c r="Q916" s="357">
        <f t="shared" ca="1" si="425"/>
        <v>0</v>
      </c>
      <c r="R916" s="359">
        <f t="shared" ca="1" si="426"/>
        <v>0</v>
      </c>
      <c r="S916" s="360">
        <f t="shared" ca="1" si="427"/>
        <v>9.637999999999975</v>
      </c>
      <c r="T916" s="357">
        <f t="shared" ca="1" si="407"/>
        <v>94.548779999999766</v>
      </c>
      <c r="U916" s="364">
        <f t="shared" ca="1" si="408"/>
        <v>0</v>
      </c>
      <c r="V916" s="359">
        <f t="shared" ca="1" si="409"/>
        <v>1.1644714651129049</v>
      </c>
      <c r="W916" s="357">
        <f t="shared" ca="1" si="410"/>
        <v>68.981300243227167</v>
      </c>
      <c r="X916" s="343"/>
      <c r="Y916" s="367" t="str">
        <f t="shared" ca="1" si="428"/>
        <v/>
      </c>
      <c r="Z916" s="368" t="str">
        <f t="shared" ca="1" si="429"/>
        <v/>
      </c>
      <c r="AA916" s="369" t="str">
        <f t="shared" ca="1" si="430"/>
        <v/>
      </c>
      <c r="AB916" s="344"/>
      <c r="AC916" s="363" t="e">
        <f t="shared" ca="1" si="431"/>
        <v>#N/A</v>
      </c>
      <c r="AD916" s="376" t="e">
        <f t="shared" ca="1" si="432"/>
        <v>#N/A</v>
      </c>
      <c r="AE916" s="377" t="e">
        <f t="shared" ca="1" si="411"/>
        <v>#N/A</v>
      </c>
      <c r="AF916" s="344"/>
      <c r="AG916" s="359">
        <f t="shared" ca="1" si="433"/>
        <v>2.6020047729758682</v>
      </c>
      <c r="AH916" s="357">
        <f t="shared" ca="1" si="434"/>
        <v>-7.1227809973072391</v>
      </c>
    </row>
    <row r="917" spans="1:34" x14ac:dyDescent="0.25">
      <c r="A917" s="402">
        <f t="shared" ca="1" si="412"/>
        <v>0.1</v>
      </c>
      <c r="B917" s="357">
        <f t="shared" ca="1" si="413"/>
        <v>46.300000000000324</v>
      </c>
      <c r="C917" s="342"/>
      <c r="D917" s="359">
        <f t="shared" ca="1" si="414"/>
        <v>-0.93565801405146309</v>
      </c>
      <c r="E917" s="360">
        <f t="shared" ca="1" si="415"/>
        <v>-2.7142010436715944</v>
      </c>
      <c r="F917" s="357">
        <f t="shared" ca="1" si="416"/>
        <v>2.870948140375702</v>
      </c>
      <c r="G917" s="359">
        <f t="shared" ca="1" si="417"/>
        <v>21.05515682304793</v>
      </c>
      <c r="H917" s="360">
        <f t="shared" ca="1" si="418"/>
        <v>-160.65810164036174</v>
      </c>
      <c r="I917" s="357">
        <f t="shared" ca="1" si="419"/>
        <v>162.0319266426464</v>
      </c>
      <c r="J917" s="359">
        <f t="shared" ca="1" si="420"/>
        <v>1730.3554540327789</v>
      </c>
      <c r="K917" s="360">
        <f t="shared" ca="1" si="421"/>
        <v>490.57473480452506</v>
      </c>
      <c r="L917" s="357">
        <f t="shared" ca="1" si="406"/>
        <v>1798.5531873507423</v>
      </c>
      <c r="M917" s="359">
        <f t="shared" ca="1" si="422"/>
        <v>-1.4404833272969204</v>
      </c>
      <c r="N917" s="357">
        <f t="shared" ca="1" si="423"/>
        <v>-82.533615113075555</v>
      </c>
      <c r="O917" s="343"/>
      <c r="P917" s="363">
        <f t="shared" ca="1" si="424"/>
        <v>23</v>
      </c>
      <c r="Q917" s="357">
        <f t="shared" ca="1" si="425"/>
        <v>0</v>
      </c>
      <c r="R917" s="359">
        <f t="shared" ca="1" si="426"/>
        <v>0</v>
      </c>
      <c r="S917" s="360">
        <f t="shared" ca="1" si="427"/>
        <v>9.637999999999975</v>
      </c>
      <c r="T917" s="357">
        <f t="shared" ca="1" si="407"/>
        <v>94.548779999999766</v>
      </c>
      <c r="U917" s="364">
        <f t="shared" ca="1" si="408"/>
        <v>0</v>
      </c>
      <c r="V917" s="359">
        <f t="shared" ca="1" si="409"/>
        <v>1.1663433680691457</v>
      </c>
      <c r="W917" s="357">
        <f t="shared" ca="1" si="410"/>
        <v>69.311809051633318</v>
      </c>
      <c r="X917" s="343"/>
      <c r="Y917" s="367" t="str">
        <f t="shared" ca="1" si="428"/>
        <v/>
      </c>
      <c r="Z917" s="368" t="str">
        <f t="shared" ca="1" si="429"/>
        <v/>
      </c>
      <c r="AA917" s="369" t="str">
        <f t="shared" ca="1" si="430"/>
        <v/>
      </c>
      <c r="AB917" s="344"/>
      <c r="AC917" s="363" t="e">
        <f t="shared" ca="1" si="431"/>
        <v>#N/A</v>
      </c>
      <c r="AD917" s="376" t="e">
        <f t="shared" ca="1" si="432"/>
        <v>#N/A</v>
      </c>
      <c r="AE917" s="377" t="e">
        <f t="shared" ca="1" si="411"/>
        <v>#N/A</v>
      </c>
      <c r="AF917" s="344"/>
      <c r="AG917" s="359">
        <f t="shared" ca="1" si="433"/>
        <v>2.5685902227010615</v>
      </c>
      <c r="AH917" s="357">
        <f t="shared" ca="1" si="434"/>
        <v>-7.157221440467664</v>
      </c>
    </row>
    <row r="918" spans="1:34" x14ac:dyDescent="0.25">
      <c r="A918" s="402">
        <f t="shared" ca="1" si="412"/>
        <v>0.1</v>
      </c>
      <c r="B918" s="357">
        <f t="shared" ca="1" si="413"/>
        <v>46.400000000000325</v>
      </c>
      <c r="C918" s="342"/>
      <c r="D918" s="359">
        <f t="shared" ca="1" si="414"/>
        <v>-0.93449761358850958</v>
      </c>
      <c r="E918" s="360">
        <f t="shared" ca="1" si="415"/>
        <v>-2.6794612038114094</v>
      </c>
      <c r="F918" s="357">
        <f t="shared" ca="1" si="416"/>
        <v>2.8377452550454749</v>
      </c>
      <c r="G918" s="359">
        <f t="shared" ca="1" si="417"/>
        <v>20.961707061689079</v>
      </c>
      <c r="H918" s="360">
        <f t="shared" ca="1" si="418"/>
        <v>-160.92604776074288</v>
      </c>
      <c r="I918" s="357">
        <f t="shared" ca="1" si="419"/>
        <v>162.28550770427088</v>
      </c>
      <c r="J918" s="359">
        <f t="shared" ca="1" si="420"/>
        <v>1732.4562972270157</v>
      </c>
      <c r="K918" s="360">
        <f t="shared" ca="1" si="421"/>
        <v>474.49552733446984</v>
      </c>
      <c r="L918" s="357">
        <f t="shared" ca="1" si="406"/>
        <v>1796.2602337250464</v>
      </c>
      <c r="M918" s="359">
        <f t="shared" ca="1" si="422"/>
        <v>-1.4412688291211664</v>
      </c>
      <c r="N918" s="357">
        <f t="shared" ca="1" si="423"/>
        <v>-82.578621052404671</v>
      </c>
      <c r="O918" s="343"/>
      <c r="P918" s="363">
        <f t="shared" ca="1" si="424"/>
        <v>23</v>
      </c>
      <c r="Q918" s="357">
        <f t="shared" ca="1" si="425"/>
        <v>0</v>
      </c>
      <c r="R918" s="359">
        <f t="shared" ca="1" si="426"/>
        <v>0</v>
      </c>
      <c r="S918" s="360">
        <f t="shared" ca="1" si="427"/>
        <v>9.637999999999975</v>
      </c>
      <c r="T918" s="357">
        <f t="shared" ca="1" si="407"/>
        <v>94.548779999999766</v>
      </c>
      <c r="U918" s="364">
        <f t="shared" ca="1" si="408"/>
        <v>0</v>
      </c>
      <c r="V918" s="359">
        <f t="shared" ca="1" si="409"/>
        <v>1.1682213584741348</v>
      </c>
      <c r="W918" s="357">
        <f t="shared" ca="1" si="410"/>
        <v>69.640877870251771</v>
      </c>
      <c r="X918" s="343"/>
      <c r="Y918" s="367" t="str">
        <f t="shared" ca="1" si="428"/>
        <v/>
      </c>
      <c r="Z918" s="368" t="str">
        <f t="shared" ca="1" si="429"/>
        <v/>
      </c>
      <c r="AA918" s="369" t="str">
        <f t="shared" ca="1" si="430"/>
        <v/>
      </c>
      <c r="AB918" s="344"/>
      <c r="AC918" s="363" t="e">
        <f t="shared" ca="1" si="431"/>
        <v>#N/A</v>
      </c>
      <c r="AD918" s="376" t="e">
        <f t="shared" ca="1" si="432"/>
        <v>#N/A</v>
      </c>
      <c r="AE918" s="377" t="e">
        <f t="shared" ca="1" si="411"/>
        <v>#N/A</v>
      </c>
      <c r="AF918" s="344"/>
      <c r="AG918" s="359">
        <f t="shared" ca="1" si="433"/>
        <v>2.5353099548366886</v>
      </c>
      <c r="AH918" s="357">
        <f t="shared" ca="1" si="434"/>
        <v>-7.1915137011447916</v>
      </c>
    </row>
    <row r="919" spans="1:34" x14ac:dyDescent="0.25">
      <c r="A919" s="402">
        <f t="shared" ca="1" si="412"/>
        <v>0.1</v>
      </c>
      <c r="B919" s="357">
        <f t="shared" ca="1" si="413"/>
        <v>46.500000000000327</v>
      </c>
      <c r="C919" s="342"/>
      <c r="D919" s="359">
        <f t="shared" ca="1" si="414"/>
        <v>-0.93330635718512456</v>
      </c>
      <c r="E919" s="360">
        <f t="shared" ca="1" si="415"/>
        <v>-2.6448725144489389</v>
      </c>
      <c r="F919" s="357">
        <f t="shared" ca="1" si="416"/>
        <v>2.8047123513917822</v>
      </c>
      <c r="G919" s="359">
        <f t="shared" ca="1" si="417"/>
        <v>20.868376425970567</v>
      </c>
      <c r="H919" s="360">
        <f t="shared" ca="1" si="418"/>
        <v>-161.19053501218778</v>
      </c>
      <c r="I919" s="357">
        <f t="shared" ca="1" si="419"/>
        <v>162.53577363820969</v>
      </c>
      <c r="J919" s="359">
        <f t="shared" ca="1" si="420"/>
        <v>1734.5478014013988</v>
      </c>
      <c r="K919" s="360">
        <f t="shared" ca="1" si="421"/>
        <v>458.38969819582331</v>
      </c>
      <c r="L919" s="357">
        <f t="shared" ca="1" si="406"/>
        <v>1794.0950896645597</v>
      </c>
      <c r="M919" s="359">
        <f t="shared" ca="1" si="422"/>
        <v>-1.4420484204457045</v>
      </c>
      <c r="N919" s="357">
        <f t="shared" ca="1" si="423"/>
        <v>-82.623288345045722</v>
      </c>
      <c r="O919" s="343"/>
      <c r="P919" s="363">
        <f t="shared" ca="1" si="424"/>
        <v>23</v>
      </c>
      <c r="Q919" s="357">
        <f t="shared" ca="1" si="425"/>
        <v>0</v>
      </c>
      <c r="R919" s="359">
        <f t="shared" ca="1" si="426"/>
        <v>0</v>
      </c>
      <c r="S919" s="360">
        <f t="shared" ca="1" si="427"/>
        <v>9.637999999999975</v>
      </c>
      <c r="T919" s="357">
        <f t="shared" ca="1" si="407"/>
        <v>94.548779999999766</v>
      </c>
      <c r="U919" s="364">
        <f t="shared" ca="1" si="408"/>
        <v>0</v>
      </c>
      <c r="V919" s="359">
        <f t="shared" ca="1" si="409"/>
        <v>1.1701054175256613</v>
      </c>
      <c r="W919" s="357">
        <f t="shared" ca="1" si="410"/>
        <v>69.968495162155918</v>
      </c>
      <c r="X919" s="343"/>
      <c r="Y919" s="367" t="str">
        <f t="shared" ca="1" si="428"/>
        <v/>
      </c>
      <c r="Z919" s="368" t="str">
        <f t="shared" ca="1" si="429"/>
        <v/>
      </c>
      <c r="AA919" s="369" t="str">
        <f t="shared" ca="1" si="430"/>
        <v/>
      </c>
      <c r="AB919" s="344"/>
      <c r="AC919" s="363" t="e">
        <f t="shared" ca="1" si="431"/>
        <v>#N/A</v>
      </c>
      <c r="AD919" s="376" t="e">
        <f t="shared" ca="1" si="432"/>
        <v>#N/A</v>
      </c>
      <c r="AE919" s="377" t="e">
        <f t="shared" ca="1" si="411"/>
        <v>#N/A</v>
      </c>
      <c r="AF919" s="344"/>
      <c r="AG919" s="359">
        <f t="shared" ca="1" si="433"/>
        <v>2.5021654235640236</v>
      </c>
      <c r="AH919" s="357">
        <f t="shared" ca="1" si="434"/>
        <v>-7.225656554290512</v>
      </c>
    </row>
    <row r="920" spans="1:34" x14ac:dyDescent="0.25">
      <c r="A920" s="402">
        <f t="shared" ca="1" si="412"/>
        <v>0.1</v>
      </c>
      <c r="B920" s="357">
        <f t="shared" ca="1" si="413"/>
        <v>46.600000000000328</v>
      </c>
      <c r="C920" s="342"/>
      <c r="D920" s="359">
        <f t="shared" ca="1" si="414"/>
        <v>-0.93208455312774763</v>
      </c>
      <c r="E920" s="360">
        <f t="shared" ca="1" si="415"/>
        <v>-2.6104361849501165</v>
      </c>
      <c r="F920" s="357">
        <f t="shared" ca="1" si="416"/>
        <v>2.7718511305400715</v>
      </c>
      <c r="G920" s="359">
        <f t="shared" ca="1" si="417"/>
        <v>20.77516797065779</v>
      </c>
      <c r="H920" s="360">
        <f t="shared" ca="1" si="418"/>
        <v>-161.4515786306828</v>
      </c>
      <c r="I920" s="357">
        <f t="shared" ca="1" si="419"/>
        <v>162.78273817130795</v>
      </c>
      <c r="J920" s="359">
        <f t="shared" ca="1" si="420"/>
        <v>1736.6299786212303</v>
      </c>
      <c r="K920" s="360">
        <f t="shared" ca="1" si="421"/>
        <v>442.25759251367981</v>
      </c>
      <c r="L920" s="357">
        <f t="shared" ca="1" si="406"/>
        <v>1792.059000362982</v>
      </c>
      <c r="M920" s="359">
        <f t="shared" ca="1" si="422"/>
        <v>-1.4428221699796695</v>
      </c>
      <c r="N920" s="357">
        <f t="shared" ca="1" si="423"/>
        <v>-82.667620927742135</v>
      </c>
      <c r="O920" s="343"/>
      <c r="P920" s="363">
        <f t="shared" ca="1" si="424"/>
        <v>23</v>
      </c>
      <c r="Q920" s="357">
        <f t="shared" ca="1" si="425"/>
        <v>0</v>
      </c>
      <c r="R920" s="359">
        <f t="shared" ca="1" si="426"/>
        <v>0</v>
      </c>
      <c r="S920" s="360">
        <f t="shared" ca="1" si="427"/>
        <v>9.637999999999975</v>
      </c>
      <c r="T920" s="357">
        <f t="shared" ca="1" si="407"/>
        <v>94.548779999999766</v>
      </c>
      <c r="U920" s="364">
        <f t="shared" ca="1" si="408"/>
        <v>0</v>
      </c>
      <c r="V920" s="359">
        <f t="shared" ca="1" si="409"/>
        <v>1.1719955264600852</v>
      </c>
      <c r="W920" s="357">
        <f t="shared" ca="1" si="410"/>
        <v>70.294649659678598</v>
      </c>
      <c r="X920" s="343"/>
      <c r="Y920" s="367" t="str">
        <f t="shared" ca="1" si="428"/>
        <v/>
      </c>
      <c r="Z920" s="368" t="str">
        <f t="shared" ca="1" si="429"/>
        <v/>
      </c>
      <c r="AA920" s="369" t="str">
        <f t="shared" ca="1" si="430"/>
        <v/>
      </c>
      <c r="AB920" s="344"/>
      <c r="AC920" s="363" t="e">
        <f t="shared" ca="1" si="431"/>
        <v>#N/A</v>
      </c>
      <c r="AD920" s="376" t="e">
        <f t="shared" ca="1" si="432"/>
        <v>#N/A</v>
      </c>
      <c r="AE920" s="377" t="e">
        <f t="shared" ca="1" si="411"/>
        <v>#N/A</v>
      </c>
      <c r="AF920" s="344"/>
      <c r="AG920" s="359">
        <f t="shared" ca="1" si="433"/>
        <v>2.4691580503692609</v>
      </c>
      <c r="AH920" s="357">
        <f t="shared" ca="1" si="434"/>
        <v>-7.2596488028798607</v>
      </c>
    </row>
    <row r="921" spans="1:34" x14ac:dyDescent="0.25">
      <c r="A921" s="402">
        <f t="shared" ca="1" si="412"/>
        <v>0.1</v>
      </c>
      <c r="B921" s="357">
        <f t="shared" ca="1" si="413"/>
        <v>46.70000000000033</v>
      </c>
      <c r="C921" s="342"/>
      <c r="D921" s="359">
        <f t="shared" ca="1" si="414"/>
        <v>-0.93083251050581284</v>
      </c>
      <c r="E921" s="360">
        <f t="shared" ca="1" si="415"/>
        <v>-2.576153396488432</v>
      </c>
      <c r="F921" s="357">
        <f t="shared" ca="1" si="416"/>
        <v>2.7391632818898253</v>
      </c>
      <c r="G921" s="359">
        <f t="shared" ca="1" si="417"/>
        <v>20.682084719607207</v>
      </c>
      <c r="H921" s="360">
        <f t="shared" ca="1" si="418"/>
        <v>-161.70919397033165</v>
      </c>
      <c r="I921" s="357">
        <f t="shared" ca="1" si="419"/>
        <v>163.0264151690865</v>
      </c>
      <c r="J921" s="359">
        <f t="shared" ca="1" si="420"/>
        <v>1738.7028412557436</v>
      </c>
      <c r="K921" s="360">
        <f t="shared" ca="1" si="421"/>
        <v>426.09955388362908</v>
      </c>
      <c r="L921" s="357">
        <f t="shared" ca="1" si="406"/>
        <v>1790.1531778064757</v>
      </c>
      <c r="M921" s="359">
        <f t="shared" ca="1" si="422"/>
        <v>-1.4435901453031887</v>
      </c>
      <c r="N921" s="357">
        <f t="shared" ca="1" si="423"/>
        <v>-82.711622672549979</v>
      </c>
      <c r="O921" s="343"/>
      <c r="P921" s="363">
        <f t="shared" ca="1" si="424"/>
        <v>23</v>
      </c>
      <c r="Q921" s="357">
        <f t="shared" ca="1" si="425"/>
        <v>0</v>
      </c>
      <c r="R921" s="359">
        <f t="shared" ca="1" si="426"/>
        <v>0</v>
      </c>
      <c r="S921" s="360">
        <f t="shared" ca="1" si="427"/>
        <v>9.637999999999975</v>
      </c>
      <c r="T921" s="357">
        <f t="shared" ca="1" si="407"/>
        <v>94.548779999999766</v>
      </c>
      <c r="U921" s="364">
        <f t="shared" ca="1" si="408"/>
        <v>0</v>
      </c>
      <c r="V921" s="359">
        <f t="shared" ca="1" si="409"/>
        <v>1.1738916665533239</v>
      </c>
      <c r="W921" s="357">
        <f t="shared" ca="1" si="410"/>
        <v>70.619330363535411</v>
      </c>
      <c r="X921" s="343"/>
      <c r="Y921" s="367" t="str">
        <f t="shared" ca="1" si="428"/>
        <v/>
      </c>
      <c r="Z921" s="368" t="str">
        <f t="shared" ca="1" si="429"/>
        <v/>
      </c>
      <c r="AA921" s="369" t="str">
        <f t="shared" ca="1" si="430"/>
        <v/>
      </c>
      <c r="AB921" s="344"/>
      <c r="AC921" s="363" t="e">
        <f t="shared" ca="1" si="431"/>
        <v>#N/A</v>
      </c>
      <c r="AD921" s="376" t="e">
        <f t="shared" ca="1" si="432"/>
        <v>#N/A</v>
      </c>
      <c r="AE921" s="377" t="e">
        <f t="shared" ca="1" si="411"/>
        <v>#N/A</v>
      </c>
      <c r="AF921" s="344"/>
      <c r="AG921" s="359">
        <f t="shared" ca="1" si="433"/>
        <v>2.4362892242431116</v>
      </c>
      <c r="AH921" s="357">
        <f t="shared" ca="1" si="434"/>
        <v>-7.2934892778251488</v>
      </c>
    </row>
    <row r="922" spans="1:34" x14ac:dyDescent="0.25">
      <c r="A922" s="402">
        <f t="shared" ca="1" si="412"/>
        <v>0.1</v>
      </c>
      <c r="B922" s="357">
        <f t="shared" ca="1" si="413"/>
        <v>46.800000000000331</v>
      </c>
      <c r="C922" s="342"/>
      <c r="D922" s="359">
        <f t="shared" ca="1" si="414"/>
        <v>-0.92955053915346553</v>
      </c>
      <c r="E922" s="360">
        <f t="shared" ca="1" si="415"/>
        <v>-2.5420253021355474</v>
      </c>
      <c r="F922" s="357">
        <f t="shared" ca="1" si="416"/>
        <v>2.7066504838153409</v>
      </c>
      <c r="G922" s="359">
        <f t="shared" ca="1" si="417"/>
        <v>20.589129665691861</v>
      </c>
      <c r="H922" s="360">
        <f t="shared" ca="1" si="418"/>
        <v>-161.9633965005452</v>
      </c>
      <c r="I922" s="357">
        <f t="shared" ca="1" si="419"/>
        <v>163.2668186325179</v>
      </c>
      <c r="J922" s="359">
        <f t="shared" ca="1" si="420"/>
        <v>1740.7664019750084</v>
      </c>
      <c r="K922" s="360">
        <f t="shared" ca="1" si="421"/>
        <v>409.91592436008523</v>
      </c>
      <c r="L922" s="357">
        <f t="shared" ca="1" si="406"/>
        <v>1788.3787997202942</v>
      </c>
      <c r="M922" s="359">
        <f t="shared" ca="1" si="422"/>
        <v>-1.4443524128900316</v>
      </c>
      <c r="N922" s="357">
        <f t="shared" ca="1" si="423"/>
        <v>-82.755297388135688</v>
      </c>
      <c r="O922" s="343"/>
      <c r="P922" s="363">
        <f t="shared" ca="1" si="424"/>
        <v>23</v>
      </c>
      <c r="Q922" s="357">
        <f t="shared" ca="1" si="425"/>
        <v>0</v>
      </c>
      <c r="R922" s="359">
        <f t="shared" ca="1" si="426"/>
        <v>0</v>
      </c>
      <c r="S922" s="360">
        <f t="shared" ca="1" si="427"/>
        <v>9.637999999999975</v>
      </c>
      <c r="T922" s="357">
        <f t="shared" ca="1" si="407"/>
        <v>94.548779999999766</v>
      </c>
      <c r="U922" s="364">
        <f t="shared" ca="1" si="408"/>
        <v>0</v>
      </c>
      <c r="V922" s="359">
        <f t="shared" ca="1" si="409"/>
        <v>1.1757938191218349</v>
      </c>
      <c r="W922" s="357">
        <f t="shared" ca="1" si="410"/>
        <v>70.942526541900094</v>
      </c>
      <c r="X922" s="343"/>
      <c r="Y922" s="367" t="str">
        <f t="shared" ca="1" si="428"/>
        <v/>
      </c>
      <c r="Z922" s="368" t="str">
        <f t="shared" ca="1" si="429"/>
        <v/>
      </c>
      <c r="AA922" s="369" t="str">
        <f t="shared" ca="1" si="430"/>
        <v/>
      </c>
      <c r="AB922" s="344"/>
      <c r="AC922" s="363" t="e">
        <f t="shared" ca="1" si="431"/>
        <v>#N/A</v>
      </c>
      <c r="AD922" s="376" t="e">
        <f t="shared" ca="1" si="432"/>
        <v>#N/A</v>
      </c>
      <c r="AE922" s="377" t="e">
        <f t="shared" ca="1" si="411"/>
        <v>#N/A</v>
      </c>
      <c r="AF922" s="344"/>
      <c r="AG922" s="359">
        <f t="shared" ca="1" si="433"/>
        <v>2.4035603018823082</v>
      </c>
      <c r="AH922" s="357">
        <f t="shared" ca="1" si="434"/>
        <v>-7.3271768378849966</v>
      </c>
    </row>
    <row r="923" spans="1:34" x14ac:dyDescent="0.25">
      <c r="A923" s="402">
        <f t="shared" ca="1" si="412"/>
        <v>0.1</v>
      </c>
      <c r="B923" s="357">
        <f t="shared" ca="1" si="413"/>
        <v>46.900000000000333</v>
      </c>
      <c r="C923" s="342"/>
      <c r="D923" s="359">
        <f t="shared" ca="1" si="414"/>
        <v>-0.92823894959181896</v>
      </c>
      <c r="E923" s="360">
        <f t="shared" ca="1" si="415"/>
        <v>-2.5080530269569534</v>
      </c>
      <c r="F923" s="357">
        <f t="shared" ca="1" si="416"/>
        <v>2.6743144043973701</v>
      </c>
      <c r="G923" s="359">
        <f t="shared" ca="1" si="417"/>
        <v>20.496305770732679</v>
      </c>
      <c r="H923" s="360">
        <f t="shared" ca="1" si="418"/>
        <v>-162.21420180324088</v>
      </c>
      <c r="I923" s="357">
        <f t="shared" ca="1" si="419"/>
        <v>163.50396269482258</v>
      </c>
      <c r="J923" s="359">
        <f t="shared" ca="1" si="420"/>
        <v>1742.8206737468297</v>
      </c>
      <c r="K923" s="360">
        <f t="shared" ca="1" si="421"/>
        <v>393.70704444489593</v>
      </c>
      <c r="L923" s="357">
        <f t="shared" ca="1" si="406"/>
        <v>1786.737008539558</v>
      </c>
      <c r="M923" s="359">
        <f t="shared" ca="1" si="422"/>
        <v>-1.4451090381297276</v>
      </c>
      <c r="N923" s="357">
        <f t="shared" ca="1" si="423"/>
        <v>-82.798648821043344</v>
      </c>
      <c r="O923" s="343"/>
      <c r="P923" s="363">
        <f t="shared" ca="1" si="424"/>
        <v>23</v>
      </c>
      <c r="Q923" s="357">
        <f t="shared" ca="1" si="425"/>
        <v>0</v>
      </c>
      <c r="R923" s="359">
        <f t="shared" ca="1" si="426"/>
        <v>0</v>
      </c>
      <c r="S923" s="360">
        <f t="shared" ca="1" si="427"/>
        <v>9.637999999999975</v>
      </c>
      <c r="T923" s="357">
        <f t="shared" ca="1" si="407"/>
        <v>94.548779999999766</v>
      </c>
      <c r="U923" s="364">
        <f t="shared" ca="1" si="408"/>
        <v>0</v>
      </c>
      <c r="V923" s="359">
        <f t="shared" ca="1" si="409"/>
        <v>1.1777019655235885</v>
      </c>
      <c r="W923" s="357">
        <f t="shared" ca="1" si="410"/>
        <v>71.264227729432704</v>
      </c>
      <c r="X923" s="343"/>
      <c r="Y923" s="367" t="str">
        <f t="shared" ca="1" si="428"/>
        <v/>
      </c>
      <c r="Z923" s="368" t="str">
        <f t="shared" ca="1" si="429"/>
        <v/>
      </c>
      <c r="AA923" s="369" t="str">
        <f t="shared" ca="1" si="430"/>
        <v/>
      </c>
      <c r="AB923" s="344"/>
      <c r="AC923" s="363" t="e">
        <f t="shared" ca="1" si="431"/>
        <v>#N/A</v>
      </c>
      <c r="AD923" s="376" t="e">
        <f t="shared" ca="1" si="432"/>
        <v>#N/A</v>
      </c>
      <c r="AE923" s="377" t="e">
        <f t="shared" ca="1" si="411"/>
        <v>#N/A</v>
      </c>
      <c r="AF923" s="344"/>
      <c r="AG923" s="359">
        <f t="shared" ca="1" si="433"/>
        <v>2.3709726078929743</v>
      </c>
      <c r="AH923" s="357">
        <f t="shared" ca="1" si="434"/>
        <v>-7.3607103695684044</v>
      </c>
    </row>
    <row r="924" spans="1:34" x14ac:dyDescent="0.25">
      <c r="A924" s="402">
        <f t="shared" ca="1" si="412"/>
        <v>0.1</v>
      </c>
      <c r="B924" s="357">
        <f t="shared" ca="1" si="413"/>
        <v>47.000000000000334</v>
      </c>
      <c r="C924" s="342"/>
      <c r="D924" s="359">
        <f t="shared" ca="1" si="414"/>
        <v>-0.92689805297172712</v>
      </c>
      <c r="E924" s="360">
        <f t="shared" ca="1" si="415"/>
        <v>-2.474237668112611</v>
      </c>
      <c r="F924" s="357">
        <f t="shared" ca="1" si="416"/>
        <v>2.6421567021867021</v>
      </c>
      <c r="G924" s="359">
        <f t="shared" ca="1" si="417"/>
        <v>20.403615965435506</v>
      </c>
      <c r="H924" s="360">
        <f t="shared" ca="1" si="418"/>
        <v>-162.46162557005215</v>
      </c>
      <c r="I924" s="357">
        <f t="shared" ca="1" si="419"/>
        <v>163.73786161828545</v>
      </c>
      <c r="J924" s="359">
        <f t="shared" ca="1" si="420"/>
        <v>1744.8656698336381</v>
      </c>
      <c r="K924" s="360">
        <f t="shared" ca="1" si="421"/>
        <v>377.47325307623129</v>
      </c>
      <c r="L924" s="357">
        <f t="shared" ca="1" si="406"/>
        <v>1785.2289104067138</v>
      </c>
      <c r="M924" s="359">
        <f t="shared" ca="1" si="422"/>
        <v>-1.4458600853491652</v>
      </c>
      <c r="N924" s="357">
        <f t="shared" ca="1" si="423"/>
        <v>-82.841680656932155</v>
      </c>
      <c r="O924" s="343"/>
      <c r="P924" s="363">
        <f t="shared" ca="1" si="424"/>
        <v>23</v>
      </c>
      <c r="Q924" s="357">
        <f t="shared" ca="1" si="425"/>
        <v>0</v>
      </c>
      <c r="R924" s="359">
        <f t="shared" ca="1" si="426"/>
        <v>0</v>
      </c>
      <c r="S924" s="360">
        <f t="shared" ca="1" si="427"/>
        <v>9.637999999999975</v>
      </c>
      <c r="T924" s="357">
        <f t="shared" ca="1" si="407"/>
        <v>94.548779999999766</v>
      </c>
      <c r="U924" s="364">
        <f t="shared" ca="1" si="408"/>
        <v>0</v>
      </c>
      <c r="V924" s="359">
        <f t="shared" ca="1" si="409"/>
        <v>1.1796160871590324</v>
      </c>
      <c r="W924" s="357">
        <f t="shared" ca="1" si="410"/>
        <v>71.584423726261164</v>
      </c>
      <c r="X924" s="343"/>
      <c r="Y924" s="367" t="str">
        <f t="shared" ca="1" si="428"/>
        <v/>
      </c>
      <c r="Z924" s="368" t="str">
        <f t="shared" ca="1" si="429"/>
        <v/>
      </c>
      <c r="AA924" s="369" t="str">
        <f t="shared" ca="1" si="430"/>
        <v/>
      </c>
      <c r="AB924" s="344"/>
      <c r="AC924" s="363">
        <f t="shared" ca="1" si="431"/>
        <v>47.000000000000334</v>
      </c>
      <c r="AD924" s="376">
        <f t="shared" ca="1" si="432"/>
        <v>1744.8656698336381</v>
      </c>
      <c r="AE924" s="377" t="e">
        <f t="shared" ca="1" si="411"/>
        <v>#N/A</v>
      </c>
      <c r="AF924" s="344"/>
      <c r="AG924" s="359">
        <f t="shared" ca="1" si="433"/>
        <v>2.3385274349959326</v>
      </c>
      <c r="AH924" s="357">
        <f t="shared" ca="1" si="434"/>
        <v>-7.3940887870339163</v>
      </c>
    </row>
    <row r="925" spans="1:34" x14ac:dyDescent="0.25">
      <c r="A925" s="402">
        <f t="shared" ca="1" si="412"/>
        <v>0.1</v>
      </c>
      <c r="B925" s="357">
        <f t="shared" ca="1" si="413"/>
        <v>47.100000000000335</v>
      </c>
      <c r="C925" s="342"/>
      <c r="D925" s="359">
        <f t="shared" ca="1" si="414"/>
        <v>-0.92552816101709334</v>
      </c>
      <c r="E925" s="360">
        <f t="shared" ca="1" si="415"/>
        <v>-2.4405802949625093</v>
      </c>
      <c r="F925" s="357">
        <f t="shared" ca="1" si="416"/>
        <v>2.6101790270008243</v>
      </c>
      <c r="G925" s="359">
        <f t="shared" ca="1" si="417"/>
        <v>20.311063149333798</v>
      </c>
      <c r="H925" s="360">
        <f t="shared" ca="1" si="418"/>
        <v>-162.70568359954839</v>
      </c>
      <c r="I925" s="357">
        <f t="shared" ca="1" si="419"/>
        <v>163.96852979109309</v>
      </c>
      <c r="J925" s="359">
        <f t="shared" ca="1" si="420"/>
        <v>1746.9014037893767</v>
      </c>
      <c r="K925" s="360">
        <f t="shared" ca="1" si="421"/>
        <v>361.21488761775129</v>
      </c>
      <c r="L925" s="357">
        <f t="shared" ca="1" si="406"/>
        <v>1783.8555741982027</v>
      </c>
      <c r="M925" s="359">
        <f t="shared" ca="1" si="422"/>
        <v>-1.4466056178336866</v>
      </c>
      <c r="N925" s="357">
        <f t="shared" ca="1" si="423"/>
        <v>-82.884396521785135</v>
      </c>
      <c r="O925" s="343"/>
      <c r="P925" s="363">
        <f t="shared" ca="1" si="424"/>
        <v>23</v>
      </c>
      <c r="Q925" s="357">
        <f t="shared" ca="1" si="425"/>
        <v>0</v>
      </c>
      <c r="R925" s="359">
        <f t="shared" ca="1" si="426"/>
        <v>0</v>
      </c>
      <c r="S925" s="360">
        <f t="shared" ca="1" si="427"/>
        <v>9.637999999999975</v>
      </c>
      <c r="T925" s="357">
        <f t="shared" ca="1" si="407"/>
        <v>94.548779999999766</v>
      </c>
      <c r="U925" s="364">
        <f t="shared" ca="1" si="408"/>
        <v>0</v>
      </c>
      <c r="V925" s="359">
        <f t="shared" ca="1" si="409"/>
        <v>1.181536165472048</v>
      </c>
      <c r="W925" s="357">
        <f t="shared" ca="1" si="410"/>
        <v>71.903104596917146</v>
      </c>
      <c r="X925" s="343"/>
      <c r="Y925" s="367" t="str">
        <f t="shared" ca="1" si="428"/>
        <v/>
      </c>
      <c r="Z925" s="368" t="str">
        <f t="shared" ca="1" si="429"/>
        <v/>
      </c>
      <c r="AA925" s="369" t="str">
        <f t="shared" ca="1" si="430"/>
        <v/>
      </c>
      <c r="AB925" s="344"/>
      <c r="AC925" s="363" t="e">
        <f t="shared" ca="1" si="431"/>
        <v>#N/A</v>
      </c>
      <c r="AD925" s="376" t="e">
        <f t="shared" ca="1" si="432"/>
        <v>#N/A</v>
      </c>
      <c r="AE925" s="377" t="e">
        <f t="shared" ca="1" si="411"/>
        <v>#N/A</v>
      </c>
      <c r="AF925" s="344"/>
      <c r="AG925" s="359">
        <f t="shared" ca="1" si="433"/>
        <v>2.306226044233914</v>
      </c>
      <c r="AH925" s="357">
        <f t="shared" ca="1" si="434"/>
        <v>-7.4273110319839537</v>
      </c>
    </row>
    <row r="926" spans="1:34" x14ac:dyDescent="0.25">
      <c r="A926" s="402">
        <f t="shared" ca="1" si="412"/>
        <v>0.1</v>
      </c>
      <c r="B926" s="357">
        <f t="shared" ca="1" si="413"/>
        <v>47.200000000000337</v>
      </c>
      <c r="C926" s="342"/>
      <c r="D926" s="359">
        <f t="shared" ca="1" si="414"/>
        <v>-0.92412958596871864</v>
      </c>
      <c r="E926" s="360">
        <f t="shared" ca="1" si="415"/>
        <v>-2.4070819491770488</v>
      </c>
      <c r="F926" s="357">
        <f t="shared" ca="1" si="416"/>
        <v>2.5783830207548095</v>
      </c>
      <c r="G926" s="359">
        <f t="shared" ca="1" si="417"/>
        <v>20.218650190736927</v>
      </c>
      <c r="H926" s="360">
        <f t="shared" ca="1" si="418"/>
        <v>-162.94639179446611</v>
      </c>
      <c r="I926" s="357">
        <f t="shared" ca="1" si="419"/>
        <v>164.19598172419154</v>
      </c>
      <c r="J926" s="359">
        <f t="shared" ca="1" si="420"/>
        <v>1748.9278894563802</v>
      </c>
      <c r="K926" s="360">
        <f t="shared" ca="1" si="421"/>
        <v>344.93228384805059</v>
      </c>
      <c r="L926" s="357">
        <f t="shared" ca="1" si="406"/>
        <v>1782.6180305828225</v>
      </c>
      <c r="M926" s="359">
        <f t="shared" ca="1" si="422"/>
        <v>-1.44734569784769</v>
      </c>
      <c r="N926" s="357">
        <f t="shared" ca="1" si="423"/>
        <v>-82.926799983089509</v>
      </c>
      <c r="O926" s="343"/>
      <c r="P926" s="363">
        <f t="shared" ca="1" si="424"/>
        <v>23</v>
      </c>
      <c r="Q926" s="357">
        <f t="shared" ca="1" si="425"/>
        <v>0</v>
      </c>
      <c r="R926" s="359">
        <f t="shared" ca="1" si="426"/>
        <v>0</v>
      </c>
      <c r="S926" s="360">
        <f t="shared" ca="1" si="427"/>
        <v>9.637999999999975</v>
      </c>
      <c r="T926" s="357">
        <f t="shared" ca="1" si="407"/>
        <v>94.548779999999766</v>
      </c>
      <c r="U926" s="364">
        <f t="shared" ca="1" si="408"/>
        <v>0</v>
      </c>
      <c r="V926" s="359">
        <f t="shared" ca="1" si="409"/>
        <v>1.1834621819509008</v>
      </c>
      <c r="W926" s="357">
        <f t="shared" ca="1" si="410"/>
        <v>72.220260669227059</v>
      </c>
      <c r="X926" s="343"/>
      <c r="Y926" s="367" t="str">
        <f t="shared" ca="1" si="428"/>
        <v/>
      </c>
      <c r="Z926" s="368" t="str">
        <f t="shared" ca="1" si="429"/>
        <v/>
      </c>
      <c r="AA926" s="369" t="str">
        <f t="shared" ca="1" si="430"/>
        <v/>
      </c>
      <c r="AB926" s="344"/>
      <c r="AC926" s="363" t="e">
        <f t="shared" ca="1" si="431"/>
        <v>#N/A</v>
      </c>
      <c r="AD926" s="376" t="e">
        <f t="shared" ca="1" si="432"/>
        <v>#N/A</v>
      </c>
      <c r="AE926" s="377" t="e">
        <f t="shared" ca="1" si="411"/>
        <v>#N/A</v>
      </c>
      <c r="AF926" s="344"/>
      <c r="AG926" s="359">
        <f t="shared" ca="1" si="433"/>
        <v>2.2740696651807264</v>
      </c>
      <c r="AH926" s="357">
        <f t="shared" ca="1" si="434"/>
        <v>-7.4603760735544027</v>
      </c>
    </row>
    <row r="927" spans="1:34" x14ac:dyDescent="0.25">
      <c r="A927" s="402">
        <f t="shared" ca="1" si="412"/>
        <v>0.1</v>
      </c>
      <c r="B927" s="357">
        <f t="shared" ca="1" si="413"/>
        <v>47.300000000000338</v>
      </c>
      <c r="C927" s="342"/>
      <c r="D927" s="359">
        <f t="shared" ca="1" si="414"/>
        <v>-0.9227026405287051</v>
      </c>
      <c r="E927" s="360">
        <f t="shared" ca="1" si="415"/>
        <v>-2.3737436448521478</v>
      </c>
      <c r="F927" s="357">
        <f t="shared" ca="1" si="416"/>
        <v>2.5467703183276273</v>
      </c>
      <c r="G927" s="359">
        <f t="shared" ca="1" si="417"/>
        <v>20.126379926684056</v>
      </c>
      <c r="H927" s="360">
        <f t="shared" ca="1" si="418"/>
        <v>-163.18376615895133</v>
      </c>
      <c r="I927" s="357">
        <f t="shared" ca="1" si="419"/>
        <v>164.42023204816536</v>
      </c>
      <c r="J927" s="359">
        <f t="shared" ca="1" si="420"/>
        <v>1750.9451409622511</v>
      </c>
      <c r="K927" s="360">
        <f t="shared" ca="1" si="421"/>
        <v>328.6257759503797</v>
      </c>
      <c r="L927" s="357">
        <f t="shared" ca="1" si="406"/>
        <v>1781.5172711142338</v>
      </c>
      <c r="M927" s="359">
        <f t="shared" ca="1" si="422"/>
        <v>-1.4480803866547556</v>
      </c>
      <c r="N927" s="357">
        <f t="shared" ca="1" si="423"/>
        <v>-82.968894550989873</v>
      </c>
      <c r="O927" s="343"/>
      <c r="P927" s="363">
        <f t="shared" ca="1" si="424"/>
        <v>23</v>
      </c>
      <c r="Q927" s="357">
        <f t="shared" ca="1" si="425"/>
        <v>0</v>
      </c>
      <c r="R927" s="359">
        <f t="shared" ca="1" si="426"/>
        <v>0</v>
      </c>
      <c r="S927" s="360">
        <f t="shared" ca="1" si="427"/>
        <v>9.637999999999975</v>
      </c>
      <c r="T927" s="357">
        <f t="shared" ca="1" si="407"/>
        <v>94.548779999999766</v>
      </c>
      <c r="U927" s="364">
        <f t="shared" ca="1" si="408"/>
        <v>0</v>
      </c>
      <c r="V927" s="359">
        <f t="shared" ca="1" si="409"/>
        <v>1.1853941181291787</v>
      </c>
      <c r="W927" s="357">
        <f t="shared" ca="1" si="410"/>
        <v>72.535882533159054</v>
      </c>
      <c r="X927" s="343"/>
      <c r="Y927" s="367" t="str">
        <f t="shared" ca="1" si="428"/>
        <v/>
      </c>
      <c r="Z927" s="368" t="str">
        <f t="shared" ca="1" si="429"/>
        <v/>
      </c>
      <c r="AA927" s="369" t="str">
        <f t="shared" ca="1" si="430"/>
        <v/>
      </c>
      <c r="AB927" s="344"/>
      <c r="AC927" s="363" t="e">
        <f t="shared" ca="1" si="431"/>
        <v>#N/A</v>
      </c>
      <c r="AD927" s="376" t="e">
        <f t="shared" ca="1" si="432"/>
        <v>#N/A</v>
      </c>
      <c r="AE927" s="377" t="e">
        <f t="shared" ca="1" si="411"/>
        <v>#N/A</v>
      </c>
      <c r="AF927" s="344"/>
      <c r="AG927" s="359">
        <f t="shared" ca="1" si="433"/>
        <v>2.2420594961523594</v>
      </c>
      <c r="AH927" s="357">
        <f t="shared" ca="1" si="434"/>
        <v>-7.4932829081995482</v>
      </c>
    </row>
    <row r="928" spans="1:34" x14ac:dyDescent="0.25">
      <c r="A928" s="402">
        <f t="shared" ca="1" si="412"/>
        <v>0.1</v>
      </c>
      <c r="B928" s="357">
        <f t="shared" ca="1" si="413"/>
        <v>47.40000000000034</v>
      </c>
      <c r="C928" s="342"/>
      <c r="D928" s="359">
        <f t="shared" ca="1" si="414"/>
        <v>-0.92124763780541052</v>
      </c>
      <c r="E928" s="360">
        <f t="shared" ca="1" si="415"/>
        <v>-2.3405663686289913</v>
      </c>
      <c r="F928" s="357">
        <f t="shared" ca="1" si="416"/>
        <v>2.5153425484651493</v>
      </c>
      <c r="G928" s="359">
        <f t="shared" ca="1" si="417"/>
        <v>20.034255162903516</v>
      </c>
      <c r="H928" s="360">
        <f t="shared" ca="1" si="418"/>
        <v>-163.41782279581423</v>
      </c>
      <c r="I928" s="357">
        <f t="shared" ca="1" si="419"/>
        <v>164.64129551013764</v>
      </c>
      <c r="J928" s="359">
        <f t="shared" ca="1" si="420"/>
        <v>1752.9531727167305</v>
      </c>
      <c r="K928" s="360">
        <f t="shared" ca="1" si="421"/>
        <v>312.29569650264142</v>
      </c>
      <c r="L928" s="357">
        <f t="shared" ca="1" si="406"/>
        <v>1780.5542473599958</v>
      </c>
      <c r="M928" s="359">
        <f t="shared" ca="1" si="422"/>
        <v>-1.4488097445373063</v>
      </c>
      <c r="N928" s="357">
        <f t="shared" ca="1" si="423"/>
        <v>-83.010683679414626</v>
      </c>
      <c r="O928" s="343"/>
      <c r="P928" s="363">
        <f t="shared" ca="1" si="424"/>
        <v>23</v>
      </c>
      <c r="Q928" s="357">
        <f t="shared" ca="1" si="425"/>
        <v>0</v>
      </c>
      <c r="R928" s="359">
        <f t="shared" ca="1" si="426"/>
        <v>0</v>
      </c>
      <c r="S928" s="360">
        <f t="shared" ca="1" si="427"/>
        <v>9.637999999999975</v>
      </c>
      <c r="T928" s="357">
        <f t="shared" ca="1" si="407"/>
        <v>94.548779999999766</v>
      </c>
      <c r="U928" s="364">
        <f t="shared" ca="1" si="408"/>
        <v>0</v>
      </c>
      <c r="V928" s="359">
        <f t="shared" ca="1" si="409"/>
        <v>1.1873319555867232</v>
      </c>
      <c r="W928" s="357">
        <f t="shared" ca="1" si="410"/>
        <v>72.849961039626436</v>
      </c>
      <c r="X928" s="343"/>
      <c r="Y928" s="367" t="str">
        <f t="shared" ca="1" si="428"/>
        <v/>
      </c>
      <c r="Z928" s="368" t="str">
        <f t="shared" ca="1" si="429"/>
        <v/>
      </c>
      <c r="AA928" s="369" t="str">
        <f t="shared" ca="1" si="430"/>
        <v/>
      </c>
      <c r="AB928" s="344"/>
      <c r="AC928" s="363" t="e">
        <f t="shared" ca="1" si="431"/>
        <v>#N/A</v>
      </c>
      <c r="AD928" s="376" t="e">
        <f t="shared" ca="1" si="432"/>
        <v>#N/A</v>
      </c>
      <c r="AE928" s="377" t="e">
        <f t="shared" ca="1" si="411"/>
        <v>#N/A</v>
      </c>
      <c r="AF928" s="344"/>
      <c r="AG928" s="359">
        <f t="shared" ca="1" si="433"/>
        <v>2.2101967044200039</v>
      </c>
      <c r="AH928" s="357">
        <f t="shared" ca="1" si="434"/>
        <v>-7.5260305595724466</v>
      </c>
    </row>
    <row r="929" spans="1:34" x14ac:dyDescent="0.25">
      <c r="A929" s="402">
        <f t="shared" ca="1" si="412"/>
        <v>0.1</v>
      </c>
      <c r="B929" s="357">
        <f t="shared" ca="1" si="413"/>
        <v>47.500000000000341</v>
      </c>
      <c r="C929" s="342"/>
      <c r="D929" s="359">
        <f t="shared" ca="1" si="414"/>
        <v>-0.9197648912589621</v>
      </c>
      <c r="E929" s="360">
        <f t="shared" ca="1" si="415"/>
        <v>-2.3075510798183814</v>
      </c>
      <c r="F929" s="357">
        <f t="shared" ca="1" si="416"/>
        <v>2.484101334721188</v>
      </c>
      <c r="G929" s="359">
        <f t="shared" ca="1" si="417"/>
        <v>19.942278673777619</v>
      </c>
      <c r="H929" s="360">
        <f t="shared" ca="1" si="418"/>
        <v>-163.64857790379608</v>
      </c>
      <c r="I929" s="357">
        <f t="shared" ca="1" si="419"/>
        <v>164.8591869706915</v>
      </c>
      <c r="J929" s="359">
        <f t="shared" ca="1" si="420"/>
        <v>1754.9519994085645</v>
      </c>
      <c r="K929" s="360">
        <f t="shared" ca="1" si="421"/>
        <v>295.94237646766089</v>
      </c>
      <c r="L929" s="357">
        <f t="shared" ca="1" si="406"/>
        <v>1779.7298700694566</v>
      </c>
      <c r="M929" s="359">
        <f t="shared" ca="1" si="422"/>
        <v>-1.4495338308158137</v>
      </c>
      <c r="N929" s="357">
        <f t="shared" ca="1" si="423"/>
        <v>-83.052170767176435</v>
      </c>
      <c r="O929" s="343"/>
      <c r="P929" s="363">
        <f t="shared" ca="1" si="424"/>
        <v>23</v>
      </c>
      <c r="Q929" s="357">
        <f t="shared" ca="1" si="425"/>
        <v>0</v>
      </c>
      <c r="R929" s="359">
        <f t="shared" ca="1" si="426"/>
        <v>0</v>
      </c>
      <c r="S929" s="360">
        <f t="shared" ca="1" si="427"/>
        <v>9.637999999999975</v>
      </c>
      <c r="T929" s="357">
        <f t="shared" ca="1" si="407"/>
        <v>94.548779999999766</v>
      </c>
      <c r="U929" s="364">
        <f t="shared" ca="1" si="408"/>
        <v>0</v>
      </c>
      <c r="V929" s="359">
        <f t="shared" ca="1" si="409"/>
        <v>1.1892756759505563</v>
      </c>
      <c r="W929" s="357">
        <f t="shared" ca="1" si="410"/>
        <v>73.162487299249108</v>
      </c>
      <c r="X929" s="343"/>
      <c r="Y929" s="367" t="str">
        <f t="shared" ca="1" si="428"/>
        <v/>
      </c>
      <c r="Z929" s="368" t="str">
        <f t="shared" ca="1" si="429"/>
        <v/>
      </c>
      <c r="AA929" s="369" t="str">
        <f t="shared" ca="1" si="430"/>
        <v/>
      </c>
      <c r="AB929" s="344"/>
      <c r="AC929" s="363" t="e">
        <f t="shared" ca="1" si="431"/>
        <v>#N/A</v>
      </c>
      <c r="AD929" s="376" t="e">
        <f t="shared" ca="1" si="432"/>
        <v>#N/A</v>
      </c>
      <c r="AE929" s="377" t="e">
        <f t="shared" ca="1" si="411"/>
        <v>#N/A</v>
      </c>
      <c r="AF929" s="344"/>
      <c r="AG929" s="359">
        <f t="shared" ca="1" si="433"/>
        <v>2.178482426425048</v>
      </c>
      <c r="AH929" s="357">
        <f t="shared" ca="1" si="434"/>
        <v>-7.5586180784007704</v>
      </c>
    </row>
    <row r="930" spans="1:34" x14ac:dyDescent="0.25">
      <c r="A930" s="402">
        <f t="shared" ca="1" si="412"/>
        <v>0.1</v>
      </c>
      <c r="B930" s="357">
        <f t="shared" ca="1" si="413"/>
        <v>47.600000000000342</v>
      </c>
      <c r="C930" s="342"/>
      <c r="D930" s="359">
        <f t="shared" ca="1" si="414"/>
        <v>-0.9182547146473593</v>
      </c>
      <c r="E930" s="360">
        <f t="shared" ca="1" si="415"/>
        <v>-2.2746987105295098</v>
      </c>
      <c r="F930" s="357">
        <f t="shared" ca="1" si="416"/>
        <v>2.4530482964378661</v>
      </c>
      <c r="G930" s="359">
        <f t="shared" ca="1" si="417"/>
        <v>19.850453202312881</v>
      </c>
      <c r="H930" s="360">
        <f t="shared" ca="1" si="418"/>
        <v>-163.87604777484904</v>
      </c>
      <c r="I930" s="357">
        <f t="shared" ca="1" si="419"/>
        <v>165.07392140081311</v>
      </c>
      <c r="J930" s="359">
        <f t="shared" ca="1" si="420"/>
        <v>1756.941636002369</v>
      </c>
      <c r="K930" s="360">
        <f t="shared" ca="1" si="421"/>
        <v>279.56614518372862</v>
      </c>
      <c r="L930" s="357">
        <f t="shared" ca="1" si="406"/>
        <v>1779.0450083827475</v>
      </c>
      <c r="M930" s="359">
        <f t="shared" ca="1" si="422"/>
        <v>-1.4502527038675672</v>
      </c>
      <c r="N930" s="357">
        <f t="shared" ca="1" si="423"/>
        <v>-83.093359159047608</v>
      </c>
      <c r="O930" s="343"/>
      <c r="P930" s="363">
        <f t="shared" ca="1" si="424"/>
        <v>23</v>
      </c>
      <c r="Q930" s="357">
        <f t="shared" ca="1" si="425"/>
        <v>0</v>
      </c>
      <c r="R930" s="359">
        <f t="shared" ca="1" si="426"/>
        <v>0</v>
      </c>
      <c r="S930" s="360">
        <f t="shared" ca="1" si="427"/>
        <v>9.637999999999975</v>
      </c>
      <c r="T930" s="357">
        <f t="shared" ca="1" si="407"/>
        <v>94.548779999999766</v>
      </c>
      <c r="U930" s="364">
        <f t="shared" ca="1" si="408"/>
        <v>0</v>
      </c>
      <c r="V930" s="359">
        <f t="shared" ca="1" si="409"/>
        <v>1.1912252608957907</v>
      </c>
      <c r="W930" s="357">
        <f t="shared" ca="1" si="410"/>
        <v>73.473452681072885</v>
      </c>
      <c r="X930" s="343"/>
      <c r="Y930" s="367" t="str">
        <f t="shared" ca="1" si="428"/>
        <v/>
      </c>
      <c r="Z930" s="368" t="str">
        <f t="shared" ca="1" si="429"/>
        <v/>
      </c>
      <c r="AA930" s="369" t="str">
        <f t="shared" ca="1" si="430"/>
        <v/>
      </c>
      <c r="AB930" s="344"/>
      <c r="AC930" s="363" t="e">
        <f t="shared" ca="1" si="431"/>
        <v>#N/A</v>
      </c>
      <c r="AD930" s="376" t="e">
        <f t="shared" ca="1" si="432"/>
        <v>#N/A</v>
      </c>
      <c r="AE930" s="377" t="e">
        <f t="shared" ca="1" si="411"/>
        <v>#N/A</v>
      </c>
      <c r="AF930" s="344"/>
      <c r="AG930" s="359">
        <f t="shared" ca="1" si="433"/>
        <v>2.1469177679959586</v>
      </c>
      <c r="AH930" s="357">
        <f t="shared" ca="1" si="434"/>
        <v>-7.5910445423583006</v>
      </c>
    </row>
    <row r="931" spans="1:34" x14ac:dyDescent="0.25">
      <c r="A931" s="402">
        <f t="shared" ca="1" si="412"/>
        <v>0.1</v>
      </c>
      <c r="B931" s="357">
        <f t="shared" ca="1" si="413"/>
        <v>47.700000000000344</v>
      </c>
      <c r="C931" s="342"/>
      <c r="D931" s="359">
        <f t="shared" ca="1" si="414"/>
        <v>-0.91671742197312123</v>
      </c>
      <c r="E931" s="360">
        <f t="shared" ca="1" si="415"/>
        <v>-2.2420101658031735</v>
      </c>
      <c r="F931" s="357">
        <f t="shared" ca="1" si="416"/>
        <v>2.4221850497668047</v>
      </c>
      <c r="G931" s="359">
        <f t="shared" ca="1" si="417"/>
        <v>19.758781460115568</v>
      </c>
      <c r="H931" s="360">
        <f t="shared" ca="1" si="418"/>
        <v>-164.10024879142935</v>
      </c>
      <c r="I931" s="357">
        <f t="shared" ca="1" si="419"/>
        <v>165.28551387885636</v>
      </c>
      <c r="J931" s="359">
        <f t="shared" ca="1" si="420"/>
        <v>1758.9220977354905</v>
      </c>
      <c r="K931" s="360">
        <f t="shared" ca="1" si="421"/>
        <v>263.16733035541472</v>
      </c>
      <c r="L931" s="357">
        <f t="shared" ca="1" si="406"/>
        <v>1778.5004890830405</v>
      </c>
      <c r="M931" s="359">
        <f t="shared" ca="1" si="422"/>
        <v>-1.4509664211450102</v>
      </c>
      <c r="N931" s="357">
        <f t="shared" ca="1" si="423"/>
        <v>-83.134252146810653</v>
      </c>
      <c r="O931" s="343"/>
      <c r="P931" s="363">
        <f t="shared" ca="1" si="424"/>
        <v>23</v>
      </c>
      <c r="Q931" s="357">
        <f t="shared" ca="1" si="425"/>
        <v>0</v>
      </c>
      <c r="R931" s="359">
        <f t="shared" ca="1" si="426"/>
        <v>0</v>
      </c>
      <c r="S931" s="360">
        <f t="shared" ca="1" si="427"/>
        <v>9.637999999999975</v>
      </c>
      <c r="T931" s="357">
        <f t="shared" ca="1" si="407"/>
        <v>94.548779999999766</v>
      </c>
      <c r="U931" s="364">
        <f t="shared" ca="1" si="408"/>
        <v>0</v>
      </c>
      <c r="V931" s="359">
        <f t="shared" ca="1" si="409"/>
        <v>1.1931806921465393</v>
      </c>
      <c r="W931" s="357">
        <f t="shared" ca="1" si="410"/>
        <v>73.782848811248186</v>
      </c>
      <c r="X931" s="343"/>
      <c r="Y931" s="367" t="str">
        <f t="shared" ca="1" si="428"/>
        <v/>
      </c>
      <c r="Z931" s="368" t="str">
        <f t="shared" ca="1" si="429"/>
        <v/>
      </c>
      <c r="AA931" s="369" t="str">
        <f t="shared" ca="1" si="430"/>
        <v/>
      </c>
      <c r="AB931" s="344"/>
      <c r="AC931" s="363" t="e">
        <f t="shared" ca="1" si="431"/>
        <v>#N/A</v>
      </c>
      <c r="AD931" s="376" t="e">
        <f t="shared" ca="1" si="432"/>
        <v>#N/A</v>
      </c>
      <c r="AE931" s="377" t="e">
        <f t="shared" ca="1" si="411"/>
        <v>#N/A</v>
      </c>
      <c r="AF931" s="344"/>
      <c r="AG931" s="359">
        <f t="shared" ca="1" si="433"/>
        <v>2.1155038045671315</v>
      </c>
      <c r="AH931" s="357">
        <f t="shared" ca="1" si="434"/>
        <v>-7.6233090559320473</v>
      </c>
    </row>
    <row r="932" spans="1:34" x14ac:dyDescent="0.25">
      <c r="A932" s="402">
        <f t="shared" ca="1" si="412"/>
        <v>0.1</v>
      </c>
      <c r="B932" s="357">
        <f t="shared" ca="1" si="413"/>
        <v>47.800000000000345</v>
      </c>
      <c r="C932" s="342"/>
      <c r="D932" s="359">
        <f t="shared" ca="1" si="414"/>
        <v>-0.91515332743055</v>
      </c>
      <c r="E932" s="360">
        <f t="shared" ca="1" si="415"/>
        <v>-2.2094863237492701</v>
      </c>
      <c r="F932" s="357">
        <f t="shared" ca="1" si="416"/>
        <v>2.3915132087325532</v>
      </c>
      <c r="G932" s="359">
        <f t="shared" ca="1" si="417"/>
        <v>19.667266127372514</v>
      </c>
      <c r="H932" s="360">
        <f t="shared" ca="1" si="418"/>
        <v>-164.32119742380428</v>
      </c>
      <c r="I932" s="357">
        <f t="shared" ca="1" si="419"/>
        <v>165.49397958752988</v>
      </c>
      <c r="J932" s="359">
        <f t="shared" ca="1" si="420"/>
        <v>1760.893400114865</v>
      </c>
      <c r="K932" s="360">
        <f t="shared" ca="1" si="421"/>
        <v>246.74625804465305</v>
      </c>
      <c r="L932" s="357">
        <f t="shared" ca="1" si="406"/>
        <v>1778.0970958941271</v>
      </c>
      <c r="M932" s="359">
        <f t="shared" ca="1" si="422"/>
        <v>-1.451675039193661</v>
      </c>
      <c r="N932" s="357">
        <f t="shared" ca="1" si="423"/>
        <v>-83.174852970285144</v>
      </c>
      <c r="O932" s="343"/>
      <c r="P932" s="363">
        <f t="shared" ca="1" si="424"/>
        <v>23</v>
      </c>
      <c r="Q932" s="357">
        <f t="shared" ca="1" si="425"/>
        <v>0</v>
      </c>
      <c r="R932" s="359">
        <f t="shared" ca="1" si="426"/>
        <v>0</v>
      </c>
      <c r="S932" s="360">
        <f t="shared" ca="1" si="427"/>
        <v>9.637999999999975</v>
      </c>
      <c r="T932" s="357">
        <f t="shared" ca="1" si="407"/>
        <v>94.548779999999766</v>
      </c>
      <c r="U932" s="364">
        <f t="shared" ca="1" si="408"/>
        <v>0</v>
      </c>
      <c r="V932" s="359">
        <f t="shared" ca="1" si="409"/>
        <v>1.1951419514768109</v>
      </c>
      <c r="W932" s="357">
        <f t="shared" ca="1" si="410"/>
        <v>74.090667571668931</v>
      </c>
      <c r="X932" s="343"/>
      <c r="Y932" s="367" t="str">
        <f t="shared" ca="1" si="428"/>
        <v/>
      </c>
      <c r="Z932" s="368" t="str">
        <f t="shared" ca="1" si="429"/>
        <v/>
      </c>
      <c r="AA932" s="369" t="str">
        <f t="shared" ca="1" si="430"/>
        <v/>
      </c>
      <c r="AB932" s="344"/>
      <c r="AC932" s="363" t="e">
        <f t="shared" ca="1" si="431"/>
        <v>#N/A</v>
      </c>
      <c r="AD932" s="376" t="e">
        <f t="shared" ca="1" si="432"/>
        <v>#N/A</v>
      </c>
      <c r="AE932" s="377" t="e">
        <f t="shared" ca="1" si="411"/>
        <v>#N/A</v>
      </c>
      <c r="AF932" s="344"/>
      <c r="AG932" s="359">
        <f t="shared" ca="1" si="433"/>
        <v>2.0842415813996302</v>
      </c>
      <c r="AH932" s="357">
        <f t="shared" ca="1" si="434"/>
        <v>-7.6554107502851609</v>
      </c>
    </row>
    <row r="933" spans="1:34" x14ac:dyDescent="0.25">
      <c r="A933" s="402">
        <f t="shared" ca="1" si="412"/>
        <v>0.1</v>
      </c>
      <c r="B933" s="357">
        <f t="shared" ca="1" si="413"/>
        <v>47.900000000000347</v>
      </c>
      <c r="C933" s="342"/>
      <c r="D933" s="359">
        <f t="shared" ca="1" si="414"/>
        <v>-0.91356274535356008</v>
      </c>
      <c r="E933" s="360">
        <f t="shared" ca="1" si="415"/>
        <v>-2.1771280356884999</v>
      </c>
      <c r="F933" s="357">
        <f t="shared" ca="1" si="416"/>
        <v>2.3610343863397669</v>
      </c>
      <c r="G933" s="359">
        <f t="shared" ca="1" si="417"/>
        <v>19.575909852837157</v>
      </c>
      <c r="H933" s="360">
        <f t="shared" ca="1" si="418"/>
        <v>-164.53891022737312</v>
      </c>
      <c r="I933" s="357">
        <f t="shared" ca="1" si="419"/>
        <v>165.6993338109057</v>
      </c>
      <c r="J933" s="359">
        <f t="shared" ca="1" si="420"/>
        <v>1762.8555589138755</v>
      </c>
      <c r="K933" s="360">
        <f t="shared" ca="1" si="421"/>
        <v>230.30325266209417</v>
      </c>
      <c r="L933" s="357">
        <f t="shared" ca="1" si="406"/>
        <v>1777.8355688252759</v>
      </c>
      <c r="M933" s="359">
        <f t="shared" ca="1" si="422"/>
        <v>-1.4523786136696275</v>
      </c>
      <c r="N933" s="357">
        <f t="shared" ca="1" si="423"/>
        <v>-83.215164818331147</v>
      </c>
      <c r="O933" s="343"/>
      <c r="P933" s="363">
        <f t="shared" ca="1" si="424"/>
        <v>23</v>
      </c>
      <c r="Q933" s="357">
        <f t="shared" ca="1" si="425"/>
        <v>0</v>
      </c>
      <c r="R933" s="359">
        <f t="shared" ca="1" si="426"/>
        <v>0</v>
      </c>
      <c r="S933" s="360">
        <f t="shared" ca="1" si="427"/>
        <v>9.637999999999975</v>
      </c>
      <c r="T933" s="357">
        <f t="shared" ca="1" si="407"/>
        <v>94.548779999999766</v>
      </c>
      <c r="U933" s="364">
        <f t="shared" ca="1" si="408"/>
        <v>0</v>
      </c>
      <c r="V933" s="359">
        <f t="shared" ca="1" si="409"/>
        <v>1.1971090207113981</v>
      </c>
      <c r="W933" s="357">
        <f t="shared" ca="1" si="410"/>
        <v>74.396901098571917</v>
      </c>
      <c r="X933" s="343"/>
      <c r="Y933" s="367" t="str">
        <f t="shared" ca="1" si="428"/>
        <v/>
      </c>
      <c r="Z933" s="368" t="str">
        <f t="shared" ca="1" si="429"/>
        <v/>
      </c>
      <c r="AA933" s="369" t="str">
        <f t="shared" ca="1" si="430"/>
        <v/>
      </c>
      <c r="AB933" s="344"/>
      <c r="AC933" s="363" t="e">
        <f t="shared" ca="1" si="431"/>
        <v>#N/A</v>
      </c>
      <c r="AD933" s="376" t="e">
        <f t="shared" ca="1" si="432"/>
        <v>#N/A</v>
      </c>
      <c r="AE933" s="377" t="e">
        <f t="shared" ca="1" si="411"/>
        <v>#N/A</v>
      </c>
      <c r="AF933" s="344"/>
      <c r="AG933" s="359">
        <f t="shared" ca="1" si="433"/>
        <v>2.0531321138037981</v>
      </c>
      <c r="AH933" s="357">
        <f t="shared" ca="1" si="434"/>
        <v>-7.6873487831157004</v>
      </c>
    </row>
    <row r="934" spans="1:34" x14ac:dyDescent="0.25">
      <c r="A934" s="402">
        <f t="shared" ca="1" si="412"/>
        <v>0.1</v>
      </c>
      <c r="B934" s="357">
        <f t="shared" ca="1" si="413"/>
        <v>48.000000000000348</v>
      </c>
      <c r="C934" s="342"/>
      <c r="D934" s="359">
        <f t="shared" ca="1" si="414"/>
        <v>-0.9119459901641056</v>
      </c>
      <c r="E934" s="360">
        <f t="shared" ca="1" si="415"/>
        <v>-2.1449361262982238</v>
      </c>
      <c r="F934" s="357">
        <f t="shared" ca="1" si="416"/>
        <v>2.3307501957257499</v>
      </c>
      <c r="G934" s="359">
        <f t="shared" ca="1" si="417"/>
        <v>19.484715253820745</v>
      </c>
      <c r="H934" s="360">
        <f t="shared" ca="1" si="418"/>
        <v>-164.75340384000293</v>
      </c>
      <c r="I934" s="357">
        <f t="shared" ca="1" si="419"/>
        <v>165.90159193145064</v>
      </c>
      <c r="J934" s="359">
        <f t="shared" ca="1" si="420"/>
        <v>1764.8085901692084</v>
      </c>
      <c r="K934" s="360">
        <f t="shared" ca="1" si="421"/>
        <v>213.83863695872537</v>
      </c>
      <c r="L934" s="357">
        <f t="shared" ca="1" si="406"/>
        <v>1777.7166035652012</v>
      </c>
      <c r="M934" s="359">
        <f t="shared" ca="1" si="422"/>
        <v>-1.4530771993567224</v>
      </c>
      <c r="N934" s="357">
        <f t="shared" ca="1" si="423"/>
        <v>-83.255190829829928</v>
      </c>
      <c r="O934" s="343"/>
      <c r="P934" s="363">
        <f t="shared" ca="1" si="424"/>
        <v>23</v>
      </c>
      <c r="Q934" s="357">
        <f t="shared" ca="1" si="425"/>
        <v>0</v>
      </c>
      <c r="R934" s="359">
        <f t="shared" ca="1" si="426"/>
        <v>0</v>
      </c>
      <c r="S934" s="360">
        <f t="shared" ca="1" si="427"/>
        <v>9.637999999999975</v>
      </c>
      <c r="T934" s="357">
        <f t="shared" ca="1" si="407"/>
        <v>94.548779999999766</v>
      </c>
      <c r="U934" s="364">
        <f t="shared" ca="1" si="408"/>
        <v>0</v>
      </c>
      <c r="V934" s="359">
        <f t="shared" ca="1" si="409"/>
        <v>1.1990818817267606</v>
      </c>
      <c r="W934" s="357">
        <f t="shared" ca="1" si="410"/>
        <v>74.701541781098356</v>
      </c>
      <c r="X934" s="343"/>
      <c r="Y934" s="367" t="str">
        <f t="shared" ca="1" si="428"/>
        <v/>
      </c>
      <c r="Z934" s="368" t="str">
        <f t="shared" ca="1" si="429"/>
        <v/>
      </c>
      <c r="AA934" s="369" t="str">
        <f t="shared" ca="1" si="430"/>
        <v/>
      </c>
      <c r="AB934" s="344"/>
      <c r="AC934" s="363">
        <f t="shared" ca="1" si="431"/>
        <v>48.000000000000348</v>
      </c>
      <c r="AD934" s="376">
        <f t="shared" ca="1" si="432"/>
        <v>1764.8085901692084</v>
      </c>
      <c r="AE934" s="377" t="e">
        <f t="shared" ca="1" si="411"/>
        <v>#N/A</v>
      </c>
      <c r="AF934" s="344"/>
      <c r="AG934" s="359">
        <f t="shared" ca="1" si="433"/>
        <v>2.0221763873637908</v>
      </c>
      <c r="AH934" s="357">
        <f t="shared" ca="1" si="434"/>
        <v>-7.7191223385113208</v>
      </c>
    </row>
    <row r="935" spans="1:34" x14ac:dyDescent="0.25">
      <c r="A935" s="402">
        <f t="shared" ca="1" si="412"/>
        <v>0.1</v>
      </c>
      <c r="B935" s="357">
        <f t="shared" ca="1" si="413"/>
        <v>48.10000000000035</v>
      </c>
      <c r="C935" s="342"/>
      <c r="D935" s="359">
        <f t="shared" ca="1" si="414"/>
        <v>-0.91030337632122704</v>
      </c>
      <c r="E935" s="360">
        <f t="shared" ca="1" si="415"/>
        <v>-2.1129113937623192</v>
      </c>
      <c r="F935" s="357">
        <f t="shared" ca="1" si="416"/>
        <v>2.3006622513599106</v>
      </c>
      <c r="G935" s="359">
        <f t="shared" ca="1" si="417"/>
        <v>19.393684916188622</v>
      </c>
      <c r="H935" s="360">
        <f t="shared" ca="1" si="418"/>
        <v>-164.96469497937917</v>
      </c>
      <c r="I935" s="357">
        <f t="shared" ca="1" si="419"/>
        <v>166.10076942708005</v>
      </c>
      <c r="J935" s="359">
        <f t="shared" ca="1" si="420"/>
        <v>1766.7525101777089</v>
      </c>
      <c r="K935" s="360">
        <f t="shared" ca="1" si="421"/>
        <v>197.35273201775627</v>
      </c>
      <c r="L935" s="357">
        <f t="shared" ca="1" si="406"/>
        <v>1777.7408509268464</v>
      </c>
      <c r="M935" s="359">
        <f t="shared" ca="1" si="422"/>
        <v>-1.4537708501831978</v>
      </c>
      <c r="N935" s="357">
        <f t="shared" ca="1" si="423"/>
        <v>-83.294934094642741</v>
      </c>
      <c r="O935" s="343"/>
      <c r="P935" s="363">
        <f t="shared" ca="1" si="424"/>
        <v>23</v>
      </c>
      <c r="Q935" s="357">
        <f t="shared" ca="1" si="425"/>
        <v>0</v>
      </c>
      <c r="R935" s="359">
        <f t="shared" ca="1" si="426"/>
        <v>0</v>
      </c>
      <c r="S935" s="360">
        <f t="shared" ca="1" si="427"/>
        <v>9.637999999999975</v>
      </c>
      <c r="T935" s="357">
        <f t="shared" ca="1" si="407"/>
        <v>94.548779999999766</v>
      </c>
      <c r="U935" s="364">
        <f t="shared" ca="1" si="408"/>
        <v>0</v>
      </c>
      <c r="V935" s="359">
        <f t="shared" ca="1" si="409"/>
        <v>1.2010605164518906</v>
      </c>
      <c r="W935" s="357">
        <f t="shared" ca="1" si="410"/>
        <v>75.004582259817496</v>
      </c>
      <c r="X935" s="343"/>
      <c r="Y935" s="367" t="str">
        <f t="shared" ca="1" si="428"/>
        <v/>
      </c>
      <c r="Z935" s="368" t="str">
        <f t="shared" ca="1" si="429"/>
        <v/>
      </c>
      <c r="AA935" s="369" t="str">
        <f t="shared" ca="1" si="430"/>
        <v/>
      </c>
      <c r="AB935" s="344"/>
      <c r="AC935" s="363" t="e">
        <f t="shared" ca="1" si="431"/>
        <v>#N/A</v>
      </c>
      <c r="AD935" s="376" t="e">
        <f t="shared" ca="1" si="432"/>
        <v>#N/A</v>
      </c>
      <c r="AE935" s="377" t="e">
        <f t="shared" ca="1" si="411"/>
        <v>#N/A</v>
      </c>
      <c r="AF935" s="344"/>
      <c r="AG935" s="359">
        <f t="shared" ca="1" si="433"/>
        <v>1.991375358163916</v>
      </c>
      <c r="AH935" s="357">
        <f t="shared" ca="1" si="434"/>
        <v>-7.7507306268000153</v>
      </c>
    </row>
    <row r="936" spans="1:34" x14ac:dyDescent="0.25">
      <c r="A936" s="402">
        <f t="shared" ca="1" si="412"/>
        <v>0.1</v>
      </c>
      <c r="B936" s="357">
        <f t="shared" ca="1" si="413"/>
        <v>48.200000000000351</v>
      </c>
      <c r="C936" s="342"/>
      <c r="D936" s="359">
        <f t="shared" ca="1" si="414"/>
        <v>-0.90863521827066929</v>
      </c>
      <c r="E936" s="360">
        <f t="shared" ca="1" si="415"/>
        <v>-2.0810546099250278</v>
      </c>
      <c r="F936" s="357">
        <f t="shared" ca="1" si="416"/>
        <v>2.2707721702918584</v>
      </c>
      <c r="G936" s="359">
        <f t="shared" ca="1" si="417"/>
        <v>19.302821394361555</v>
      </c>
      <c r="H936" s="360">
        <f t="shared" ca="1" si="418"/>
        <v>-165.17280044037167</v>
      </c>
      <c r="I936" s="357">
        <f t="shared" ca="1" si="419"/>
        <v>166.29688186823427</v>
      </c>
      <c r="J936" s="359">
        <f t="shared" ca="1" si="420"/>
        <v>1768.6873354932363</v>
      </c>
      <c r="K936" s="360">
        <f t="shared" ca="1" si="421"/>
        <v>180.84585724676873</v>
      </c>
      <c r="L936" s="357">
        <f t="shared" ca="1" si="406"/>
        <v>1777.9089163445587</v>
      </c>
      <c r="M936" s="359">
        <f t="shared" ca="1" si="422"/>
        <v>-1.4544596192380996</v>
      </c>
      <c r="N936" s="357">
        <f t="shared" ca="1" si="423"/>
        <v>-83.334397654547828</v>
      </c>
      <c r="O936" s="343"/>
      <c r="P936" s="363">
        <f t="shared" ca="1" si="424"/>
        <v>23</v>
      </c>
      <c r="Q936" s="357">
        <f t="shared" ca="1" si="425"/>
        <v>0</v>
      </c>
      <c r="R936" s="359">
        <f t="shared" ca="1" si="426"/>
        <v>0</v>
      </c>
      <c r="S936" s="360">
        <f t="shared" ca="1" si="427"/>
        <v>9.637999999999975</v>
      </c>
      <c r="T936" s="357">
        <f t="shared" ca="1" si="407"/>
        <v>94.548779999999766</v>
      </c>
      <c r="U936" s="364">
        <f t="shared" ca="1" si="408"/>
        <v>0</v>
      </c>
      <c r="V936" s="359">
        <f t="shared" ca="1" si="409"/>
        <v>1.2030449068691798</v>
      </c>
      <c r="W936" s="357">
        <f t="shared" ca="1" si="410"/>
        <v>75.306015425213943</v>
      </c>
      <c r="X936" s="343"/>
      <c r="Y936" s="367" t="str">
        <f t="shared" ca="1" si="428"/>
        <v/>
      </c>
      <c r="Z936" s="368" t="str">
        <f t="shared" ca="1" si="429"/>
        <v/>
      </c>
      <c r="AA936" s="369" t="str">
        <f t="shared" ca="1" si="430"/>
        <v/>
      </c>
      <c r="AB936" s="344"/>
      <c r="AC936" s="363" t="e">
        <f t="shared" ca="1" si="431"/>
        <v>#N/A</v>
      </c>
      <c r="AD936" s="376" t="e">
        <f t="shared" ca="1" si="432"/>
        <v>#N/A</v>
      </c>
      <c r="AE936" s="377" t="e">
        <f t="shared" ca="1" si="411"/>
        <v>#N/A</v>
      </c>
      <c r="AF936" s="344"/>
      <c r="AG936" s="359">
        <f t="shared" ca="1" si="433"/>
        <v>1.9607299530168403</v>
      </c>
      <c r="AH936" s="357">
        <f t="shared" ca="1" si="434"/>
        <v>-7.782172884396938</v>
      </c>
    </row>
    <row r="937" spans="1:34" x14ac:dyDescent="0.25">
      <c r="A937" s="402">
        <f t="shared" ca="1" si="412"/>
        <v>0.1</v>
      </c>
      <c r="B937" s="357">
        <f t="shared" ca="1" si="413"/>
        <v>48.300000000000352</v>
      </c>
      <c r="C937" s="342"/>
      <c r="D937" s="359">
        <f t="shared" ca="1" si="414"/>
        <v>-0.90694183039514431</v>
      </c>
      <c r="E937" s="360">
        <f t="shared" ca="1" si="415"/>
        <v>-2.0493665204486362</v>
      </c>
      <c r="F937" s="357">
        <f t="shared" ca="1" si="416"/>
        <v>2.2410815734498031</v>
      </c>
      <c r="G937" s="359">
        <f t="shared" ca="1" si="417"/>
        <v>19.212127211322041</v>
      </c>
      <c r="H937" s="360">
        <f t="shared" ca="1" si="418"/>
        <v>-165.37773709241654</v>
      </c>
      <c r="I937" s="357">
        <f t="shared" ca="1" si="419"/>
        <v>166.48994491497817</v>
      </c>
      <c r="J937" s="359">
        <f t="shared" ca="1" si="420"/>
        <v>1770.6130829235206</v>
      </c>
      <c r="K937" s="360">
        <f t="shared" ca="1" si="421"/>
        <v>164.31833037012933</v>
      </c>
      <c r="L937" s="357">
        <f t="shared" ca="1" si="406"/>
        <v>1778.2213594250748</v>
      </c>
      <c r="M937" s="359">
        <f t="shared" ca="1" si="422"/>
        <v>-1.4551435587872585</v>
      </c>
      <c r="N937" s="357">
        <f t="shared" ca="1" si="423"/>
        <v>-83.37358450415671</v>
      </c>
      <c r="O937" s="343"/>
      <c r="P937" s="363">
        <f t="shared" ca="1" si="424"/>
        <v>23</v>
      </c>
      <c r="Q937" s="357">
        <f t="shared" ca="1" si="425"/>
        <v>0</v>
      </c>
      <c r="R937" s="359">
        <f t="shared" ca="1" si="426"/>
        <v>0</v>
      </c>
      <c r="S937" s="360">
        <f t="shared" ca="1" si="427"/>
        <v>9.637999999999975</v>
      </c>
      <c r="T937" s="357">
        <f t="shared" ca="1" si="407"/>
        <v>94.548779999999766</v>
      </c>
      <c r="U937" s="364">
        <f t="shared" ca="1" si="408"/>
        <v>0</v>
      </c>
      <c r="V937" s="359">
        <f t="shared" ca="1" si="409"/>
        <v>1.2050350350152688</v>
      </c>
      <c r="W937" s="357">
        <f t="shared" ca="1" si="410"/>
        <v>75.605834416139274</v>
      </c>
      <c r="X937" s="343"/>
      <c r="Y937" s="367" t="str">
        <f t="shared" ca="1" si="428"/>
        <v/>
      </c>
      <c r="Z937" s="368" t="str">
        <f t="shared" ca="1" si="429"/>
        <v/>
      </c>
      <c r="AA937" s="369" t="str">
        <f t="shared" ca="1" si="430"/>
        <v/>
      </c>
      <c r="AB937" s="344"/>
      <c r="AC937" s="363" t="e">
        <f t="shared" ca="1" si="431"/>
        <v>#N/A</v>
      </c>
      <c r="AD937" s="376" t="e">
        <f t="shared" ca="1" si="432"/>
        <v>#N/A</v>
      </c>
      <c r="AE937" s="377" t="e">
        <f t="shared" ca="1" si="411"/>
        <v>#N/A</v>
      </c>
      <c r="AF937" s="344"/>
      <c r="AG937" s="359">
        <f t="shared" ca="1" si="433"/>
        <v>1.9302410696935883</v>
      </c>
      <c r="AH937" s="357">
        <f t="shared" ca="1" si="434"/>
        <v>-7.8134483736474518</v>
      </c>
    </row>
    <row r="938" spans="1:34" x14ac:dyDescent="0.25">
      <c r="A938" s="402">
        <f t="shared" ca="1" si="412"/>
        <v>0.1</v>
      </c>
      <c r="B938" s="357">
        <f t="shared" ca="1" si="413"/>
        <v>48.400000000000354</v>
      </c>
      <c r="C938" s="342"/>
      <c r="D938" s="359">
        <f t="shared" ca="1" si="414"/>
        <v>-0.90522352696518948</v>
      </c>
      <c r="E938" s="360">
        <f t="shared" ca="1" si="415"/>
        <v>-2.01784784497492</v>
      </c>
      <c r="F938" s="357">
        <f t="shared" ca="1" si="416"/>
        <v>2.2115920869910042</v>
      </c>
      <c r="G938" s="359">
        <f t="shared" ca="1" si="417"/>
        <v>19.121604858625524</v>
      </c>
      <c r="H938" s="360">
        <f t="shared" ca="1" si="418"/>
        <v>-165.57952187691404</v>
      </c>
      <c r="I938" s="357">
        <f t="shared" ca="1" si="419"/>
        <v>166.67997431412351</v>
      </c>
      <c r="J938" s="359">
        <f t="shared" ca="1" si="420"/>
        <v>1772.5297695270178</v>
      </c>
      <c r="K938" s="360">
        <f t="shared" ca="1" si="421"/>
        <v>147.7704674216628</v>
      </c>
      <c r="L938" s="357">
        <f t="shared" ca="1" si="406"/>
        <v>1778.6786935535938</v>
      </c>
      <c r="M938" s="359">
        <f t="shared" ca="1" si="422"/>
        <v>-1.4558227202889247</v>
      </c>
      <c r="N938" s="357">
        <f t="shared" ca="1" si="423"/>
        <v>-83.412497591809952</v>
      </c>
      <c r="O938" s="343"/>
      <c r="P938" s="363">
        <f t="shared" ca="1" si="424"/>
        <v>23</v>
      </c>
      <c r="Q938" s="357">
        <f t="shared" ca="1" si="425"/>
        <v>0</v>
      </c>
      <c r="R938" s="359">
        <f t="shared" ca="1" si="426"/>
        <v>0</v>
      </c>
      <c r="S938" s="360">
        <f t="shared" ca="1" si="427"/>
        <v>9.637999999999975</v>
      </c>
      <c r="T938" s="357">
        <f t="shared" ca="1" si="407"/>
        <v>94.548779999999766</v>
      </c>
      <c r="U938" s="364">
        <f t="shared" ca="1" si="408"/>
        <v>0</v>
      </c>
      <c r="V938" s="359">
        <f t="shared" ca="1" si="409"/>
        <v>1.2070308829818925</v>
      </c>
      <c r="W938" s="357">
        <f t="shared" ca="1" si="410"/>
        <v>75.904032618228442</v>
      </c>
      <c r="X938" s="343"/>
      <c r="Y938" s="367" t="str">
        <f t="shared" ca="1" si="428"/>
        <v/>
      </c>
      <c r="Z938" s="368" t="str">
        <f t="shared" ca="1" si="429"/>
        <v/>
      </c>
      <c r="AA938" s="369" t="str">
        <f t="shared" ca="1" si="430"/>
        <v/>
      </c>
      <c r="AB938" s="344"/>
      <c r="AC938" s="363" t="e">
        <f t="shared" ca="1" si="431"/>
        <v>#N/A</v>
      </c>
      <c r="AD938" s="376" t="e">
        <f t="shared" ca="1" si="432"/>
        <v>#N/A</v>
      </c>
      <c r="AE938" s="377" t="e">
        <f t="shared" ca="1" si="411"/>
        <v>#N/A</v>
      </c>
      <c r="AF938" s="344"/>
      <c r="AG938" s="359">
        <f t="shared" ca="1" si="433"/>
        <v>1.899909577155297</v>
      </c>
      <c r="AH938" s="357">
        <f t="shared" ca="1" si="434"/>
        <v>-7.8445563826664735</v>
      </c>
    </row>
    <row r="939" spans="1:34" x14ac:dyDescent="0.25">
      <c r="A939" s="402">
        <f t="shared" ca="1" si="412"/>
        <v>0.1</v>
      </c>
      <c r="B939" s="357">
        <f t="shared" ca="1" si="413"/>
        <v>48.500000000000355</v>
      </c>
      <c r="C939" s="342"/>
      <c r="D939" s="359">
        <f t="shared" ca="1" si="414"/>
        <v>-0.90348062209064639</v>
      </c>
      <c r="E939" s="360">
        <f t="shared" ca="1" si="415"/>
        <v>-1.986499277290295</v>
      </c>
      <c r="F939" s="357">
        <f t="shared" ca="1" si="416"/>
        <v>2.1823053437060924</v>
      </c>
      <c r="G939" s="359">
        <f t="shared" ca="1" si="417"/>
        <v>19.031256796416461</v>
      </c>
      <c r="H939" s="360">
        <f t="shared" ca="1" si="418"/>
        <v>-165.77817180464308</v>
      </c>
      <c r="I939" s="357">
        <f t="shared" ca="1" si="419"/>
        <v>166.86698589637467</v>
      </c>
      <c r="J939" s="359">
        <f t="shared" ca="1" si="420"/>
        <v>1774.43741260977</v>
      </c>
      <c r="K939" s="360">
        <f t="shared" ca="1" si="421"/>
        <v>131.20258273758495</v>
      </c>
      <c r="L939" s="357">
        <f t="shared" ca="1" si="406"/>
        <v>1779.281385556053</v>
      </c>
      <c r="M939" s="359">
        <f t="shared" ca="1" si="422"/>
        <v>-1.4564971544090526</v>
      </c>
      <c r="N939" s="357">
        <f t="shared" ca="1" si="423"/>
        <v>-83.451139820452894</v>
      </c>
      <c r="O939" s="343"/>
      <c r="P939" s="363">
        <f t="shared" ca="1" si="424"/>
        <v>23</v>
      </c>
      <c r="Q939" s="357">
        <f t="shared" ca="1" si="425"/>
        <v>0</v>
      </c>
      <c r="R939" s="359">
        <f t="shared" ca="1" si="426"/>
        <v>0</v>
      </c>
      <c r="S939" s="360">
        <f t="shared" ca="1" si="427"/>
        <v>9.637999999999975</v>
      </c>
      <c r="T939" s="357">
        <f t="shared" ca="1" si="407"/>
        <v>94.548779999999766</v>
      </c>
      <c r="U939" s="364">
        <f t="shared" ca="1" si="408"/>
        <v>0</v>
      </c>
      <c r="V939" s="359">
        <f t="shared" ca="1" si="409"/>
        <v>1.2090324329167141</v>
      </c>
      <c r="W939" s="357">
        <f t="shared" ca="1" si="410"/>
        <v>76.200603662282361</v>
      </c>
      <c r="X939" s="343"/>
      <c r="Y939" s="367" t="str">
        <f t="shared" ca="1" si="428"/>
        <v/>
      </c>
      <c r="Z939" s="368" t="str">
        <f t="shared" ca="1" si="429"/>
        <v/>
      </c>
      <c r="AA939" s="369" t="str">
        <f t="shared" ca="1" si="430"/>
        <v/>
      </c>
      <c r="AB939" s="344"/>
      <c r="AC939" s="363" t="e">
        <f t="shared" ca="1" si="431"/>
        <v>#N/A</v>
      </c>
      <c r="AD939" s="376" t="e">
        <f t="shared" ca="1" si="432"/>
        <v>#N/A</v>
      </c>
      <c r="AE939" s="377" t="e">
        <f t="shared" ca="1" si="411"/>
        <v>#N/A</v>
      </c>
      <c r="AF939" s="344"/>
      <c r="AG939" s="359">
        <f t="shared" ca="1" si="433"/>
        <v>1.8697363157867528</v>
      </c>
      <c r="AH939" s="357">
        <f t="shared" ca="1" si="434"/>
        <v>-7.8754962251741691</v>
      </c>
    </row>
    <row r="940" spans="1:34" x14ac:dyDescent="0.25">
      <c r="A940" s="402">
        <f t="shared" ca="1" si="412"/>
        <v>0.1</v>
      </c>
      <c r="B940" s="357">
        <f t="shared" ca="1" si="413"/>
        <v>48.600000000000357</v>
      </c>
      <c r="C940" s="342"/>
      <c r="D940" s="359">
        <f t="shared" ca="1" si="414"/>
        <v>-0.90171342967278167</v>
      </c>
      <c r="E940" s="360">
        <f t="shared" ca="1" si="415"/>
        <v>-1.9553214854945473</v>
      </c>
      <c r="F940" s="357">
        <f t="shared" ca="1" si="416"/>
        <v>2.1532229844790471</v>
      </c>
      <c r="G940" s="359">
        <f t="shared" ca="1" si="417"/>
        <v>18.941085453449183</v>
      </c>
      <c r="H940" s="360">
        <f t="shared" ca="1" si="418"/>
        <v>-165.97370395319254</v>
      </c>
      <c r="I940" s="357">
        <f t="shared" ca="1" si="419"/>
        <v>167.05099557349806</v>
      </c>
      <c r="J940" s="359">
        <f t="shared" ca="1" si="420"/>
        <v>1776.3360297222632</v>
      </c>
      <c r="K940" s="360">
        <f t="shared" ca="1" si="421"/>
        <v>114.61498894969317</v>
      </c>
      <c r="L940" s="357">
        <f t="shared" ca="1" si="406"/>
        <v>1780.0298554185522</v>
      </c>
      <c r="M940" s="359">
        <f t="shared" ca="1" si="422"/>
        <v>-1.4571669110362517</v>
      </c>
      <c r="N940" s="357">
        <f t="shared" ca="1" si="423"/>
        <v>-83.489514048492325</v>
      </c>
      <c r="O940" s="343"/>
      <c r="P940" s="363">
        <f t="shared" ca="1" si="424"/>
        <v>23</v>
      </c>
      <c r="Q940" s="357">
        <f t="shared" ca="1" si="425"/>
        <v>0</v>
      </c>
      <c r="R940" s="359">
        <f t="shared" ca="1" si="426"/>
        <v>0</v>
      </c>
      <c r="S940" s="360">
        <f t="shared" ca="1" si="427"/>
        <v>9.637999999999975</v>
      </c>
      <c r="T940" s="357">
        <f t="shared" ca="1" si="407"/>
        <v>94.548779999999766</v>
      </c>
      <c r="U940" s="364">
        <f t="shared" ca="1" si="408"/>
        <v>0</v>
      </c>
      <c r="V940" s="359">
        <f t="shared" ca="1" si="409"/>
        <v>1.211039667024151</v>
      </c>
      <c r="W940" s="357">
        <f t="shared" ca="1" si="410"/>
        <v>76.495541422617478</v>
      </c>
      <c r="X940" s="343"/>
      <c r="Y940" s="367" t="str">
        <f t="shared" ca="1" si="428"/>
        <v/>
      </c>
      <c r="Z940" s="368" t="str">
        <f t="shared" ca="1" si="429"/>
        <v/>
      </c>
      <c r="AA940" s="369" t="str">
        <f t="shared" ca="1" si="430"/>
        <v/>
      </c>
      <c r="AB940" s="344"/>
      <c r="AC940" s="363" t="e">
        <f t="shared" ca="1" si="431"/>
        <v>#N/A</v>
      </c>
      <c r="AD940" s="376" t="e">
        <f t="shared" ca="1" si="432"/>
        <v>#N/A</v>
      </c>
      <c r="AE940" s="377" t="e">
        <f t="shared" ca="1" si="411"/>
        <v>#N/A</v>
      </c>
      <c r="AF940" s="344"/>
      <c r="AG940" s="359">
        <f t="shared" ca="1" si="433"/>
        <v>1.839722097631622</v>
      </c>
      <c r="AH940" s="357">
        <f t="shared" ca="1" si="434"/>
        <v>-7.906267240328134</v>
      </c>
    </row>
    <row r="941" spans="1:34" x14ac:dyDescent="0.25">
      <c r="A941" s="402">
        <f t="shared" ca="1" si="412"/>
        <v>0.1</v>
      </c>
      <c r="B941" s="357">
        <f t="shared" ca="1" si="413"/>
        <v>48.700000000000358</v>
      </c>
      <c r="C941" s="342"/>
      <c r="D941" s="359">
        <f t="shared" ca="1" si="414"/>
        <v>-0.89992226335701087</v>
      </c>
      <c r="E941" s="360">
        <f t="shared" ca="1" si="415"/>
        <v>-1.9243151121730264</v>
      </c>
      <c r="F941" s="357">
        <f t="shared" ca="1" si="416"/>
        <v>2.124346659804631</v>
      </c>
      <c r="G941" s="359">
        <f t="shared" ca="1" si="417"/>
        <v>18.851093227113481</v>
      </c>
      <c r="H941" s="360">
        <f t="shared" ca="1" si="418"/>
        <v>-166.16613546440985</v>
      </c>
      <c r="I941" s="357">
        <f t="shared" ca="1" si="419"/>
        <v>167.23201933551459</v>
      </c>
      <c r="J941" s="359">
        <f t="shared" ca="1" si="420"/>
        <v>1778.2256386562913</v>
      </c>
      <c r="K941" s="360">
        <f t="shared" ca="1" si="421"/>
        <v>98.007996978813054</v>
      </c>
      <c r="L941" s="357">
        <f t="shared" ca="1" si="406"/>
        <v>1780.9244760647134</v>
      </c>
      <c r="M941" s="359">
        <f t="shared" ca="1" si="422"/>
        <v>-1.457832039296403</v>
      </c>
      <c r="N941" s="357">
        <f t="shared" ca="1" si="423"/>
        <v>-83.527623090633867</v>
      </c>
      <c r="O941" s="343"/>
      <c r="P941" s="363">
        <f t="shared" ca="1" si="424"/>
        <v>23</v>
      </c>
      <c r="Q941" s="357">
        <f t="shared" ca="1" si="425"/>
        <v>0</v>
      </c>
      <c r="R941" s="359">
        <f t="shared" ca="1" si="426"/>
        <v>0</v>
      </c>
      <c r="S941" s="360">
        <f t="shared" ca="1" si="427"/>
        <v>9.637999999999975</v>
      </c>
      <c r="T941" s="357">
        <f t="shared" ca="1" si="407"/>
        <v>94.548779999999766</v>
      </c>
      <c r="U941" s="364">
        <f t="shared" ca="1" si="408"/>
        <v>0</v>
      </c>
      <c r="V941" s="359">
        <f t="shared" ca="1" si="409"/>
        <v>1.2130525675661894</v>
      </c>
      <c r="W941" s="357">
        <f t="shared" ca="1" si="410"/>
        <v>76.788840015382533</v>
      </c>
      <c r="X941" s="343"/>
      <c r="Y941" s="367" t="str">
        <f t="shared" ca="1" si="428"/>
        <v/>
      </c>
      <c r="Z941" s="368" t="str">
        <f t="shared" ca="1" si="429"/>
        <v/>
      </c>
      <c r="AA941" s="369" t="str">
        <f t="shared" ca="1" si="430"/>
        <v/>
      </c>
      <c r="AB941" s="344"/>
      <c r="AC941" s="363" t="e">
        <f t="shared" ca="1" si="431"/>
        <v>#N/A</v>
      </c>
      <c r="AD941" s="376" t="e">
        <f t="shared" ca="1" si="432"/>
        <v>#N/A</v>
      </c>
      <c r="AE941" s="377" t="e">
        <f t="shared" ca="1" si="411"/>
        <v>#N/A</v>
      </c>
      <c r="AF941" s="344"/>
      <c r="AG941" s="359">
        <f t="shared" ca="1" si="433"/>
        <v>1.8098677066293352</v>
      </c>
      <c r="AH941" s="357">
        <f t="shared" ca="1" si="434"/>
        <v>-7.9368687925521559</v>
      </c>
    </row>
    <row r="942" spans="1:34" x14ac:dyDescent="0.25">
      <c r="A942" s="402">
        <f t="shared" ca="1" si="412"/>
        <v>0.1</v>
      </c>
      <c r="B942" s="357">
        <f t="shared" ca="1" si="413"/>
        <v>48.80000000000036</v>
      </c>
      <c r="C942" s="342"/>
      <c r="D942" s="359">
        <f t="shared" ca="1" si="414"/>
        <v>-0.898107436486282</v>
      </c>
      <c r="E942" s="360">
        <f t="shared" ca="1" si="415"/>
        <v>-1.8934807745723221</v>
      </c>
      <c r="F942" s="357">
        <f t="shared" ca="1" si="416"/>
        <v>2.0956780313652579</v>
      </c>
      <c r="G942" s="359">
        <f t="shared" ca="1" si="417"/>
        <v>18.761282483464853</v>
      </c>
      <c r="H942" s="360">
        <f t="shared" ca="1" si="418"/>
        <v>-166.35548354186707</v>
      </c>
      <c r="I942" s="357">
        <f t="shared" ca="1" si="419"/>
        <v>167.4100732479165</v>
      </c>
      <c r="J942" s="359">
        <f t="shared" ca="1" si="420"/>
        <v>1780.1062574418202</v>
      </c>
      <c r="K942" s="360">
        <f t="shared" ca="1" si="421"/>
        <v>81.381916028499205</v>
      </c>
      <c r="L942" s="357">
        <f t="shared" ca="1" si="406"/>
        <v>1781.9655731915791</v>
      </c>
      <c r="M942" s="359">
        <f t="shared" ca="1" si="422"/>
        <v>-1.4584925875669577</v>
      </c>
      <c r="N942" s="357">
        <f t="shared" ca="1" si="423"/>
        <v>-83.565469718701323</v>
      </c>
      <c r="O942" s="343"/>
      <c r="P942" s="363">
        <f t="shared" ca="1" si="424"/>
        <v>23</v>
      </c>
      <c r="Q942" s="357">
        <f t="shared" ca="1" si="425"/>
        <v>0</v>
      </c>
      <c r="R942" s="359">
        <f t="shared" ca="1" si="426"/>
        <v>0</v>
      </c>
      <c r="S942" s="360">
        <f t="shared" ca="1" si="427"/>
        <v>9.637999999999975</v>
      </c>
      <c r="T942" s="357">
        <f t="shared" ca="1" si="407"/>
        <v>94.548779999999766</v>
      </c>
      <c r="U942" s="364">
        <f t="shared" ca="1" si="408"/>
        <v>0</v>
      </c>
      <c r="V942" s="359">
        <f t="shared" ca="1" si="409"/>
        <v>1.2150711168631938</v>
      </c>
      <c r="W942" s="357">
        <f t="shared" ca="1" si="410"/>
        <v>77.080493796844394</v>
      </c>
      <c r="X942" s="343"/>
      <c r="Y942" s="367" t="str">
        <f t="shared" ca="1" si="428"/>
        <v/>
      </c>
      <c r="Z942" s="368" t="str">
        <f t="shared" ca="1" si="429"/>
        <v/>
      </c>
      <c r="AA942" s="369" t="str">
        <f t="shared" ca="1" si="430"/>
        <v/>
      </c>
      <c r="AB942" s="344"/>
      <c r="AC942" s="363" t="e">
        <f t="shared" ca="1" si="431"/>
        <v>#N/A</v>
      </c>
      <c r="AD942" s="376" t="e">
        <f t="shared" ca="1" si="432"/>
        <v>#N/A</v>
      </c>
      <c r="AE942" s="377" t="e">
        <f t="shared" ca="1" si="411"/>
        <v>#N/A</v>
      </c>
      <c r="AF942" s="344"/>
      <c r="AG942" s="359">
        <f t="shared" ca="1" si="433"/>
        <v>1.7801738988536586</v>
      </c>
      <c r="AH942" s="357">
        <f t="shared" ca="1" si="434"/>
        <v>-7.9673002713615615</v>
      </c>
    </row>
    <row r="943" spans="1:34" x14ac:dyDescent="0.25">
      <c r="A943" s="402">
        <f t="shared" ca="1" si="412"/>
        <v>0.1</v>
      </c>
      <c r="B943" s="357">
        <f t="shared" ca="1" si="413"/>
        <v>48.900000000000361</v>
      </c>
      <c r="C943" s="342"/>
      <c r="D943" s="359">
        <f t="shared" ca="1" si="414"/>
        <v>-0.8962692620550754</v>
      </c>
      <c r="E943" s="360">
        <f t="shared" ca="1" si="415"/>
        <v>-1.862819064779174</v>
      </c>
      <c r="F943" s="357">
        <f t="shared" ca="1" si="416"/>
        <v>2.0672187736689862</v>
      </c>
      <c r="G943" s="359">
        <f t="shared" ca="1" si="417"/>
        <v>18.671655557259346</v>
      </c>
      <c r="H943" s="360">
        <f t="shared" ca="1" si="418"/>
        <v>-166.54176544834499</v>
      </c>
      <c r="I943" s="357">
        <f t="shared" ca="1" si="419"/>
        <v>167.58517344890774</v>
      </c>
      <c r="J943" s="359">
        <f t="shared" ca="1" si="420"/>
        <v>1781.9779043438564</v>
      </c>
      <c r="K943" s="360">
        <f t="shared" ca="1" si="421"/>
        <v>64.737053578988593</v>
      </c>
      <c r="L943" s="357">
        <f t="shared" ca="1" si="406"/>
        <v>1783.1534251644784</v>
      </c>
      <c r="M943" s="359">
        <f t="shared" ca="1" si="422"/>
        <v>-1.4591486034909207</v>
      </c>
      <c r="N943" s="357">
        <f t="shared" ca="1" si="423"/>
        <v>-83.60305666243778</v>
      </c>
      <c r="O943" s="343"/>
      <c r="P943" s="363">
        <f t="shared" ca="1" si="424"/>
        <v>23</v>
      </c>
      <c r="Q943" s="357">
        <f t="shared" ca="1" si="425"/>
        <v>0</v>
      </c>
      <c r="R943" s="359">
        <f t="shared" ca="1" si="426"/>
        <v>0</v>
      </c>
      <c r="S943" s="360">
        <f t="shared" ca="1" si="427"/>
        <v>9.637999999999975</v>
      </c>
      <c r="T943" s="357">
        <f t="shared" ca="1" si="407"/>
        <v>94.548779999999766</v>
      </c>
      <c r="U943" s="364">
        <f t="shared" ca="1" si="408"/>
        <v>0</v>
      </c>
      <c r="V943" s="359">
        <f t="shared" ca="1" si="409"/>
        <v>1.217095297294702</v>
      </c>
      <c r="W943" s="357">
        <f t="shared" ca="1" si="410"/>
        <v>77.370497361642833</v>
      </c>
      <c r="X943" s="343"/>
      <c r="Y943" s="367" t="str">
        <f t="shared" ca="1" si="428"/>
        <v/>
      </c>
      <c r="Z943" s="368" t="str">
        <f t="shared" ca="1" si="429"/>
        <v/>
      </c>
      <c r="AA943" s="369" t="str">
        <f t="shared" ca="1" si="430"/>
        <v/>
      </c>
      <c r="AB943" s="344"/>
      <c r="AC943" s="363" t="e">
        <f t="shared" ca="1" si="431"/>
        <v>#N/A</v>
      </c>
      <c r="AD943" s="376" t="e">
        <f t="shared" ca="1" si="432"/>
        <v>#N/A</v>
      </c>
      <c r="AE943" s="377" t="e">
        <f t="shared" ca="1" si="411"/>
        <v>#N/A</v>
      </c>
      <c r="AF943" s="344"/>
      <c r="AG943" s="359">
        <f t="shared" ca="1" si="433"/>
        <v>1.7506414027528283</v>
      </c>
      <c r="AH943" s="357">
        <f t="shared" ca="1" si="434"/>
        <v>-7.9975610911853696</v>
      </c>
    </row>
    <row r="944" spans="1:34" x14ac:dyDescent="0.25">
      <c r="A944" s="402">
        <f t="shared" ca="1" si="412"/>
        <v>0.1</v>
      </c>
      <c r="B944" s="357">
        <f t="shared" ca="1" si="413"/>
        <v>49.000000000000362</v>
      </c>
      <c r="C944" s="342"/>
      <c r="D944" s="359">
        <f t="shared" ca="1" si="414"/>
        <v>-0.89440805266405343</v>
      </c>
      <c r="E944" s="360">
        <f t="shared" ca="1" si="415"/>
        <v>-1.8323305499026823</v>
      </c>
      <c r="F944" s="357">
        <f t="shared" ca="1" si="416"/>
        <v>2.0389705757506582</v>
      </c>
      <c r="G944" s="359">
        <f t="shared" ca="1" si="417"/>
        <v>18.582214751992939</v>
      </c>
      <c r="H944" s="360">
        <f t="shared" ca="1" si="418"/>
        <v>-166.72499850333526</v>
      </c>
      <c r="I944" s="357">
        <f t="shared" ca="1" si="419"/>
        <v>167.75733614666848</v>
      </c>
      <c r="J944" s="359">
        <f t="shared" ca="1" si="420"/>
        <v>1783.8405978593189</v>
      </c>
      <c r="K944" s="360">
        <f t="shared" ca="1" si="421"/>
        <v>48.073715381404583</v>
      </c>
      <c r="L944" s="357">
        <f t="shared" ca="1" si="406"/>
        <v>1784.4882629711142</v>
      </c>
      <c r="M944" s="359">
        <f t="shared" ca="1" si="422"/>
        <v>-1.45980013399053</v>
      </c>
      <c r="N944" s="357">
        <f t="shared" ca="1" si="423"/>
        <v>-83.64038661028944</v>
      </c>
      <c r="O944" s="343"/>
      <c r="P944" s="363">
        <f t="shared" ca="1" si="424"/>
        <v>23</v>
      </c>
      <c r="Q944" s="357">
        <f t="shared" ca="1" si="425"/>
        <v>0</v>
      </c>
      <c r="R944" s="359">
        <f t="shared" ca="1" si="426"/>
        <v>0</v>
      </c>
      <c r="S944" s="360">
        <f t="shared" ca="1" si="427"/>
        <v>9.637999999999975</v>
      </c>
      <c r="T944" s="357">
        <f t="shared" ca="1" si="407"/>
        <v>94.548779999999766</v>
      </c>
      <c r="U944" s="364">
        <f t="shared" ca="1" si="408"/>
        <v>0</v>
      </c>
      <c r="V944" s="359">
        <f t="shared" ca="1" si="409"/>
        <v>1.2191250913002145</v>
      </c>
      <c r="W944" s="357">
        <f t="shared" ca="1" si="410"/>
        <v>77.658845541015779</v>
      </c>
      <c r="X944" s="343"/>
      <c r="Y944" s="367" t="str">
        <f t="shared" ca="1" si="428"/>
        <v/>
      </c>
      <c r="Z944" s="368" t="str">
        <f t="shared" ca="1" si="429"/>
        <v/>
      </c>
      <c r="AA944" s="369" t="str">
        <f t="shared" ca="1" si="430"/>
        <v/>
      </c>
      <c r="AB944" s="344"/>
      <c r="AC944" s="363">
        <f t="shared" ca="1" si="431"/>
        <v>49.000000000000362</v>
      </c>
      <c r="AD944" s="376">
        <f t="shared" ca="1" si="432"/>
        <v>1783.8405978593189</v>
      </c>
      <c r="AE944" s="377" t="e">
        <f t="shared" ca="1" si="411"/>
        <v>#N/A</v>
      </c>
      <c r="AF944" s="344"/>
      <c r="AG944" s="359">
        <f t="shared" ca="1" si="433"/>
        <v>1.721270919391273</v>
      </c>
      <c r="AH944" s="357">
        <f t="shared" ca="1" si="434"/>
        <v>-8.0276506911852081</v>
      </c>
    </row>
    <row r="945" spans="1:34" x14ac:dyDescent="0.25">
      <c r="A945" s="402">
        <f t="shared" ca="1" si="412"/>
        <v>0.1</v>
      </c>
      <c r="B945" s="357">
        <f t="shared" ca="1" si="413"/>
        <v>49.100000000000364</v>
      </c>
      <c r="C945" s="342"/>
      <c r="D945" s="359">
        <f t="shared" ca="1" si="414"/>
        <v>-0.89252412047535401</v>
      </c>
      <c r="E945" s="360">
        <f t="shared" ca="1" si="415"/>
        <v>-1.8020157722596171</v>
      </c>
      <c r="F945" s="357">
        <f t="shared" ca="1" si="416"/>
        <v>2.0109351429379139</v>
      </c>
      <c r="G945" s="359">
        <f t="shared" ca="1" si="417"/>
        <v>18.492962339945404</v>
      </c>
      <c r="H945" s="360">
        <f t="shared" ca="1" si="418"/>
        <v>-166.90520008056123</v>
      </c>
      <c r="I945" s="357">
        <f t="shared" ca="1" si="419"/>
        <v>167.92657761664415</v>
      </c>
      <c r="J945" s="359">
        <f t="shared" ca="1" si="420"/>
        <v>1785.6943567139158</v>
      </c>
      <c r="K945" s="360">
        <f t="shared" ca="1" si="421"/>
        <v>31.392205452209758</v>
      </c>
      <c r="L945" s="357">
        <f t="shared" ca="1" si="406"/>
        <v>1785.9702702349441</v>
      </c>
      <c r="M945" s="359">
        <f t="shared" ca="1" si="422"/>
        <v>-1.4604472252806375</v>
      </c>
      <c r="N945" s="357">
        <f t="shared" ca="1" si="423"/>
        <v>-83.67746221017228</v>
      </c>
      <c r="O945" s="343"/>
      <c r="P945" s="363">
        <f t="shared" ca="1" si="424"/>
        <v>23</v>
      </c>
      <c r="Q945" s="357">
        <f t="shared" ca="1" si="425"/>
        <v>0</v>
      </c>
      <c r="R945" s="359">
        <f t="shared" ca="1" si="426"/>
        <v>0</v>
      </c>
      <c r="S945" s="360">
        <f t="shared" ca="1" si="427"/>
        <v>9.637999999999975</v>
      </c>
      <c r="T945" s="357">
        <f t="shared" ca="1" si="407"/>
        <v>94.548779999999766</v>
      </c>
      <c r="U945" s="364">
        <f t="shared" ca="1" si="408"/>
        <v>0</v>
      </c>
      <c r="V945" s="359">
        <f t="shared" ca="1" si="409"/>
        <v>1.2211604813799724</v>
      </c>
      <c r="W945" s="357">
        <f t="shared" ca="1" si="410"/>
        <v>77.945533400995714</v>
      </c>
      <c r="X945" s="343"/>
      <c r="Y945" s="367" t="str">
        <f t="shared" ca="1" si="428"/>
        <v/>
      </c>
      <c r="Z945" s="368" t="str">
        <f t="shared" ca="1" si="429"/>
        <v/>
      </c>
      <c r="AA945" s="369" t="str">
        <f t="shared" ca="1" si="430"/>
        <v/>
      </c>
      <c r="AB945" s="344"/>
      <c r="AC945" s="363" t="e">
        <f t="shared" ca="1" si="431"/>
        <v>#N/A</v>
      </c>
      <c r="AD945" s="376" t="e">
        <f t="shared" ca="1" si="432"/>
        <v>#N/A</v>
      </c>
      <c r="AE945" s="377" t="e">
        <f t="shared" ca="1" si="411"/>
        <v>#N/A</v>
      </c>
      <c r="AF945" s="344"/>
      <c r="AG945" s="359">
        <f t="shared" ca="1" si="433"/>
        <v>1.6920631226928435</v>
      </c>
      <c r="AH945" s="357">
        <f t="shared" ca="1" si="434"/>
        <v>-8.0575685350711748</v>
      </c>
    </row>
    <row r="946" spans="1:34" x14ac:dyDescent="0.25">
      <c r="A946" s="402">
        <f t="shared" ca="1" si="412"/>
        <v>0.1</v>
      </c>
      <c r="B946" s="357">
        <f t="shared" ca="1" si="413"/>
        <v>49.200000000000365</v>
      </c>
      <c r="C946" s="342"/>
      <c r="D946" s="359">
        <f t="shared" ca="1" si="414"/>
        <v>-0.89061777716853174</v>
      </c>
      <c r="E946" s="360">
        <f t="shared" ca="1" si="415"/>
        <v>-1.7718752495627772</v>
      </c>
      <c r="F946" s="357">
        <f t="shared" ca="1" si="416"/>
        <v>1.9831141986839211</v>
      </c>
      <c r="G946" s="359">
        <f t="shared" ca="1" si="417"/>
        <v>18.40390056222855</v>
      </c>
      <c r="H946" s="360">
        <f t="shared" ca="1" si="418"/>
        <v>-167.08238760551751</v>
      </c>
      <c r="I946" s="357">
        <f t="shared" ca="1" si="419"/>
        <v>168.09291419885844</v>
      </c>
      <c r="J946" s="359">
        <f t="shared" ca="1" si="420"/>
        <v>1787.5391998590244</v>
      </c>
      <c r="K946" s="360">
        <f t="shared" ca="1" si="421"/>
        <v>14.69282606790582</v>
      </c>
      <c r="L946" s="357">
        <f t="shared" ca="1" si="406"/>
        <v>1787.5995832877404</v>
      </c>
      <c r="M946" s="359">
        <f t="shared" ca="1" si="422"/>
        <v>-1.4610899228818013</v>
      </c>
      <c r="N946" s="357">
        <f t="shared" ca="1" si="423"/>
        <v>-83.714286070222144</v>
      </c>
      <c r="O946" s="343"/>
      <c r="P946" s="363">
        <f t="shared" ca="1" si="424"/>
        <v>23</v>
      </c>
      <c r="Q946" s="357">
        <f t="shared" ca="1" si="425"/>
        <v>0</v>
      </c>
      <c r="R946" s="359">
        <f t="shared" ca="1" si="426"/>
        <v>0</v>
      </c>
      <c r="S946" s="360">
        <f t="shared" ca="1" si="427"/>
        <v>9.637999999999975</v>
      </c>
      <c r="T946" s="357">
        <f t="shared" ca="1" si="407"/>
        <v>94.548779999999766</v>
      </c>
      <c r="U946" s="364">
        <f t="shared" ca="1" si="408"/>
        <v>0</v>
      </c>
      <c r="V946" s="359">
        <f t="shared" ca="1" si="409"/>
        <v>1.2232014500957276</v>
      </c>
      <c r="W946" s="357">
        <f t="shared" ca="1" si="410"/>
        <v>78.230556240577826</v>
      </c>
      <c r="X946" s="343"/>
      <c r="Y946" s="367" t="str">
        <f t="shared" ca="1" si="428"/>
        <v/>
      </c>
      <c r="Z946" s="368" t="str">
        <f t="shared" ca="1" si="429"/>
        <v/>
      </c>
      <c r="AA946" s="369" t="str">
        <f t="shared" ca="1" si="430"/>
        <v/>
      </c>
      <c r="AB946" s="344"/>
      <c r="AC946" s="363" t="e">
        <f t="shared" ca="1" si="431"/>
        <v>#N/A</v>
      </c>
      <c r="AD946" s="376" t="e">
        <f t="shared" ca="1" si="432"/>
        <v>#N/A</v>
      </c>
      <c r="AE946" s="377" t="e">
        <f t="shared" ca="1" si="411"/>
        <v>#N/A</v>
      </c>
      <c r="AF946" s="344"/>
      <c r="AG946" s="359">
        <f t="shared" ca="1" si="433"/>
        <v>1.663018659685509</v>
      </c>
      <c r="AH946" s="357">
        <f t="shared" ca="1" si="434"/>
        <v>-8.0873141109147042</v>
      </c>
    </row>
    <row r="947" spans="1:34" x14ac:dyDescent="0.25">
      <c r="A947" s="402">
        <f t="shared" ca="1" si="412"/>
        <v>0.1</v>
      </c>
      <c r="B947" s="357">
        <f t="shared" ca="1" si="413"/>
        <v>49.300000000000367</v>
      </c>
      <c r="C947" s="342"/>
      <c r="D947" s="359">
        <f t="shared" ca="1" si="414"/>
        <v>-0.88868933389714144</v>
      </c>
      <c r="E947" s="360">
        <f t="shared" ca="1" si="415"/>
        <v>-1.7419094751123207</v>
      </c>
      <c r="F947" s="357">
        <f t="shared" ca="1" si="416"/>
        <v>1.9555094864685842</v>
      </c>
      <c r="G947" s="359">
        <f t="shared" ca="1" si="417"/>
        <v>18.315031628838835</v>
      </c>
      <c r="H947" s="360">
        <f t="shared" ca="1" si="418"/>
        <v>-167.25657855302873</v>
      </c>
      <c r="I947" s="357">
        <f t="shared" ca="1" si="419"/>
        <v>168.25636229525122</v>
      </c>
      <c r="J947" s="359">
        <f t="shared" ca="1" si="420"/>
        <v>1789.3751464685777</v>
      </c>
      <c r="K947" s="360">
        <f t="shared" ca="1" si="421"/>
        <v>-2.0241222400214909</v>
      </c>
      <c r="L947" s="357">
        <f t="shared" ca="1" si="406"/>
        <v>1789.3762913010462</v>
      </c>
      <c r="M947" s="359">
        <f t="shared" ca="1" si="422"/>
        <v>-1.4617282716330944</v>
      </c>
      <c r="N947" s="357">
        <f t="shared" ca="1" si="423"/>
        <v>-83.750860759528678</v>
      </c>
      <c r="O947" s="343"/>
      <c r="P947" s="363">
        <f t="shared" ca="1" si="424"/>
        <v>23</v>
      </c>
      <c r="Q947" s="357">
        <f t="shared" ca="1" si="425"/>
        <v>0</v>
      </c>
      <c r="R947" s="359">
        <f t="shared" ca="1" si="426"/>
        <v>0</v>
      </c>
      <c r="S947" s="360">
        <f t="shared" ca="1" si="427"/>
        <v>9.637999999999975</v>
      </c>
      <c r="T947" s="357">
        <f t="shared" ca="1" si="407"/>
        <v>94.548779999999766</v>
      </c>
      <c r="U947" s="364">
        <f t="shared" ca="1" si="408"/>
        <v>0</v>
      </c>
      <c r="V947" s="359">
        <f t="shared" ca="1" si="409"/>
        <v>1.2252479800715017</v>
      </c>
      <c r="W947" s="357">
        <f t="shared" ca="1" si="410"/>
        <v>78.5139095898612</v>
      </c>
      <c r="X947" s="343"/>
      <c r="Y947" s="367" t="str">
        <f t="shared" ca="1" si="428"/>
        <v>Impact balistique</v>
      </c>
      <c r="Z947" s="368" t="str">
        <f t="shared" ca="1" si="429"/>
        <v/>
      </c>
      <c r="AA947" s="369" t="str">
        <f t="shared" ca="1" si="430"/>
        <v/>
      </c>
      <c r="AB947" s="344"/>
      <c r="AC947" s="363" t="e">
        <f t="shared" ca="1" si="431"/>
        <v>#N/A</v>
      </c>
      <c r="AD947" s="376" t="e">
        <f t="shared" ca="1" si="432"/>
        <v>#N/A</v>
      </c>
      <c r="AE947" s="377" t="e">
        <f t="shared" ca="1" si="411"/>
        <v>#N/A</v>
      </c>
      <c r="AF947" s="344"/>
      <c r="AG947" s="359">
        <f t="shared" ca="1" si="433"/>
        <v>1.6341381507475212</v>
      </c>
      <c r="AH947" s="357">
        <f t="shared" ca="1" si="434"/>
        <v>-8.1168869309585006</v>
      </c>
    </row>
    <row r="948" spans="1:34" x14ac:dyDescent="0.25">
      <c r="A948" s="402">
        <f t="shared" ca="1" si="412"/>
        <v>1E-4</v>
      </c>
      <c r="B948" s="357">
        <f t="shared" ca="1" si="413"/>
        <v>49.30010000000037</v>
      </c>
      <c r="C948" s="342"/>
      <c r="D948" s="359">
        <f t="shared" ca="1" si="414"/>
        <v>-0.88673910124597621</v>
      </c>
      <c r="E948" s="360">
        <f t="shared" ca="1" si="415"/>
        <v>-1.7121189179899474</v>
      </c>
      <c r="F948" s="357">
        <f t="shared" ca="1" si="416"/>
        <v>1.9281227717698866</v>
      </c>
      <c r="G948" s="359">
        <f t="shared" ca="1" si="417"/>
        <v>18.314942954928711</v>
      </c>
      <c r="H948" s="360">
        <f t="shared" ca="1" si="418"/>
        <v>-167.25674976492053</v>
      </c>
      <c r="I948" s="357">
        <f t="shared" ca="1" si="419"/>
        <v>168.25652283750409</v>
      </c>
      <c r="J948" s="359">
        <f t="shared" ca="1" si="420"/>
        <v>1789.3751464685777</v>
      </c>
      <c r="K948" s="360">
        <f t="shared" ca="1" si="421"/>
        <v>-2.0408479064373886</v>
      </c>
      <c r="L948" s="357">
        <f t="shared" ca="1" si="406"/>
        <v>1789.3763102990999</v>
      </c>
      <c r="M948" s="359">
        <f t="shared" ca="1" si="422"/>
        <v>-1.4617289062816201</v>
      </c>
      <c r="N948" s="357">
        <f t="shared" ca="1" si="423"/>
        <v>-83.750897122210674</v>
      </c>
      <c r="O948" s="343"/>
      <c r="P948" s="363">
        <f t="shared" ca="1" si="424"/>
        <v>23</v>
      </c>
      <c r="Q948" s="357">
        <f t="shared" ca="1" si="425"/>
        <v>0</v>
      </c>
      <c r="R948" s="359">
        <f t="shared" ca="1" si="426"/>
        <v>0</v>
      </c>
      <c r="S948" s="360">
        <f t="shared" ca="1" si="427"/>
        <v>9.637999999999975</v>
      </c>
      <c r="T948" s="357">
        <f t="shared" ca="1" si="407"/>
        <v>94.548779999999766</v>
      </c>
      <c r="U948" s="364">
        <f t="shared" ca="1" si="408"/>
        <v>0</v>
      </c>
      <c r="V948" s="359">
        <f t="shared" ca="1" si="409"/>
        <v>1.225250029382136</v>
      </c>
      <c r="W948" s="357">
        <f t="shared" ca="1" si="410"/>
        <v>78.514190738549317</v>
      </c>
      <c r="X948" s="343"/>
      <c r="Y948" s="367" t="str">
        <f t="shared" ca="1" si="428"/>
        <v/>
      </c>
      <c r="Z948" s="368" t="str">
        <f t="shared" ca="1" si="429"/>
        <v/>
      </c>
      <c r="AA948" s="369" t="str">
        <f t="shared" ca="1" si="430"/>
        <v/>
      </c>
      <c r="AB948" s="344"/>
      <c r="AC948" s="363" t="e">
        <f t="shared" ca="1" si="431"/>
        <v>#N/A</v>
      </c>
      <c r="AD948" s="376" t="e">
        <f t="shared" ca="1" si="432"/>
        <v>#N/A</v>
      </c>
      <c r="AE948" s="377" t="e">
        <f t="shared" ca="1" si="411"/>
        <v>#N/A</v>
      </c>
      <c r="AF948" s="344"/>
      <c r="AG948" s="359">
        <f t="shared" ca="1" si="433"/>
        <v>1.6054221898549148</v>
      </c>
      <c r="AH948" s="357">
        <f t="shared" ca="1" si="434"/>
        <v>-8.1462865314236783</v>
      </c>
    </row>
    <row r="949" spans="1:34" x14ac:dyDescent="0.25">
      <c r="A949" s="402">
        <f t="shared" ca="1" si="412"/>
        <v>1E-4</v>
      </c>
      <c r="B949" s="357">
        <f t="shared" ca="1" si="413"/>
        <v>49.300200000000373</v>
      </c>
      <c r="C949" s="342"/>
      <c r="D949" s="359">
        <f t="shared" ca="1" si="414"/>
        <v>-0.88673713722315284</v>
      </c>
      <c r="E949" s="360">
        <f t="shared" ca="1" si="415"/>
        <v>-1.7120893577021672</v>
      </c>
      <c r="F949" s="357">
        <f t="shared" ca="1" si="416"/>
        <v>1.9280956198507717</v>
      </c>
      <c r="G949" s="359">
        <f t="shared" ca="1" si="417"/>
        <v>18.314854281214988</v>
      </c>
      <c r="H949" s="360">
        <f t="shared" ca="1" si="418"/>
        <v>-167.2569209738563</v>
      </c>
      <c r="I949" s="357">
        <f t="shared" ca="1" si="419"/>
        <v>168.25668337690766</v>
      </c>
      <c r="J949" s="359">
        <f t="shared" ca="1" si="420"/>
        <v>1789.3751464685777</v>
      </c>
      <c r="K949" s="360">
        <f t="shared" ca="1" si="421"/>
        <v>-2.0575735899743273</v>
      </c>
      <c r="L949" s="357">
        <f t="shared" ca="1" si="406"/>
        <v>1789.3763294535115</v>
      </c>
      <c r="M949" s="359">
        <f t="shared" ca="1" si="422"/>
        <v>-1.4617295409258619</v>
      </c>
      <c r="N949" s="357">
        <f t="shared" ca="1" si="423"/>
        <v>-83.750933484647234</v>
      </c>
      <c r="O949" s="343"/>
      <c r="P949" s="363">
        <f t="shared" ca="1" si="424"/>
        <v>23</v>
      </c>
      <c r="Q949" s="357">
        <f t="shared" ca="1" si="425"/>
        <v>0</v>
      </c>
      <c r="R949" s="359">
        <f t="shared" ca="1" si="426"/>
        <v>0</v>
      </c>
      <c r="S949" s="360">
        <f t="shared" ca="1" si="427"/>
        <v>9.637999999999975</v>
      </c>
      <c r="T949" s="357">
        <f t="shared" ca="1" si="407"/>
        <v>94.548779999999766</v>
      </c>
      <c r="U949" s="364">
        <f t="shared" ca="1" si="408"/>
        <v>0</v>
      </c>
      <c r="V949" s="359">
        <f t="shared" ca="1" si="409"/>
        <v>1.2252520786982952</v>
      </c>
      <c r="W949" s="357">
        <f t="shared" ca="1" si="410"/>
        <v>78.514471885576469</v>
      </c>
      <c r="X949" s="343"/>
      <c r="Y949" s="367" t="str">
        <f t="shared" ca="1" si="428"/>
        <v/>
      </c>
      <c r="Z949" s="368" t="str">
        <f t="shared" ca="1" si="429"/>
        <v/>
      </c>
      <c r="AA949" s="369" t="str">
        <f t="shared" ca="1" si="430"/>
        <v/>
      </c>
      <c r="AB949" s="344"/>
      <c r="AC949" s="363" t="e">
        <f t="shared" ca="1" si="431"/>
        <v>#N/A</v>
      </c>
      <c r="AD949" s="376" t="e">
        <f t="shared" ca="1" si="432"/>
        <v>#N/A</v>
      </c>
      <c r="AE949" s="377" t="e">
        <f t="shared" ca="1" si="411"/>
        <v>#N/A</v>
      </c>
      <c r="AF949" s="344"/>
      <c r="AG949" s="359">
        <f t="shared" ca="1" si="433"/>
        <v>1.6053936967007587</v>
      </c>
      <c r="AH949" s="357">
        <f t="shared" ca="1" si="434"/>
        <v>-8.1463157022773931</v>
      </c>
    </row>
    <row r="950" spans="1:34" x14ac:dyDescent="0.25">
      <c r="A950" s="402">
        <f t="shared" ca="1" si="412"/>
        <v>1E-4</v>
      </c>
      <c r="B950" s="357">
        <f t="shared" ca="1" si="413"/>
        <v>49.300300000000377</v>
      </c>
      <c r="C950" s="342"/>
      <c r="D950" s="359">
        <f t="shared" ca="1" si="414"/>
        <v>-0.88673517317909822</v>
      </c>
      <c r="E950" s="360">
        <f t="shared" ca="1" si="415"/>
        <v>-1.7120597975887257</v>
      </c>
      <c r="F950" s="357">
        <f t="shared" ca="1" si="416"/>
        <v>1.9280684681495399</v>
      </c>
      <c r="G950" s="359">
        <f t="shared" ca="1" si="417"/>
        <v>18.314765607697669</v>
      </c>
      <c r="H950" s="360">
        <f t="shared" ca="1" si="418"/>
        <v>-167.25709217983606</v>
      </c>
      <c r="I950" s="357">
        <f t="shared" ca="1" si="419"/>
        <v>168.25684391346192</v>
      </c>
      <c r="J950" s="359">
        <f t="shared" ca="1" si="420"/>
        <v>1789.3751464685777</v>
      </c>
      <c r="K950" s="360">
        <f t="shared" ca="1" si="421"/>
        <v>-2.0742992906320117</v>
      </c>
      <c r="L950" s="357">
        <f t="shared" ca="1" si="406"/>
        <v>1789.3763487642814</v>
      </c>
      <c r="M950" s="359">
        <f t="shared" ca="1" si="422"/>
        <v>-1.4617301755658203</v>
      </c>
      <c r="N950" s="357">
        <f t="shared" ca="1" si="423"/>
        <v>-83.750969846838359</v>
      </c>
      <c r="O950" s="343"/>
      <c r="P950" s="363">
        <f t="shared" ca="1" si="424"/>
        <v>23</v>
      </c>
      <c r="Q950" s="357">
        <f t="shared" ca="1" si="425"/>
        <v>0</v>
      </c>
      <c r="R950" s="359">
        <f t="shared" ca="1" si="426"/>
        <v>0</v>
      </c>
      <c r="S950" s="360">
        <f t="shared" ca="1" si="427"/>
        <v>9.637999999999975</v>
      </c>
      <c r="T950" s="357">
        <f t="shared" ca="1" si="407"/>
        <v>94.548779999999766</v>
      </c>
      <c r="U950" s="364">
        <f t="shared" ca="1" si="408"/>
        <v>0</v>
      </c>
      <c r="V950" s="359">
        <f t="shared" ca="1" si="409"/>
        <v>1.2252541280199809</v>
      </c>
      <c r="W950" s="357">
        <f t="shared" ca="1" si="410"/>
        <v>78.514753030942714</v>
      </c>
      <c r="X950" s="343"/>
      <c r="Y950" s="367" t="str">
        <f t="shared" ca="1" si="428"/>
        <v/>
      </c>
      <c r="Z950" s="368" t="str">
        <f t="shared" ca="1" si="429"/>
        <v/>
      </c>
      <c r="AA950" s="369" t="str">
        <f t="shared" ca="1" si="430"/>
        <v/>
      </c>
      <c r="AB950" s="344"/>
      <c r="AC950" s="363" t="e">
        <f t="shared" ca="1" si="431"/>
        <v>#N/A</v>
      </c>
      <c r="AD950" s="376" t="e">
        <f t="shared" ca="1" si="432"/>
        <v>#N/A</v>
      </c>
      <c r="AE950" s="377" t="e">
        <f t="shared" ca="1" si="411"/>
        <v>#N/A</v>
      </c>
      <c r="AF950" s="344"/>
      <c r="AG950" s="359">
        <f t="shared" ca="1" si="433"/>
        <v>1.6053652037104325</v>
      </c>
      <c r="AH950" s="357">
        <f t="shared" ca="1" si="434"/>
        <v>-8.1463448729587746</v>
      </c>
    </row>
    <row r="951" spans="1:34" x14ac:dyDescent="0.25">
      <c r="A951" s="402">
        <f t="shared" ca="1" si="412"/>
        <v>1E-4</v>
      </c>
      <c r="B951" s="357">
        <f t="shared" ca="1" si="413"/>
        <v>49.30040000000038</v>
      </c>
      <c r="C951" s="342"/>
      <c r="D951" s="359">
        <f t="shared" ca="1" si="414"/>
        <v>-0.88673320911380948</v>
      </c>
      <c r="E951" s="360">
        <f t="shared" ca="1" si="415"/>
        <v>-1.7120302376496213</v>
      </c>
      <c r="F951" s="357">
        <f t="shared" ca="1" si="416"/>
        <v>1.9280413166661894</v>
      </c>
      <c r="G951" s="359">
        <f t="shared" ca="1" si="417"/>
        <v>18.314676934376759</v>
      </c>
      <c r="H951" s="360">
        <f t="shared" ca="1" si="418"/>
        <v>-167.25726338285983</v>
      </c>
      <c r="I951" s="357">
        <f t="shared" ca="1" si="419"/>
        <v>168.25700444716688</v>
      </c>
      <c r="J951" s="359">
        <f t="shared" ca="1" si="420"/>
        <v>1789.3751464685777</v>
      </c>
      <c r="K951" s="360">
        <f t="shared" ca="1" si="421"/>
        <v>-2.0910250084101465</v>
      </c>
      <c r="L951" s="357">
        <f t="shared" ca="1" si="406"/>
        <v>1789.3763682314097</v>
      </c>
      <c r="M951" s="359">
        <f t="shared" ca="1" si="422"/>
        <v>-1.4617308102014948</v>
      </c>
      <c r="N951" s="357">
        <f t="shared" ca="1" si="423"/>
        <v>-83.751006208784034</v>
      </c>
      <c r="O951" s="343"/>
      <c r="P951" s="363">
        <f t="shared" ca="1" si="424"/>
        <v>23</v>
      </c>
      <c r="Q951" s="357">
        <f t="shared" ca="1" si="425"/>
        <v>0</v>
      </c>
      <c r="R951" s="359">
        <f t="shared" ca="1" si="426"/>
        <v>0</v>
      </c>
      <c r="S951" s="360">
        <f t="shared" ca="1" si="427"/>
        <v>9.637999999999975</v>
      </c>
      <c r="T951" s="357">
        <f t="shared" ca="1" si="407"/>
        <v>94.548779999999766</v>
      </c>
      <c r="U951" s="364">
        <f t="shared" ca="1" si="408"/>
        <v>0</v>
      </c>
      <c r="V951" s="359">
        <f t="shared" ca="1" si="409"/>
        <v>1.2252561773471922</v>
      </c>
      <c r="W951" s="357">
        <f t="shared" ca="1" si="410"/>
        <v>78.515034174648008</v>
      </c>
      <c r="X951" s="343"/>
      <c r="Y951" s="367" t="str">
        <f t="shared" ca="1" si="428"/>
        <v/>
      </c>
      <c r="Z951" s="368" t="str">
        <f t="shared" ca="1" si="429"/>
        <v/>
      </c>
      <c r="AA951" s="369" t="str">
        <f t="shared" ca="1" si="430"/>
        <v/>
      </c>
      <c r="AB951" s="344"/>
      <c r="AC951" s="363" t="e">
        <f t="shared" ca="1" si="431"/>
        <v>#N/A</v>
      </c>
      <c r="AD951" s="376" t="e">
        <f t="shared" ca="1" si="432"/>
        <v>#N/A</v>
      </c>
      <c r="AE951" s="377" t="e">
        <f t="shared" ca="1" si="411"/>
        <v>#N/A</v>
      </c>
      <c r="AF951" s="344"/>
      <c r="AG951" s="359">
        <f t="shared" ca="1" si="433"/>
        <v>1.6053367108839343</v>
      </c>
      <c r="AH951" s="357">
        <f t="shared" ca="1" si="434"/>
        <v>-8.1463740434678265</v>
      </c>
    </row>
    <row r="952" spans="1:34" x14ac:dyDescent="0.25">
      <c r="A952" s="402">
        <f t="shared" ca="1" si="412"/>
        <v>1E-4</v>
      </c>
      <c r="B952" s="357">
        <f t="shared" ca="1" si="413"/>
        <v>49.300500000000383</v>
      </c>
      <c r="C952" s="342"/>
      <c r="D952" s="359">
        <f t="shared" ca="1" si="414"/>
        <v>-0.88673124502729084</v>
      </c>
      <c r="E952" s="360">
        <f t="shared" ca="1" si="415"/>
        <v>-1.7120006778848538</v>
      </c>
      <c r="F952" s="357">
        <f t="shared" ca="1" si="416"/>
        <v>1.9280141654007235</v>
      </c>
      <c r="G952" s="359">
        <f t="shared" ca="1" si="417"/>
        <v>18.314588261252258</v>
      </c>
      <c r="H952" s="360">
        <f t="shared" ca="1" si="418"/>
        <v>-167.25743458292763</v>
      </c>
      <c r="I952" s="357">
        <f t="shared" ca="1" si="419"/>
        <v>168.25716497802262</v>
      </c>
      <c r="J952" s="359">
        <f t="shared" ca="1" si="420"/>
        <v>1789.3751464685777</v>
      </c>
      <c r="K952" s="360">
        <f t="shared" ca="1" si="421"/>
        <v>-2.1077507433084359</v>
      </c>
      <c r="L952" s="357">
        <f t="shared" ca="1" si="406"/>
        <v>1789.3763878548973</v>
      </c>
      <c r="M952" s="359">
        <f t="shared" ca="1" si="422"/>
        <v>-1.4617314448328855</v>
      </c>
      <c r="N952" s="357">
        <f t="shared" ca="1" si="423"/>
        <v>-83.751042570484273</v>
      </c>
      <c r="O952" s="343"/>
      <c r="P952" s="363">
        <f t="shared" ca="1" si="424"/>
        <v>23</v>
      </c>
      <c r="Q952" s="357">
        <f t="shared" ca="1" si="425"/>
        <v>0</v>
      </c>
      <c r="R952" s="359">
        <f t="shared" ca="1" si="426"/>
        <v>0</v>
      </c>
      <c r="S952" s="360">
        <f t="shared" ca="1" si="427"/>
        <v>9.637999999999975</v>
      </c>
      <c r="T952" s="357">
        <f t="shared" ca="1" si="407"/>
        <v>94.548779999999766</v>
      </c>
      <c r="U952" s="364">
        <f t="shared" ca="1" si="408"/>
        <v>0</v>
      </c>
      <c r="V952" s="359">
        <f t="shared" ca="1" si="409"/>
        <v>1.225258226679929</v>
      </c>
      <c r="W952" s="357">
        <f t="shared" ca="1" si="410"/>
        <v>78.51531531669238</v>
      </c>
      <c r="X952" s="343"/>
      <c r="Y952" s="367" t="str">
        <f t="shared" ca="1" si="428"/>
        <v/>
      </c>
      <c r="Z952" s="368" t="str">
        <f t="shared" ca="1" si="429"/>
        <v/>
      </c>
      <c r="AA952" s="369" t="str">
        <f t="shared" ca="1" si="430"/>
        <v/>
      </c>
      <c r="AB952" s="344"/>
      <c r="AC952" s="363" t="e">
        <f t="shared" ca="1" si="431"/>
        <v>#N/A</v>
      </c>
      <c r="AD952" s="376" t="e">
        <f t="shared" ca="1" si="432"/>
        <v>#N/A</v>
      </c>
      <c r="AE952" s="377" t="e">
        <f t="shared" ca="1" si="411"/>
        <v>#N/A</v>
      </c>
      <c r="AF952" s="344"/>
      <c r="AG952" s="359">
        <f t="shared" ca="1" si="433"/>
        <v>1.6053082182212677</v>
      </c>
      <c r="AH952" s="357">
        <f t="shared" ca="1" si="434"/>
        <v>-8.146403213804545</v>
      </c>
    </row>
    <row r="953" spans="1:34" x14ac:dyDescent="0.25">
      <c r="A953" s="402">
        <f t="shared" ca="1" si="412"/>
        <v>1E-4</v>
      </c>
      <c r="B953" s="357">
        <f t="shared" ca="1" si="413"/>
        <v>49.300600000000387</v>
      </c>
      <c r="C953" s="342"/>
      <c r="D953" s="359">
        <f t="shared" ca="1" si="414"/>
        <v>-0.88672928091954162</v>
      </c>
      <c r="E953" s="360">
        <f t="shared" ca="1" si="415"/>
        <v>-1.7119711182944233</v>
      </c>
      <c r="F953" s="357">
        <f t="shared" ca="1" si="416"/>
        <v>1.9279870143531428</v>
      </c>
      <c r="G953" s="359">
        <f t="shared" ca="1" si="417"/>
        <v>18.314499588324164</v>
      </c>
      <c r="H953" s="360">
        <f t="shared" ca="1" si="418"/>
        <v>-167.25760578003946</v>
      </c>
      <c r="I953" s="357">
        <f t="shared" ca="1" si="419"/>
        <v>168.25732550602905</v>
      </c>
      <c r="J953" s="359">
        <f t="shared" ca="1" si="420"/>
        <v>1789.3751464685777</v>
      </c>
      <c r="K953" s="360">
        <f t="shared" ca="1" si="421"/>
        <v>-2.1244764953265842</v>
      </c>
      <c r="L953" s="357">
        <f t="shared" ca="1" si="406"/>
        <v>1789.3764076347445</v>
      </c>
      <c r="M953" s="359">
        <f t="shared" ca="1" si="422"/>
        <v>-1.4617320794599926</v>
      </c>
      <c r="N953" s="357">
        <f t="shared" ca="1" si="423"/>
        <v>-83.751078931939062</v>
      </c>
      <c r="O953" s="343"/>
      <c r="P953" s="363">
        <f t="shared" ca="1" si="424"/>
        <v>23</v>
      </c>
      <c r="Q953" s="357">
        <f t="shared" ca="1" si="425"/>
        <v>0</v>
      </c>
      <c r="R953" s="359">
        <f t="shared" ca="1" si="426"/>
        <v>0</v>
      </c>
      <c r="S953" s="360">
        <f t="shared" ca="1" si="427"/>
        <v>9.637999999999975</v>
      </c>
      <c r="T953" s="357">
        <f t="shared" ca="1" si="407"/>
        <v>94.548779999999766</v>
      </c>
      <c r="U953" s="364">
        <f t="shared" ca="1" si="408"/>
        <v>0</v>
      </c>
      <c r="V953" s="359">
        <f t="shared" ca="1" si="409"/>
        <v>1.2252602760181919</v>
      </c>
      <c r="W953" s="357">
        <f t="shared" ca="1" si="410"/>
        <v>78.515596457075773</v>
      </c>
      <c r="X953" s="343"/>
      <c r="Y953" s="367" t="str">
        <f t="shared" ca="1" si="428"/>
        <v/>
      </c>
      <c r="Z953" s="368" t="str">
        <f t="shared" ca="1" si="429"/>
        <v/>
      </c>
      <c r="AA953" s="369" t="str">
        <f t="shared" ca="1" si="430"/>
        <v/>
      </c>
      <c r="AB953" s="344"/>
      <c r="AC953" s="363" t="e">
        <f t="shared" ca="1" si="431"/>
        <v>#N/A</v>
      </c>
      <c r="AD953" s="376" t="e">
        <f t="shared" ca="1" si="432"/>
        <v>#N/A</v>
      </c>
      <c r="AE953" s="377" t="e">
        <f t="shared" ca="1" si="411"/>
        <v>#N/A</v>
      </c>
      <c r="AF953" s="344"/>
      <c r="AG953" s="359">
        <f t="shared" ca="1" si="433"/>
        <v>1.6052797257224274</v>
      </c>
      <c r="AH953" s="357">
        <f t="shared" ca="1" si="434"/>
        <v>-8.1464323839689339</v>
      </c>
    </row>
    <row r="954" spans="1:34" x14ac:dyDescent="0.25">
      <c r="A954" s="402">
        <f t="shared" ca="1" si="412"/>
        <v>1E-4</v>
      </c>
      <c r="B954" s="357">
        <f t="shared" ca="1" si="413"/>
        <v>49.30070000000039</v>
      </c>
      <c r="C954" s="342"/>
      <c r="D954" s="359">
        <f t="shared" ca="1" si="414"/>
        <v>-0.88672731679056149</v>
      </c>
      <c r="E954" s="360">
        <f t="shared" ca="1" si="415"/>
        <v>-1.7119415588783351</v>
      </c>
      <c r="F954" s="357">
        <f t="shared" ca="1" si="416"/>
        <v>1.9279598635234534</v>
      </c>
      <c r="G954" s="359">
        <f t="shared" ca="1" si="417"/>
        <v>18.314410915592486</v>
      </c>
      <c r="H954" s="360">
        <f t="shared" ca="1" si="418"/>
        <v>-167.25777697419534</v>
      </c>
      <c r="I954" s="357">
        <f t="shared" ca="1" si="419"/>
        <v>168.25748603118626</v>
      </c>
      <c r="J954" s="359">
        <f t="shared" ca="1" si="420"/>
        <v>1789.3751464685777</v>
      </c>
      <c r="K954" s="360">
        <f t="shared" ca="1" si="421"/>
        <v>-2.1412022644642961</v>
      </c>
      <c r="L954" s="357">
        <f t="shared" ca="1" si="406"/>
        <v>1789.3764275709518</v>
      </c>
      <c r="M954" s="359">
        <f t="shared" ca="1" si="422"/>
        <v>-1.4617327140828162</v>
      </c>
      <c r="N954" s="357">
        <f t="shared" ca="1" si="423"/>
        <v>-83.751115293148445</v>
      </c>
      <c r="O954" s="343"/>
      <c r="P954" s="363">
        <f t="shared" ca="1" si="424"/>
        <v>23</v>
      </c>
      <c r="Q954" s="357">
        <f t="shared" ca="1" si="425"/>
        <v>0</v>
      </c>
      <c r="R954" s="359">
        <f t="shared" ca="1" si="426"/>
        <v>0</v>
      </c>
      <c r="S954" s="360">
        <f t="shared" ca="1" si="427"/>
        <v>9.637999999999975</v>
      </c>
      <c r="T954" s="357">
        <f t="shared" ca="1" si="407"/>
        <v>94.548779999999766</v>
      </c>
      <c r="U954" s="364">
        <f t="shared" ca="1" si="408"/>
        <v>0</v>
      </c>
      <c r="V954" s="359">
        <f t="shared" ca="1" si="409"/>
        <v>1.2252623253619799</v>
      </c>
      <c r="W954" s="357">
        <f t="shared" ca="1" si="410"/>
        <v>78.515877595798187</v>
      </c>
      <c r="X954" s="343"/>
      <c r="Y954" s="367" t="str">
        <f t="shared" ca="1" si="428"/>
        <v/>
      </c>
      <c r="Z954" s="368" t="str">
        <f t="shared" ca="1" si="429"/>
        <v/>
      </c>
      <c r="AA954" s="369" t="str">
        <f t="shared" ca="1" si="430"/>
        <v/>
      </c>
      <c r="AB954" s="344"/>
      <c r="AC954" s="363" t="e">
        <f t="shared" ca="1" si="431"/>
        <v>#N/A</v>
      </c>
      <c r="AD954" s="376" t="e">
        <f t="shared" ca="1" si="432"/>
        <v>#N/A</v>
      </c>
      <c r="AE954" s="377" t="e">
        <f t="shared" ca="1" si="411"/>
        <v>#N/A</v>
      </c>
      <c r="AF954" s="344"/>
      <c r="AG954" s="359">
        <f t="shared" ca="1" si="433"/>
        <v>1.605251233387424</v>
      </c>
      <c r="AH954" s="357">
        <f t="shared" ca="1" si="434"/>
        <v>-8.1464615539609859</v>
      </c>
    </row>
    <row r="955" spans="1:34" x14ac:dyDescent="0.25">
      <c r="A955" s="402">
        <f t="shared" ca="1" si="412"/>
        <v>1E-4</v>
      </c>
      <c r="B955" s="357">
        <f t="shared" ca="1" si="413"/>
        <v>49.300800000000393</v>
      </c>
      <c r="C955" s="342"/>
      <c r="D955" s="359">
        <f t="shared" ca="1" si="414"/>
        <v>-0.88672535264034968</v>
      </c>
      <c r="E955" s="360">
        <f t="shared" ca="1" si="415"/>
        <v>-1.7119119996365892</v>
      </c>
      <c r="F955" s="357">
        <f t="shared" ca="1" si="416"/>
        <v>1.9279327129116559</v>
      </c>
      <c r="G955" s="359">
        <f t="shared" ca="1" si="417"/>
        <v>18.314322243057223</v>
      </c>
      <c r="H955" s="360">
        <f t="shared" ca="1" si="418"/>
        <v>-167.25794816539531</v>
      </c>
      <c r="I955" s="357">
        <f t="shared" ca="1" si="419"/>
        <v>168.25764655349428</v>
      </c>
      <c r="J955" s="359">
        <f t="shared" ca="1" si="420"/>
        <v>1789.3751464685777</v>
      </c>
      <c r="K955" s="360">
        <f t="shared" ca="1" si="421"/>
        <v>-2.1579280507212757</v>
      </c>
      <c r="L955" s="357">
        <f t="shared" ca="1" si="406"/>
        <v>1789.3764476635195</v>
      </c>
      <c r="M955" s="359">
        <f t="shared" ca="1" si="422"/>
        <v>-1.4617333487013564</v>
      </c>
      <c r="N955" s="357">
        <f t="shared" ca="1" si="423"/>
        <v>-83.751151654112391</v>
      </c>
      <c r="O955" s="343"/>
      <c r="P955" s="363">
        <f t="shared" ca="1" si="424"/>
        <v>23</v>
      </c>
      <c r="Q955" s="357">
        <f t="shared" ca="1" si="425"/>
        <v>0</v>
      </c>
      <c r="R955" s="359">
        <f t="shared" ca="1" si="426"/>
        <v>0</v>
      </c>
      <c r="S955" s="360">
        <f t="shared" ca="1" si="427"/>
        <v>9.637999999999975</v>
      </c>
      <c r="T955" s="357">
        <f t="shared" ca="1" si="407"/>
        <v>94.548779999999766</v>
      </c>
      <c r="U955" s="364">
        <f t="shared" ca="1" si="408"/>
        <v>0</v>
      </c>
      <c r="V955" s="359">
        <f t="shared" ca="1" si="409"/>
        <v>1.2252643747112937</v>
      </c>
      <c r="W955" s="357">
        <f t="shared" ca="1" si="410"/>
        <v>78.51615873285968</v>
      </c>
      <c r="X955" s="343"/>
      <c r="Y955" s="367" t="str">
        <f t="shared" ca="1" si="428"/>
        <v/>
      </c>
      <c r="Z955" s="368" t="str">
        <f t="shared" ca="1" si="429"/>
        <v/>
      </c>
      <c r="AA955" s="369" t="str">
        <f t="shared" ca="1" si="430"/>
        <v/>
      </c>
      <c r="AB955" s="344"/>
      <c r="AC955" s="363" t="e">
        <f t="shared" ca="1" si="431"/>
        <v>#N/A</v>
      </c>
      <c r="AD955" s="376" t="e">
        <f t="shared" ca="1" si="432"/>
        <v>#N/A</v>
      </c>
      <c r="AE955" s="377" t="e">
        <f t="shared" ca="1" si="411"/>
        <v>#N/A</v>
      </c>
      <c r="AF955" s="344"/>
      <c r="AG955" s="359">
        <f t="shared" ca="1" si="433"/>
        <v>1.6052227412162559</v>
      </c>
      <c r="AH955" s="357">
        <f t="shared" ca="1" si="434"/>
        <v>-8.1464907237807012</v>
      </c>
    </row>
    <row r="956" spans="1:34" x14ac:dyDescent="0.25">
      <c r="A956" s="402">
        <f t="shared" ca="1" si="412"/>
        <v>1E-4</v>
      </c>
      <c r="B956" s="357">
        <f t="shared" ca="1" si="413"/>
        <v>49.300900000000397</v>
      </c>
      <c r="C956" s="342"/>
      <c r="D956" s="359">
        <f t="shared" ca="1" si="414"/>
        <v>-0.88672338846890708</v>
      </c>
      <c r="E956" s="360">
        <f t="shared" ca="1" si="415"/>
        <v>-1.7118824405691822</v>
      </c>
      <c r="F956" s="357">
        <f t="shared" ca="1" si="416"/>
        <v>1.9279055625177495</v>
      </c>
      <c r="G956" s="359">
        <f t="shared" ca="1" si="417"/>
        <v>18.314233570718375</v>
      </c>
      <c r="H956" s="360">
        <f t="shared" ca="1" si="418"/>
        <v>-167.25811935363936</v>
      </c>
      <c r="I956" s="357">
        <f t="shared" ca="1" si="419"/>
        <v>168.25780707295306</v>
      </c>
      <c r="J956" s="359">
        <f t="shared" ca="1" si="420"/>
        <v>1789.3751464685777</v>
      </c>
      <c r="K956" s="360">
        <f t="shared" ca="1" si="421"/>
        <v>-2.1746538540972273</v>
      </c>
      <c r="L956" s="357">
        <f t="shared" ca="1" si="406"/>
        <v>1789.3764679124483</v>
      </c>
      <c r="M956" s="359">
        <f t="shared" ca="1" si="422"/>
        <v>-1.4617339833156131</v>
      </c>
      <c r="N956" s="357">
        <f t="shared" ca="1" si="423"/>
        <v>-83.75118801483093</v>
      </c>
      <c r="O956" s="343"/>
      <c r="P956" s="363">
        <f t="shared" ca="1" si="424"/>
        <v>23</v>
      </c>
      <c r="Q956" s="357">
        <f t="shared" ca="1" si="425"/>
        <v>0</v>
      </c>
      <c r="R956" s="359">
        <f t="shared" ca="1" si="426"/>
        <v>0</v>
      </c>
      <c r="S956" s="360">
        <f t="shared" ca="1" si="427"/>
        <v>9.637999999999975</v>
      </c>
      <c r="T956" s="357">
        <f t="shared" ca="1" si="407"/>
        <v>94.548779999999766</v>
      </c>
      <c r="U956" s="364">
        <f t="shared" ca="1" si="408"/>
        <v>0</v>
      </c>
      <c r="V956" s="359">
        <f t="shared" ca="1" si="409"/>
        <v>1.2252664240661331</v>
      </c>
      <c r="W956" s="357">
        <f t="shared" ca="1" si="410"/>
        <v>78.516439868260164</v>
      </c>
      <c r="X956" s="343"/>
      <c r="Y956" s="367" t="str">
        <f t="shared" ca="1" si="428"/>
        <v/>
      </c>
      <c r="Z956" s="368" t="str">
        <f t="shared" ca="1" si="429"/>
        <v/>
      </c>
      <c r="AA956" s="369" t="str">
        <f t="shared" ca="1" si="430"/>
        <v/>
      </c>
      <c r="AB956" s="344"/>
      <c r="AC956" s="363" t="e">
        <f t="shared" ca="1" si="431"/>
        <v>#N/A</v>
      </c>
      <c r="AD956" s="376" t="e">
        <f t="shared" ca="1" si="432"/>
        <v>#N/A</v>
      </c>
      <c r="AE956" s="377" t="e">
        <f t="shared" ca="1" si="411"/>
        <v>#N/A</v>
      </c>
      <c r="AF956" s="344"/>
      <c r="AG956" s="359">
        <f t="shared" ca="1" si="433"/>
        <v>1.6051942492089175</v>
      </c>
      <c r="AH956" s="357">
        <f t="shared" ca="1" si="434"/>
        <v>-8.1465198934280849</v>
      </c>
    </row>
    <row r="957" spans="1:34" x14ac:dyDescent="0.25">
      <c r="A957" s="402">
        <f t="shared" ca="1" si="412"/>
        <v>1E-4</v>
      </c>
      <c r="B957" s="357">
        <f t="shared" ca="1" si="413"/>
        <v>49.3010000000004</v>
      </c>
      <c r="C957" s="342"/>
      <c r="D957" s="359">
        <f t="shared" ca="1" si="414"/>
        <v>-0.8867214242762339</v>
      </c>
      <c r="E957" s="360">
        <f t="shared" ca="1" si="415"/>
        <v>-1.7118528816761192</v>
      </c>
      <c r="F957" s="357">
        <f t="shared" ca="1" si="416"/>
        <v>1.9278784123417394</v>
      </c>
      <c r="G957" s="359">
        <f t="shared" ca="1" si="417"/>
        <v>18.314144898575947</v>
      </c>
      <c r="H957" s="360">
        <f t="shared" ca="1" si="418"/>
        <v>-167.25829053892753</v>
      </c>
      <c r="I957" s="357">
        <f t="shared" ca="1" si="419"/>
        <v>168.2579675895627</v>
      </c>
      <c r="J957" s="359">
        <f t="shared" ca="1" si="420"/>
        <v>1789.3751464685777</v>
      </c>
      <c r="K957" s="360">
        <f t="shared" ca="1" si="421"/>
        <v>-2.1913796745918557</v>
      </c>
      <c r="L957" s="357">
        <f t="shared" ca="1" si="406"/>
        <v>1789.3764883177387</v>
      </c>
      <c r="M957" s="359">
        <f t="shared" ca="1" si="422"/>
        <v>-1.4617346179255861</v>
      </c>
      <c r="N957" s="357">
        <f t="shared" ca="1" si="423"/>
        <v>-83.75122437530402</v>
      </c>
      <c r="O957" s="343"/>
      <c r="P957" s="363">
        <f t="shared" ca="1" si="424"/>
        <v>23</v>
      </c>
      <c r="Q957" s="357">
        <f t="shared" ca="1" si="425"/>
        <v>0</v>
      </c>
      <c r="R957" s="359">
        <f t="shared" ca="1" si="426"/>
        <v>0</v>
      </c>
      <c r="S957" s="360">
        <f t="shared" ca="1" si="427"/>
        <v>9.637999999999975</v>
      </c>
      <c r="T957" s="357">
        <f t="shared" ca="1" si="407"/>
        <v>94.548779999999766</v>
      </c>
      <c r="U957" s="364">
        <f t="shared" ca="1" si="408"/>
        <v>0</v>
      </c>
      <c r="V957" s="359">
        <f t="shared" ca="1" si="409"/>
        <v>1.2252684734264978</v>
      </c>
      <c r="W957" s="357">
        <f t="shared" ca="1" si="410"/>
        <v>78.516721001999727</v>
      </c>
      <c r="X957" s="343"/>
      <c r="Y957" s="367" t="str">
        <f t="shared" ca="1" si="428"/>
        <v/>
      </c>
      <c r="Z957" s="368" t="str">
        <f t="shared" ca="1" si="429"/>
        <v/>
      </c>
      <c r="AA957" s="369" t="str">
        <f t="shared" ca="1" si="430"/>
        <v/>
      </c>
      <c r="AB957" s="344"/>
      <c r="AC957" s="363" t="e">
        <f t="shared" ca="1" si="431"/>
        <v>#N/A</v>
      </c>
      <c r="AD957" s="376" t="e">
        <f t="shared" ca="1" si="432"/>
        <v>#N/A</v>
      </c>
      <c r="AE957" s="377" t="e">
        <f t="shared" ca="1" si="411"/>
        <v>#N/A</v>
      </c>
      <c r="AF957" s="344"/>
      <c r="AG957" s="359">
        <f t="shared" ca="1" si="433"/>
        <v>1.6051657573654161</v>
      </c>
      <c r="AH957" s="357">
        <f t="shared" ca="1" si="434"/>
        <v>-8.1465490629031301</v>
      </c>
    </row>
    <row r="958" spans="1:34" x14ac:dyDescent="0.25">
      <c r="A958" s="402">
        <f t="shared" ca="1" si="412"/>
        <v>1E-4</v>
      </c>
      <c r="B958" s="357">
        <f t="shared" ca="1" si="413"/>
        <v>49.301100000000403</v>
      </c>
      <c r="C958" s="342"/>
      <c r="D958" s="359">
        <f t="shared" ca="1" si="414"/>
        <v>-0.88671946006233338</v>
      </c>
      <c r="E958" s="360">
        <f t="shared" ca="1" si="415"/>
        <v>-1.7118233229573931</v>
      </c>
      <c r="F958" s="357">
        <f t="shared" ca="1" si="416"/>
        <v>1.9278512623836228</v>
      </c>
      <c r="G958" s="359">
        <f t="shared" ca="1" si="417"/>
        <v>18.31405622662994</v>
      </c>
      <c r="H958" s="360">
        <f t="shared" ca="1" si="418"/>
        <v>-167.25846172125983</v>
      </c>
      <c r="I958" s="357">
        <f t="shared" ca="1" si="419"/>
        <v>168.25812810332314</v>
      </c>
      <c r="J958" s="359">
        <f t="shared" ca="1" si="420"/>
        <v>1789.3751464685777</v>
      </c>
      <c r="K958" s="360">
        <f t="shared" ca="1" si="421"/>
        <v>-2.208105512204865</v>
      </c>
      <c r="L958" s="357">
        <f t="shared" ca="1" si="406"/>
        <v>1789.3765088793909</v>
      </c>
      <c r="M958" s="359">
        <f t="shared" ca="1" si="422"/>
        <v>-1.4617352525312759</v>
      </c>
      <c r="N958" s="357">
        <f t="shared" ca="1" si="423"/>
        <v>-83.751260735531687</v>
      </c>
      <c r="O958" s="343"/>
      <c r="P958" s="363">
        <f t="shared" ca="1" si="424"/>
        <v>23</v>
      </c>
      <c r="Q958" s="357">
        <f t="shared" ca="1" si="425"/>
        <v>0</v>
      </c>
      <c r="R958" s="359">
        <f t="shared" ca="1" si="426"/>
        <v>0</v>
      </c>
      <c r="S958" s="360">
        <f t="shared" ca="1" si="427"/>
        <v>9.637999999999975</v>
      </c>
      <c r="T958" s="357">
        <f t="shared" ca="1" si="407"/>
        <v>94.548779999999766</v>
      </c>
      <c r="U958" s="364">
        <f t="shared" ca="1" si="408"/>
        <v>0</v>
      </c>
      <c r="V958" s="359">
        <f t="shared" ca="1" si="409"/>
        <v>1.2252705227923884</v>
      </c>
      <c r="W958" s="357">
        <f t="shared" ca="1" si="410"/>
        <v>78.517002134078311</v>
      </c>
      <c r="X958" s="343"/>
      <c r="Y958" s="367" t="str">
        <f t="shared" ca="1" si="428"/>
        <v/>
      </c>
      <c r="Z958" s="368" t="str">
        <f t="shared" ca="1" si="429"/>
        <v/>
      </c>
      <c r="AA958" s="369" t="str">
        <f t="shared" ca="1" si="430"/>
        <v/>
      </c>
      <c r="AB958" s="344"/>
      <c r="AC958" s="363" t="e">
        <f t="shared" ca="1" si="431"/>
        <v>#N/A</v>
      </c>
      <c r="AD958" s="376" t="e">
        <f t="shared" ca="1" si="432"/>
        <v>#N/A</v>
      </c>
      <c r="AE958" s="377" t="e">
        <f t="shared" ca="1" si="411"/>
        <v>#N/A</v>
      </c>
      <c r="AF958" s="344"/>
      <c r="AG958" s="359">
        <f t="shared" ca="1" si="433"/>
        <v>1.6051372656857463</v>
      </c>
      <c r="AH958" s="357">
        <f t="shared" ca="1" si="434"/>
        <v>-8.1465782322058438</v>
      </c>
    </row>
    <row r="959" spans="1:34" x14ac:dyDescent="0.25">
      <c r="A959" s="402">
        <f t="shared" ca="1" si="412"/>
        <v>1E-4</v>
      </c>
      <c r="B959" s="357">
        <f t="shared" ca="1" si="413"/>
        <v>49.301200000000406</v>
      </c>
      <c r="C959" s="342"/>
      <c r="D959" s="359">
        <f t="shared" ca="1" si="414"/>
        <v>-0.88671749582720227</v>
      </c>
      <c r="E959" s="360">
        <f t="shared" ca="1" si="415"/>
        <v>-1.7117937644130077</v>
      </c>
      <c r="F959" s="357">
        <f t="shared" ca="1" si="416"/>
        <v>1.9278241126434019</v>
      </c>
      <c r="G959" s="359">
        <f t="shared" ca="1" si="417"/>
        <v>18.313967554880357</v>
      </c>
      <c r="H959" s="360">
        <f t="shared" ca="1" si="418"/>
        <v>-167.25863290063629</v>
      </c>
      <c r="I959" s="357">
        <f t="shared" ca="1" si="419"/>
        <v>168.25828861423446</v>
      </c>
      <c r="J959" s="359">
        <f t="shared" ca="1" si="420"/>
        <v>1789.3751464685777</v>
      </c>
      <c r="K959" s="360">
        <f t="shared" ca="1" si="421"/>
        <v>-2.2248313669359598</v>
      </c>
      <c r="L959" s="357">
        <f t="shared" ca="1" si="406"/>
        <v>1789.3765295974056</v>
      </c>
      <c r="M959" s="359">
        <f t="shared" ca="1" si="422"/>
        <v>-1.4617358871326824</v>
      </c>
      <c r="N959" s="357">
        <f t="shared" ca="1" si="423"/>
        <v>-83.751297095513962</v>
      </c>
      <c r="O959" s="343"/>
      <c r="P959" s="363">
        <f t="shared" ca="1" si="424"/>
        <v>23</v>
      </c>
      <c r="Q959" s="357">
        <f t="shared" ca="1" si="425"/>
        <v>0</v>
      </c>
      <c r="R959" s="359">
        <f t="shared" ca="1" si="426"/>
        <v>0</v>
      </c>
      <c r="S959" s="360">
        <f t="shared" ca="1" si="427"/>
        <v>9.637999999999975</v>
      </c>
      <c r="T959" s="357">
        <f t="shared" ca="1" si="407"/>
        <v>94.548779999999766</v>
      </c>
      <c r="U959" s="364">
        <f t="shared" ca="1" si="408"/>
        <v>0</v>
      </c>
      <c r="V959" s="359">
        <f t="shared" ca="1" si="409"/>
        <v>1.2252725721638049</v>
      </c>
      <c r="W959" s="357">
        <f t="shared" ca="1" si="410"/>
        <v>78.517283264495958</v>
      </c>
      <c r="X959" s="343"/>
      <c r="Y959" s="367" t="str">
        <f t="shared" ca="1" si="428"/>
        <v/>
      </c>
      <c r="Z959" s="368" t="str">
        <f t="shared" ca="1" si="429"/>
        <v/>
      </c>
      <c r="AA959" s="369" t="str">
        <f t="shared" ca="1" si="430"/>
        <v/>
      </c>
      <c r="AB959" s="344"/>
      <c r="AC959" s="363" t="e">
        <f t="shared" ca="1" si="431"/>
        <v>#N/A</v>
      </c>
      <c r="AD959" s="376" t="e">
        <f t="shared" ca="1" si="432"/>
        <v>#N/A</v>
      </c>
      <c r="AE959" s="377" t="e">
        <f t="shared" ca="1" si="411"/>
        <v>#N/A</v>
      </c>
      <c r="AF959" s="344"/>
      <c r="AG959" s="359">
        <f t="shared" ca="1" si="433"/>
        <v>1.6051087741699082</v>
      </c>
      <c r="AH959" s="357">
        <f t="shared" ca="1" si="434"/>
        <v>-8.1466074013362224</v>
      </c>
    </row>
    <row r="960" spans="1:34" x14ac:dyDescent="0.25">
      <c r="A960" s="402">
        <f t="shared" ca="1" si="412"/>
        <v>1E-4</v>
      </c>
      <c r="B960" s="357">
        <f t="shared" ca="1" si="413"/>
        <v>49.30130000000041</v>
      </c>
      <c r="C960" s="342"/>
      <c r="D960" s="359">
        <f t="shared" ca="1" si="414"/>
        <v>-0.88671553157084149</v>
      </c>
      <c r="E960" s="360">
        <f t="shared" ca="1" si="415"/>
        <v>-1.711764206042961</v>
      </c>
      <c r="F960" s="357">
        <f t="shared" ca="1" si="416"/>
        <v>1.9277969631210774</v>
      </c>
      <c r="G960" s="359">
        <f t="shared" ca="1" si="417"/>
        <v>18.313878883327199</v>
      </c>
      <c r="H960" s="360">
        <f t="shared" ca="1" si="418"/>
        <v>-167.25880407705688</v>
      </c>
      <c r="I960" s="357">
        <f t="shared" ca="1" si="419"/>
        <v>168.25844912229661</v>
      </c>
      <c r="J960" s="359">
        <f t="shared" ca="1" si="420"/>
        <v>1789.3751464685777</v>
      </c>
      <c r="K960" s="360">
        <f t="shared" ca="1" si="421"/>
        <v>-2.2415572387848446</v>
      </c>
      <c r="L960" s="357">
        <f t="shared" ca="1" si="406"/>
        <v>1789.3765504717835</v>
      </c>
      <c r="M960" s="359">
        <f t="shared" ca="1" si="422"/>
        <v>-1.4617365217298055</v>
      </c>
      <c r="N960" s="357">
        <f t="shared" ca="1" si="423"/>
        <v>-83.751333455250801</v>
      </c>
      <c r="O960" s="343"/>
      <c r="P960" s="363">
        <f t="shared" ca="1" si="424"/>
        <v>23</v>
      </c>
      <c r="Q960" s="357">
        <f t="shared" ca="1" si="425"/>
        <v>0</v>
      </c>
      <c r="R960" s="359">
        <f t="shared" ca="1" si="426"/>
        <v>0</v>
      </c>
      <c r="S960" s="360">
        <f t="shared" ca="1" si="427"/>
        <v>9.637999999999975</v>
      </c>
      <c r="T960" s="357">
        <f t="shared" ca="1" si="407"/>
        <v>94.548779999999766</v>
      </c>
      <c r="U960" s="364">
        <f t="shared" ca="1" si="408"/>
        <v>0</v>
      </c>
      <c r="V960" s="359">
        <f t="shared" ca="1" si="409"/>
        <v>1.2252746215407462</v>
      </c>
      <c r="W960" s="357">
        <f t="shared" ca="1" si="410"/>
        <v>78.517564393252542</v>
      </c>
      <c r="X960" s="343"/>
      <c r="Y960" s="367" t="str">
        <f t="shared" ca="1" si="428"/>
        <v/>
      </c>
      <c r="Z960" s="368" t="str">
        <f t="shared" ca="1" si="429"/>
        <v/>
      </c>
      <c r="AA960" s="369" t="str">
        <f t="shared" ca="1" si="430"/>
        <v/>
      </c>
      <c r="AB960" s="344"/>
      <c r="AC960" s="363" t="e">
        <f t="shared" ca="1" si="431"/>
        <v>#N/A</v>
      </c>
      <c r="AD960" s="376" t="e">
        <f t="shared" ca="1" si="432"/>
        <v>#N/A</v>
      </c>
      <c r="AE960" s="377" t="e">
        <f t="shared" ca="1" si="411"/>
        <v>#N/A</v>
      </c>
      <c r="AF960" s="344"/>
      <c r="AG960" s="359">
        <f t="shared" ca="1" si="433"/>
        <v>1.6050802828179034</v>
      </c>
      <c r="AH960" s="357">
        <f t="shared" ca="1" si="434"/>
        <v>-8.1466365702942696</v>
      </c>
    </row>
    <row r="961" spans="1:34" x14ac:dyDescent="0.25">
      <c r="A961" s="402">
        <f t="shared" ca="1" si="412"/>
        <v>1E-4</v>
      </c>
      <c r="B961" s="357">
        <f t="shared" ca="1" si="413"/>
        <v>49.301400000000413</v>
      </c>
      <c r="C961" s="342"/>
      <c r="D961" s="359">
        <f t="shared" ca="1" si="414"/>
        <v>-0.8867135672932519</v>
      </c>
      <c r="E961" s="360">
        <f t="shared" ca="1" si="415"/>
        <v>-1.7117346478472655</v>
      </c>
      <c r="F961" s="357">
        <f t="shared" ca="1" si="416"/>
        <v>1.9277698138166615</v>
      </c>
      <c r="G961" s="359">
        <f t="shared" ca="1" si="417"/>
        <v>18.313790211970471</v>
      </c>
      <c r="H961" s="360">
        <f t="shared" ca="1" si="418"/>
        <v>-167.25897525052167</v>
      </c>
      <c r="I961" s="357">
        <f t="shared" ca="1" si="419"/>
        <v>168.25860962750966</v>
      </c>
      <c r="J961" s="359">
        <f t="shared" ca="1" si="420"/>
        <v>1789.3751464685777</v>
      </c>
      <c r="K961" s="360">
        <f t="shared" ca="1" si="421"/>
        <v>-2.2582831277512234</v>
      </c>
      <c r="L961" s="357">
        <f t="shared" ca="1" si="406"/>
        <v>1789.3765715025245</v>
      </c>
      <c r="M961" s="359">
        <f t="shared" ca="1" si="422"/>
        <v>-1.4617371563226453</v>
      </c>
      <c r="N961" s="357">
        <f t="shared" ca="1" si="423"/>
        <v>-83.751369814742233</v>
      </c>
      <c r="O961" s="343"/>
      <c r="P961" s="363">
        <f t="shared" ca="1" si="424"/>
        <v>23</v>
      </c>
      <c r="Q961" s="357">
        <f t="shared" ca="1" si="425"/>
        <v>0</v>
      </c>
      <c r="R961" s="359">
        <f t="shared" ca="1" si="426"/>
        <v>0</v>
      </c>
      <c r="S961" s="360">
        <f t="shared" ca="1" si="427"/>
        <v>9.637999999999975</v>
      </c>
      <c r="T961" s="357">
        <f t="shared" ca="1" si="407"/>
        <v>94.548779999999766</v>
      </c>
      <c r="U961" s="364">
        <f t="shared" ca="1" si="408"/>
        <v>0</v>
      </c>
      <c r="V961" s="359">
        <f t="shared" ca="1" si="409"/>
        <v>1.2252766709232135</v>
      </c>
      <c r="W961" s="357">
        <f t="shared" ca="1" si="410"/>
        <v>78.517845520348203</v>
      </c>
      <c r="X961" s="343"/>
      <c r="Y961" s="367" t="str">
        <f t="shared" ca="1" si="428"/>
        <v/>
      </c>
      <c r="Z961" s="368" t="str">
        <f t="shared" ca="1" si="429"/>
        <v/>
      </c>
      <c r="AA961" s="369" t="str">
        <f t="shared" ca="1" si="430"/>
        <v/>
      </c>
      <c r="AB961" s="344"/>
      <c r="AC961" s="363" t="e">
        <f t="shared" ca="1" si="431"/>
        <v>#N/A</v>
      </c>
      <c r="AD961" s="376" t="e">
        <f t="shared" ca="1" si="432"/>
        <v>#N/A</v>
      </c>
      <c r="AE961" s="377" t="e">
        <f t="shared" ca="1" si="411"/>
        <v>#N/A</v>
      </c>
      <c r="AF961" s="344"/>
      <c r="AG961" s="359">
        <f t="shared" ca="1" si="433"/>
        <v>1.6050517916297444</v>
      </c>
      <c r="AH961" s="357">
        <f t="shared" ca="1" si="434"/>
        <v>-8.1466657390799693</v>
      </c>
    </row>
    <row r="962" spans="1:34" x14ac:dyDescent="0.25">
      <c r="A962" s="402">
        <f t="shared" ca="1" si="412"/>
        <v>1E-4</v>
      </c>
      <c r="B962" s="357">
        <f t="shared" ca="1" si="413"/>
        <v>49.301500000000416</v>
      </c>
      <c r="C962" s="342"/>
      <c r="D962" s="359">
        <f t="shared" ca="1" si="414"/>
        <v>-0.88671160299443452</v>
      </c>
      <c r="E962" s="360">
        <f t="shared" ca="1" si="415"/>
        <v>-1.711705089825907</v>
      </c>
      <c r="F962" s="357">
        <f t="shared" ca="1" si="416"/>
        <v>1.9277426647301439</v>
      </c>
      <c r="G962" s="359">
        <f t="shared" ca="1" si="417"/>
        <v>18.313701540810172</v>
      </c>
      <c r="H962" s="360">
        <f t="shared" ca="1" si="418"/>
        <v>-167.25914642103066</v>
      </c>
      <c r="I962" s="357">
        <f t="shared" ca="1" si="419"/>
        <v>168.25877012987362</v>
      </c>
      <c r="J962" s="359">
        <f t="shared" ca="1" si="420"/>
        <v>1789.3751464685777</v>
      </c>
      <c r="K962" s="360">
        <f t="shared" ca="1" si="421"/>
        <v>-2.275009033834801</v>
      </c>
      <c r="L962" s="357">
        <f t="shared" ca="1" si="406"/>
        <v>1789.3765926896294</v>
      </c>
      <c r="M962" s="359">
        <f t="shared" ca="1" si="422"/>
        <v>-1.4617377909112019</v>
      </c>
      <c r="N962" s="357">
        <f t="shared" ca="1" si="423"/>
        <v>-83.751406173988258</v>
      </c>
      <c r="O962" s="343"/>
      <c r="P962" s="363">
        <f t="shared" ca="1" si="424"/>
        <v>23</v>
      </c>
      <c r="Q962" s="357">
        <f t="shared" ca="1" si="425"/>
        <v>0</v>
      </c>
      <c r="R962" s="359">
        <f t="shared" ca="1" si="426"/>
        <v>0</v>
      </c>
      <c r="S962" s="360">
        <f t="shared" ca="1" si="427"/>
        <v>9.637999999999975</v>
      </c>
      <c r="T962" s="357">
        <f t="shared" ca="1" si="407"/>
        <v>94.548779999999766</v>
      </c>
      <c r="U962" s="364">
        <f t="shared" ca="1" si="408"/>
        <v>0</v>
      </c>
      <c r="V962" s="359">
        <f t="shared" ca="1" si="409"/>
        <v>1.2252787203112061</v>
      </c>
      <c r="W962" s="357">
        <f t="shared" ca="1" si="410"/>
        <v>78.518126645782871</v>
      </c>
      <c r="X962" s="343"/>
      <c r="Y962" s="367" t="str">
        <f t="shared" ca="1" si="428"/>
        <v/>
      </c>
      <c r="Z962" s="368" t="str">
        <f t="shared" ca="1" si="429"/>
        <v/>
      </c>
      <c r="AA962" s="369" t="str">
        <f t="shared" ca="1" si="430"/>
        <v/>
      </c>
      <c r="AB962" s="344"/>
      <c r="AC962" s="363" t="e">
        <f t="shared" ca="1" si="431"/>
        <v>#N/A</v>
      </c>
      <c r="AD962" s="376" t="e">
        <f t="shared" ca="1" si="432"/>
        <v>#N/A</v>
      </c>
      <c r="AE962" s="377" t="e">
        <f t="shared" ca="1" si="411"/>
        <v>#N/A</v>
      </c>
      <c r="AF962" s="344"/>
      <c r="AG962" s="359">
        <f t="shared" ca="1" si="433"/>
        <v>1.6050233006054135</v>
      </c>
      <c r="AH962" s="357">
        <f t="shared" ca="1" si="434"/>
        <v>-8.1466949076933393</v>
      </c>
    </row>
    <row r="963" spans="1:34" x14ac:dyDescent="0.25">
      <c r="A963" s="402">
        <f t="shared" ca="1" si="412"/>
        <v>1E-4</v>
      </c>
      <c r="B963" s="357">
        <f t="shared" ca="1" si="413"/>
        <v>49.30160000000042</v>
      </c>
      <c r="C963" s="342"/>
      <c r="D963" s="359">
        <f t="shared" ca="1" si="414"/>
        <v>-0.88670963867438901</v>
      </c>
      <c r="E963" s="360">
        <f t="shared" ca="1" si="415"/>
        <v>-1.7116755319788908</v>
      </c>
      <c r="F963" s="357">
        <f t="shared" ca="1" si="416"/>
        <v>1.9277155158615298</v>
      </c>
      <c r="G963" s="359">
        <f t="shared" ca="1" si="417"/>
        <v>18.313612869846306</v>
      </c>
      <c r="H963" s="360">
        <f t="shared" ca="1" si="418"/>
        <v>-167.25931758858385</v>
      </c>
      <c r="I963" s="357">
        <f t="shared" ca="1" si="419"/>
        <v>168.25893062938846</v>
      </c>
      <c r="J963" s="359">
        <f t="shared" ca="1" si="420"/>
        <v>1789.3751464685777</v>
      </c>
      <c r="K963" s="360">
        <f t="shared" ca="1" si="421"/>
        <v>-2.2917349570352816</v>
      </c>
      <c r="L963" s="357">
        <f t="shared" ca="1" si="406"/>
        <v>1789.3766140330988</v>
      </c>
      <c r="M963" s="359">
        <f t="shared" ca="1" si="422"/>
        <v>-1.4617384254954753</v>
      </c>
      <c r="N963" s="357">
        <f t="shared" ca="1" si="423"/>
        <v>-83.751442532988861</v>
      </c>
      <c r="O963" s="343"/>
      <c r="P963" s="363">
        <f t="shared" ca="1" si="424"/>
        <v>23</v>
      </c>
      <c r="Q963" s="357">
        <f t="shared" ca="1" si="425"/>
        <v>0</v>
      </c>
      <c r="R963" s="359">
        <f t="shared" ca="1" si="426"/>
        <v>0</v>
      </c>
      <c r="S963" s="360">
        <f t="shared" ca="1" si="427"/>
        <v>9.637999999999975</v>
      </c>
      <c r="T963" s="357">
        <f t="shared" ca="1" si="407"/>
        <v>94.548779999999766</v>
      </c>
      <c r="U963" s="364">
        <f t="shared" ca="1" si="408"/>
        <v>0</v>
      </c>
      <c r="V963" s="359">
        <f t="shared" ca="1" si="409"/>
        <v>1.2252807697047241</v>
      </c>
      <c r="W963" s="357">
        <f t="shared" ca="1" si="410"/>
        <v>78.518407769556518</v>
      </c>
      <c r="X963" s="343"/>
      <c r="Y963" s="367" t="str">
        <f t="shared" ca="1" si="428"/>
        <v/>
      </c>
      <c r="Z963" s="368" t="str">
        <f t="shared" ca="1" si="429"/>
        <v/>
      </c>
      <c r="AA963" s="369" t="str">
        <f t="shared" ca="1" si="430"/>
        <v/>
      </c>
      <c r="AB963" s="344"/>
      <c r="AC963" s="363" t="e">
        <f t="shared" ca="1" si="431"/>
        <v>#N/A</v>
      </c>
      <c r="AD963" s="376" t="e">
        <f t="shared" ca="1" si="432"/>
        <v>#N/A</v>
      </c>
      <c r="AE963" s="377" t="e">
        <f t="shared" ca="1" si="411"/>
        <v>#N/A</v>
      </c>
      <c r="AF963" s="344"/>
      <c r="AG963" s="359">
        <f t="shared" ca="1" si="433"/>
        <v>1.6049948097449196</v>
      </c>
      <c r="AH963" s="357">
        <f t="shared" ca="1" si="434"/>
        <v>-8.1467240761343724</v>
      </c>
    </row>
    <row r="964" spans="1:34" x14ac:dyDescent="0.25">
      <c r="A964" s="402">
        <f t="shared" ca="1" si="412"/>
        <v>1E-4</v>
      </c>
      <c r="B964" s="357">
        <f t="shared" ca="1" si="413"/>
        <v>49.301700000000423</v>
      </c>
      <c r="C964" s="342"/>
      <c r="D964" s="359">
        <f t="shared" ca="1" si="414"/>
        <v>-0.88670767433311548</v>
      </c>
      <c r="E964" s="360">
        <f t="shared" ca="1" si="415"/>
        <v>-1.711645974306224</v>
      </c>
      <c r="F964" s="357">
        <f t="shared" ca="1" si="416"/>
        <v>1.9276883672108274</v>
      </c>
      <c r="G964" s="359">
        <f t="shared" ca="1" si="417"/>
        <v>18.313524199078874</v>
      </c>
      <c r="H964" s="360">
        <f t="shared" ca="1" si="418"/>
        <v>-167.25948875318127</v>
      </c>
      <c r="I964" s="357">
        <f t="shared" ca="1" si="419"/>
        <v>168.25909112605422</v>
      </c>
      <c r="J964" s="359">
        <f t="shared" ca="1" si="420"/>
        <v>1789.3751464685777</v>
      </c>
      <c r="K964" s="360">
        <f t="shared" ca="1" si="421"/>
        <v>-2.3084608973523699</v>
      </c>
      <c r="L964" s="357">
        <f t="shared" ref="L964:L1004" ca="1" si="435">SQRT(pos_x^2+pos_z^2)</f>
        <v>1789.3766355329328</v>
      </c>
      <c r="M964" s="359">
        <f t="shared" ca="1" si="422"/>
        <v>-1.4617390600754654</v>
      </c>
      <c r="N964" s="357">
        <f t="shared" ca="1" si="423"/>
        <v>-83.751478891744057</v>
      </c>
      <c r="O964" s="343"/>
      <c r="P964" s="363">
        <f t="shared" ca="1" si="424"/>
        <v>23</v>
      </c>
      <c r="Q964" s="357">
        <f t="shared" ca="1" si="425"/>
        <v>0</v>
      </c>
      <c r="R964" s="359">
        <f t="shared" ca="1" si="426"/>
        <v>0</v>
      </c>
      <c r="S964" s="360">
        <f t="shared" ca="1" si="427"/>
        <v>9.637999999999975</v>
      </c>
      <c r="T964" s="357">
        <f t="shared" ref="T964:T1004" ca="1" si="436">m*g</f>
        <v>94.548779999999766</v>
      </c>
      <c r="U964" s="364">
        <f t="shared" ref="U964:U1004" ca="1" si="437">IF(pos_xz&lt;L_rampe,Poids*COS(Beta),0)</f>
        <v>0</v>
      </c>
      <c r="V964" s="359">
        <f t="shared" ref="V964:V1004" ca="1" si="438">Rho_moyen*(20000-Alt_rampe-pos_z)/(20000+Alt_rampe+pos_z)</f>
        <v>1.2252828191037677</v>
      </c>
      <c r="W964" s="357">
        <f t="shared" ref="W964:W1003" ca="1" si="439">1/2*Rho*Sref*Cx*vit_xz^2</f>
        <v>78.518688891669157</v>
      </c>
      <c r="X964" s="343"/>
      <c r="Y964" s="367" t="str">
        <f t="shared" ca="1" si="428"/>
        <v/>
      </c>
      <c r="Z964" s="368" t="str">
        <f t="shared" ca="1" si="429"/>
        <v/>
      </c>
      <c r="AA964" s="369" t="str">
        <f t="shared" ca="1" si="430"/>
        <v/>
      </c>
      <c r="AB964" s="344"/>
      <c r="AC964" s="363" t="e">
        <f t="shared" ca="1" si="431"/>
        <v>#N/A</v>
      </c>
      <c r="AD964" s="376" t="e">
        <f t="shared" ca="1" si="432"/>
        <v>#N/A</v>
      </c>
      <c r="AE964" s="377" t="e">
        <f t="shared" ref="AE964:AE1004" ca="1" si="440">IF(t&lt;T_para, pos_z, NA())</f>
        <v>#N/A</v>
      </c>
      <c r="AF964" s="344"/>
      <c r="AG964" s="359">
        <f t="shared" ca="1" si="433"/>
        <v>1.6049663190482679</v>
      </c>
      <c r="AH964" s="357">
        <f t="shared" ca="1" si="434"/>
        <v>-8.1467532444030635</v>
      </c>
    </row>
    <row r="965" spans="1:34" x14ac:dyDescent="0.25">
      <c r="A965" s="402">
        <f t="shared" ref="A965:A1004" ca="1" si="441">IF(B964+0.01&lt;=T_ini+ROUNDUP(Temps_fin_propu,0), 0.01, IF(K964&gt;0, 0.1, 0.0001))</f>
        <v>1E-4</v>
      </c>
      <c r="B965" s="357">
        <f t="shared" ref="B965:B1004" ca="1" si="442">B964+pas</f>
        <v>49.301800000000426</v>
      </c>
      <c r="C965" s="342"/>
      <c r="D965" s="359">
        <f t="shared" ref="D965:D1004" ca="1" si="443">IF(AND(L964&lt;L_rampe,Poussee&lt;Poids*SIN(M964)),0,(-W964+Poussee)/m*COS(M964)-U964/m*SIN(M964))</f>
        <v>-0.88670570997061515</v>
      </c>
      <c r="E965" s="360">
        <f t="shared" ref="E965:E1004" ca="1" si="444">IF(AND(L964&lt;L_rampe,Poussee&lt;Poids*SIN(M964)),0,(-W964+Poussee)/m*SIN(M964)+U964/m*COS(M964)-Poids/m)</f>
        <v>-1.7116164168079031</v>
      </c>
      <c r="F965" s="357">
        <f t="shared" ref="F965:F1004" ca="1" si="445">SQRT(acc_x^2+acc_z^2)</f>
        <v>1.9276612187780349</v>
      </c>
      <c r="G965" s="359">
        <f t="shared" ref="G965:G1004" ca="1" si="446">G964+acc_x*pas</f>
        <v>18.313435528507878</v>
      </c>
      <c r="H965" s="360">
        <f t="shared" ref="H965:H1004" ca="1" si="447">H964+acc_z*pas</f>
        <v>-167.25965991482295</v>
      </c>
      <c r="I965" s="357">
        <f t="shared" ref="I965:I1004" ca="1" si="448">SQRT(vit_x^2+vit_z^2)</f>
        <v>168.25925161987095</v>
      </c>
      <c r="J965" s="359">
        <f t="shared" ref="J965:J1004" ca="1" si="449">J964+0.5*(vit_x+G964)*pas*(K964&gt;=0)</f>
        <v>1789.3751464685777</v>
      </c>
      <c r="K965" s="360">
        <f t="shared" ref="K965:K1004" ca="1" si="450">K964+0.5*(vit_z+H964)*pas</f>
        <v>-2.3251868547857701</v>
      </c>
      <c r="L965" s="357">
        <f t="shared" ca="1" si="435"/>
        <v>1789.3766571891324</v>
      </c>
      <c r="M965" s="359">
        <f t="shared" ref="M965:M1004" ca="1" si="451">IF(AND(L964&gt;L_rampe,G965&gt;0),ATAN2(G965,H965),$M$4)</f>
        <v>-1.4617396946511727</v>
      </c>
      <c r="N965" s="357">
        <f t="shared" ref="N965:N1004" ca="1" si="452">DEGREES(Beta)</f>
        <v>-83.751515250253874</v>
      </c>
      <c r="O965" s="343"/>
      <c r="P965" s="363">
        <f t="shared" ref="P965:P1004" ca="1" si="453">MATCH(t-pas/2-T_ini,CdP_t)</f>
        <v>23</v>
      </c>
      <c r="Q965" s="357">
        <f t="shared" ref="Q965:Q1004" ca="1" si="454">(INDEX(CdP,2,i_P+1)-INDEX(CdP,2,i_P+0))/(INDEX(CdP,1,i_P+1)-INDEX(CdP,1,i_P+0))*(t-pas/2-T_ini-INDEX(CdP,1,i_P+0))+INDEX(CdP,2,i_P+0)</f>
        <v>0</v>
      </c>
      <c r="R965" s="359">
        <f t="shared" ref="R965:R1004" ca="1" si="455">Poussee/(g*ISP)</f>
        <v>0</v>
      </c>
      <c r="S965" s="360">
        <f t="shared" ref="S965:S1004" ca="1" si="456">S964-Débit*pas</f>
        <v>9.637999999999975</v>
      </c>
      <c r="T965" s="357">
        <f t="shared" ca="1" si="436"/>
        <v>94.548779999999766</v>
      </c>
      <c r="U965" s="364">
        <f t="shared" ca="1" si="437"/>
        <v>0</v>
      </c>
      <c r="V965" s="359">
        <f t="shared" ca="1" si="438"/>
        <v>1.2252848685083368</v>
      </c>
      <c r="W965" s="357">
        <f t="shared" ca="1" si="439"/>
        <v>78.518970012120846</v>
      </c>
      <c r="X965" s="343"/>
      <c r="Y965" s="367" t="str">
        <f t="shared" ref="Y965:Y1003" ca="1" si="457">IF(AND(pos_z&lt;=0,K964&gt;0),"Impact balistique","") &amp; IF(AND(H966&lt;0,vit_z&gt;=0),"Apogée","") &amp; IF(AND(Poussee=0,Q964&gt;0),"Fin de propulsion","") &amp; IF(AND(L966&gt;L_rampe,pos_xz&lt;=L_rampe),"Sortie de rampe","")</f>
        <v/>
      </c>
      <c r="Z965" s="368" t="str">
        <f t="shared" ref="Z965:Z1004" ca="1" si="458">IF(ABS(t-T_para)&lt;pas/2,"Para","")</f>
        <v/>
      </c>
      <c r="AA965" s="369" t="str">
        <f t="shared" ref="AA965:AA1004" ca="1" si="459">IF(ABS(t-T_satellite)&lt;pas/2,"Satellite","")</f>
        <v/>
      </c>
      <c r="AB965" s="344"/>
      <c r="AC965" s="363" t="e">
        <f t="shared" ref="AC965:AC1004" ca="1" si="460">IF(ABS(t-ROUND(t,0))&lt;0.001,t,NA())</f>
        <v>#N/A</v>
      </c>
      <c r="AD965" s="376" t="e">
        <f t="shared" ref="AD965:AD1004" ca="1" si="461">IF(ABS(t-ROUND(t,0))&lt;0.001,pos_x,NA())</f>
        <v>#N/A</v>
      </c>
      <c r="AE965" s="377" t="e">
        <f t="shared" ca="1" si="440"/>
        <v>#N/A</v>
      </c>
      <c r="AF965" s="344"/>
      <c r="AG965" s="359">
        <f t="shared" ref="AG965:AG1004" ca="1" si="462">IF(AND(L964&lt;L_rampe,Poussee&lt;Poids*SIN(M964)),0,(-W964+Poussee)/m-Poids*SIN(M964)/m)</f>
        <v>1.604937828515455</v>
      </c>
      <c r="AH965" s="357">
        <f t="shared" ref="AH965:AH1004" ca="1" si="463">IF(AND(L964&lt;L_rampe,Poussee&lt;Poids*SIN(M964)), g*SIN(M964), (-W964+Poussee)/m)</f>
        <v>-8.1467824124994141</v>
      </c>
    </row>
    <row r="966" spans="1:34" x14ac:dyDescent="0.25">
      <c r="A966" s="402">
        <f t="shared" ca="1" si="441"/>
        <v>1E-4</v>
      </c>
      <c r="B966" s="357">
        <f t="shared" ca="1" si="442"/>
        <v>49.30190000000043</v>
      </c>
      <c r="C966" s="342"/>
      <c r="D966" s="359">
        <f t="shared" ca="1" si="443"/>
        <v>-0.88670374558688569</v>
      </c>
      <c r="E966" s="360">
        <f t="shared" ca="1" si="444"/>
        <v>-1.7115868594839192</v>
      </c>
      <c r="F966" s="357">
        <f t="shared" ca="1" si="445"/>
        <v>1.9276340705631445</v>
      </c>
      <c r="G966" s="359">
        <f t="shared" ca="1" si="446"/>
        <v>18.313346858133318</v>
      </c>
      <c r="H966" s="360">
        <f t="shared" ca="1" si="447"/>
        <v>-167.25983107350891</v>
      </c>
      <c r="I966" s="357">
        <f t="shared" ca="1" si="448"/>
        <v>168.25941211083864</v>
      </c>
      <c r="J966" s="359">
        <f t="shared" ca="1" si="449"/>
        <v>1789.3751464685777</v>
      </c>
      <c r="K966" s="360">
        <f t="shared" ca="1" si="450"/>
        <v>-2.3419128293351865</v>
      </c>
      <c r="L966" s="357">
        <f t="shared" ca="1" si="435"/>
        <v>1789.3766790016975</v>
      </c>
      <c r="M966" s="359">
        <f t="shared" ca="1" si="451"/>
        <v>-1.4617403292225968</v>
      </c>
      <c r="N966" s="357">
        <f t="shared" ca="1" si="452"/>
        <v>-83.75155160851827</v>
      </c>
      <c r="O966" s="343"/>
      <c r="P966" s="363">
        <f t="shared" ca="1" si="453"/>
        <v>23</v>
      </c>
      <c r="Q966" s="357">
        <f t="shared" ca="1" si="454"/>
        <v>0</v>
      </c>
      <c r="R966" s="359">
        <f t="shared" ca="1" si="455"/>
        <v>0</v>
      </c>
      <c r="S966" s="360">
        <f t="shared" ca="1" si="456"/>
        <v>9.637999999999975</v>
      </c>
      <c r="T966" s="357">
        <f t="shared" ca="1" si="436"/>
        <v>94.548779999999766</v>
      </c>
      <c r="U966" s="364">
        <f t="shared" ca="1" si="437"/>
        <v>0</v>
      </c>
      <c r="V966" s="359">
        <f t="shared" ca="1" si="438"/>
        <v>1.2252869179184314</v>
      </c>
      <c r="W966" s="357">
        <f t="shared" ca="1" si="439"/>
        <v>78.519251130911499</v>
      </c>
      <c r="X966" s="343"/>
      <c r="Y966" s="367" t="str">
        <f t="shared" ca="1" si="457"/>
        <v/>
      </c>
      <c r="Z966" s="368" t="str">
        <f t="shared" ca="1" si="458"/>
        <v/>
      </c>
      <c r="AA966" s="369" t="str">
        <f t="shared" ca="1" si="459"/>
        <v/>
      </c>
      <c r="AB966" s="344"/>
      <c r="AC966" s="363" t="e">
        <f t="shared" ca="1" si="460"/>
        <v>#N/A</v>
      </c>
      <c r="AD966" s="376" t="e">
        <f t="shared" ca="1" si="461"/>
        <v>#N/A</v>
      </c>
      <c r="AE966" s="377" t="e">
        <f t="shared" ca="1" si="440"/>
        <v>#N/A</v>
      </c>
      <c r="AF966" s="344"/>
      <c r="AG966" s="359">
        <f t="shared" ca="1" si="462"/>
        <v>1.6049093381464754</v>
      </c>
      <c r="AH966" s="357">
        <f t="shared" ca="1" si="463"/>
        <v>-8.1468115804234333</v>
      </c>
    </row>
    <row r="967" spans="1:34" x14ac:dyDescent="0.25">
      <c r="A967" s="402">
        <f t="shared" ca="1" si="441"/>
        <v>1E-4</v>
      </c>
      <c r="B967" s="357">
        <f t="shared" ca="1" si="442"/>
        <v>49.302000000000433</v>
      </c>
      <c r="C967" s="342"/>
      <c r="D967" s="359">
        <f t="shared" ca="1" si="443"/>
        <v>-0.88670178118193033</v>
      </c>
      <c r="E967" s="360">
        <f t="shared" ca="1" si="444"/>
        <v>-1.7115573023342847</v>
      </c>
      <c r="F967" s="357">
        <f t="shared" ca="1" si="445"/>
        <v>1.9276069225661703</v>
      </c>
      <c r="G967" s="359">
        <f t="shared" ca="1" si="446"/>
        <v>18.313258187955199</v>
      </c>
      <c r="H967" s="360">
        <f t="shared" ca="1" si="447"/>
        <v>-167.26000222923915</v>
      </c>
      <c r="I967" s="357">
        <f t="shared" ca="1" si="448"/>
        <v>168.25957259895733</v>
      </c>
      <c r="J967" s="359">
        <f t="shared" ca="1" si="449"/>
        <v>1789.3751464685777</v>
      </c>
      <c r="K967" s="360">
        <f t="shared" ca="1" si="450"/>
        <v>-2.3586388210003237</v>
      </c>
      <c r="L967" s="357">
        <f t="shared" ca="1" si="435"/>
        <v>1789.3767009706289</v>
      </c>
      <c r="M967" s="359">
        <f t="shared" ca="1" si="451"/>
        <v>-1.4617409637897378</v>
      </c>
      <c r="N967" s="357">
        <f t="shared" ca="1" si="452"/>
        <v>-83.751587966537272</v>
      </c>
      <c r="O967" s="343"/>
      <c r="P967" s="363">
        <f t="shared" ca="1" si="453"/>
        <v>23</v>
      </c>
      <c r="Q967" s="357">
        <f t="shared" ca="1" si="454"/>
        <v>0</v>
      </c>
      <c r="R967" s="359">
        <f t="shared" ca="1" si="455"/>
        <v>0</v>
      </c>
      <c r="S967" s="360">
        <f t="shared" ca="1" si="456"/>
        <v>9.637999999999975</v>
      </c>
      <c r="T967" s="357">
        <f t="shared" ca="1" si="436"/>
        <v>94.548779999999766</v>
      </c>
      <c r="U967" s="364">
        <f t="shared" ca="1" si="437"/>
        <v>0</v>
      </c>
      <c r="V967" s="359">
        <f t="shared" ca="1" si="438"/>
        <v>1.225288967334051</v>
      </c>
      <c r="W967" s="357">
        <f t="shared" ca="1" si="439"/>
        <v>78.519532248041145</v>
      </c>
      <c r="X967" s="343"/>
      <c r="Y967" s="367" t="str">
        <f t="shared" ca="1" si="457"/>
        <v/>
      </c>
      <c r="Z967" s="368" t="str">
        <f t="shared" ca="1" si="458"/>
        <v/>
      </c>
      <c r="AA967" s="369" t="str">
        <f t="shared" ca="1" si="459"/>
        <v/>
      </c>
      <c r="AB967" s="344"/>
      <c r="AC967" s="363" t="e">
        <f t="shared" ca="1" si="460"/>
        <v>#N/A</v>
      </c>
      <c r="AD967" s="376" t="e">
        <f t="shared" ca="1" si="461"/>
        <v>#N/A</v>
      </c>
      <c r="AE967" s="377" t="e">
        <f t="shared" ca="1" si="440"/>
        <v>#N/A</v>
      </c>
      <c r="AF967" s="344"/>
      <c r="AG967" s="359">
        <f t="shared" ca="1" si="462"/>
        <v>1.6048808479413381</v>
      </c>
      <c r="AH967" s="357">
        <f t="shared" ca="1" si="463"/>
        <v>-8.1468407481751086</v>
      </c>
    </row>
    <row r="968" spans="1:34" x14ac:dyDescent="0.25">
      <c r="A968" s="402">
        <f t="shared" ca="1" si="441"/>
        <v>1E-4</v>
      </c>
      <c r="B968" s="357">
        <f t="shared" ca="1" si="442"/>
        <v>49.302100000000436</v>
      </c>
      <c r="C968" s="342"/>
      <c r="D968" s="359">
        <f t="shared" ca="1" si="443"/>
        <v>-0.8866998167557486</v>
      </c>
      <c r="E968" s="360">
        <f t="shared" ca="1" si="444"/>
        <v>-1.7115277453589943</v>
      </c>
      <c r="F968" s="357">
        <f t="shared" ca="1" si="445"/>
        <v>1.9275797747871086</v>
      </c>
      <c r="G968" s="359">
        <f t="shared" ca="1" si="446"/>
        <v>18.313169517973524</v>
      </c>
      <c r="H968" s="360">
        <f t="shared" ca="1" si="447"/>
        <v>-167.26017338201368</v>
      </c>
      <c r="I968" s="357">
        <f t="shared" ca="1" si="448"/>
        <v>168.25973308422698</v>
      </c>
      <c r="J968" s="359">
        <f t="shared" ca="1" si="449"/>
        <v>1789.3751464685777</v>
      </c>
      <c r="K968" s="360">
        <f t="shared" ca="1" si="450"/>
        <v>-2.3753648297808865</v>
      </c>
      <c r="L968" s="357">
        <f t="shared" ca="1" si="435"/>
        <v>1789.3767230959272</v>
      </c>
      <c r="M968" s="359">
        <f t="shared" ca="1" si="451"/>
        <v>-1.4617415983525961</v>
      </c>
      <c r="N968" s="357">
        <f t="shared" ca="1" si="452"/>
        <v>-83.751624324310882</v>
      </c>
      <c r="O968" s="343"/>
      <c r="P968" s="363">
        <f t="shared" ca="1" si="453"/>
        <v>23</v>
      </c>
      <c r="Q968" s="357">
        <f t="shared" ca="1" si="454"/>
        <v>0</v>
      </c>
      <c r="R968" s="359">
        <f t="shared" ca="1" si="455"/>
        <v>0</v>
      </c>
      <c r="S968" s="360">
        <f t="shared" ca="1" si="456"/>
        <v>9.637999999999975</v>
      </c>
      <c r="T968" s="357">
        <f t="shared" ca="1" si="436"/>
        <v>94.548779999999766</v>
      </c>
      <c r="U968" s="364">
        <f t="shared" ca="1" si="437"/>
        <v>0</v>
      </c>
      <c r="V968" s="359">
        <f t="shared" ca="1" si="438"/>
        <v>1.2252910167551967</v>
      </c>
      <c r="W968" s="357">
        <f t="shared" ca="1" si="439"/>
        <v>78.519813363509812</v>
      </c>
      <c r="X968" s="343"/>
      <c r="Y968" s="367" t="str">
        <f t="shared" ca="1" si="457"/>
        <v/>
      </c>
      <c r="Z968" s="368" t="str">
        <f t="shared" ca="1" si="458"/>
        <v/>
      </c>
      <c r="AA968" s="369" t="str">
        <f t="shared" ca="1" si="459"/>
        <v/>
      </c>
      <c r="AB968" s="344"/>
      <c r="AC968" s="363" t="e">
        <f t="shared" ca="1" si="460"/>
        <v>#N/A</v>
      </c>
      <c r="AD968" s="376" t="e">
        <f t="shared" ca="1" si="461"/>
        <v>#N/A</v>
      </c>
      <c r="AE968" s="377" t="e">
        <f t="shared" ca="1" si="440"/>
        <v>#N/A</v>
      </c>
      <c r="AF968" s="344"/>
      <c r="AG968" s="359">
        <f t="shared" ca="1" si="462"/>
        <v>1.6048523579000413</v>
      </c>
      <c r="AH968" s="357">
        <f t="shared" ca="1" si="463"/>
        <v>-8.1468699157544453</v>
      </c>
    </row>
    <row r="969" spans="1:34" x14ac:dyDescent="0.25">
      <c r="A969" s="402">
        <f t="shared" ca="1" si="441"/>
        <v>1E-4</v>
      </c>
      <c r="B969" s="357">
        <f t="shared" ca="1" si="442"/>
        <v>49.30220000000044</v>
      </c>
      <c r="C969" s="342"/>
      <c r="D969" s="359">
        <f t="shared" ca="1" si="443"/>
        <v>-0.88669785230833931</v>
      </c>
      <c r="E969" s="360">
        <f t="shared" ca="1" si="444"/>
        <v>-1.711498188558048</v>
      </c>
      <c r="F969" s="357">
        <f t="shared" ca="1" si="445"/>
        <v>1.9275526272259602</v>
      </c>
      <c r="G969" s="359">
        <f t="shared" ca="1" si="446"/>
        <v>18.313080848188292</v>
      </c>
      <c r="H969" s="360">
        <f t="shared" ca="1" si="447"/>
        <v>-167.26034453183254</v>
      </c>
      <c r="I969" s="357">
        <f t="shared" ca="1" si="448"/>
        <v>168.25989356664766</v>
      </c>
      <c r="J969" s="359">
        <f t="shared" ca="1" si="449"/>
        <v>1789.3751464685777</v>
      </c>
      <c r="K969" s="360">
        <f t="shared" ca="1" si="450"/>
        <v>-2.392090855676579</v>
      </c>
      <c r="L969" s="357">
        <f t="shared" ca="1" si="435"/>
        <v>1789.3767453775924</v>
      </c>
      <c r="M969" s="359">
        <f t="shared" ca="1" si="451"/>
        <v>-1.4617422329111711</v>
      </c>
      <c r="N969" s="357">
        <f t="shared" ca="1" si="452"/>
        <v>-83.751660681839084</v>
      </c>
      <c r="O969" s="343"/>
      <c r="P969" s="363">
        <f t="shared" ca="1" si="453"/>
        <v>23</v>
      </c>
      <c r="Q969" s="357">
        <f t="shared" ca="1" si="454"/>
        <v>0</v>
      </c>
      <c r="R969" s="359">
        <f t="shared" ca="1" si="455"/>
        <v>0</v>
      </c>
      <c r="S969" s="360">
        <f t="shared" ca="1" si="456"/>
        <v>9.637999999999975</v>
      </c>
      <c r="T969" s="357">
        <f t="shared" ca="1" si="436"/>
        <v>94.548779999999766</v>
      </c>
      <c r="U969" s="364">
        <f t="shared" ca="1" si="437"/>
        <v>0</v>
      </c>
      <c r="V969" s="359">
        <f t="shared" ca="1" si="438"/>
        <v>1.2252930661818671</v>
      </c>
      <c r="W969" s="357">
        <f t="shared" ca="1" si="439"/>
        <v>78.520094477317429</v>
      </c>
      <c r="X969" s="343"/>
      <c r="Y969" s="367" t="str">
        <f t="shared" ca="1" si="457"/>
        <v/>
      </c>
      <c r="Z969" s="368" t="str">
        <f t="shared" ca="1" si="458"/>
        <v/>
      </c>
      <c r="AA969" s="369" t="str">
        <f t="shared" ca="1" si="459"/>
        <v/>
      </c>
      <c r="AB969" s="344"/>
      <c r="AC969" s="363" t="e">
        <f t="shared" ca="1" si="460"/>
        <v>#N/A</v>
      </c>
      <c r="AD969" s="376" t="e">
        <f t="shared" ca="1" si="461"/>
        <v>#N/A</v>
      </c>
      <c r="AE969" s="377" t="e">
        <f t="shared" ca="1" si="440"/>
        <v>#N/A</v>
      </c>
      <c r="AF969" s="344"/>
      <c r="AG969" s="359">
        <f t="shared" ca="1" si="462"/>
        <v>1.6048238680225815</v>
      </c>
      <c r="AH969" s="357">
        <f t="shared" ca="1" si="463"/>
        <v>-8.1468990831614452</v>
      </c>
    </row>
    <row r="970" spans="1:34" x14ac:dyDescent="0.25">
      <c r="A970" s="402">
        <f t="shared" ca="1" si="441"/>
        <v>1E-4</v>
      </c>
      <c r="B970" s="357">
        <f t="shared" ca="1" si="442"/>
        <v>49.302300000000443</v>
      </c>
      <c r="C970" s="342"/>
      <c r="D970" s="359">
        <f t="shared" ca="1" si="443"/>
        <v>-0.88669588783970643</v>
      </c>
      <c r="E970" s="360">
        <f t="shared" ca="1" si="444"/>
        <v>-1.7114686319314512</v>
      </c>
      <c r="F970" s="357">
        <f t="shared" ca="1" si="445"/>
        <v>1.9275254798827326</v>
      </c>
      <c r="G970" s="359">
        <f t="shared" ca="1" si="446"/>
        <v>18.312992178599508</v>
      </c>
      <c r="H970" s="360">
        <f t="shared" ca="1" si="447"/>
        <v>-167.26051567869573</v>
      </c>
      <c r="I970" s="357">
        <f t="shared" ca="1" si="448"/>
        <v>168.26005404621938</v>
      </c>
      <c r="J970" s="359">
        <f t="shared" ca="1" si="449"/>
        <v>1789.3751464685777</v>
      </c>
      <c r="K970" s="360">
        <f t="shared" ca="1" si="450"/>
        <v>-2.4088168986871055</v>
      </c>
      <c r="L970" s="357">
        <f t="shared" ca="1" si="435"/>
        <v>1789.3767678156257</v>
      </c>
      <c r="M970" s="359">
        <f t="shared" ca="1" si="451"/>
        <v>-1.4617428674654636</v>
      </c>
      <c r="N970" s="357">
        <f t="shared" ca="1" si="452"/>
        <v>-83.751697039121922</v>
      </c>
      <c r="O970" s="343"/>
      <c r="P970" s="363">
        <f t="shared" ca="1" si="453"/>
        <v>23</v>
      </c>
      <c r="Q970" s="357">
        <f t="shared" ca="1" si="454"/>
        <v>0</v>
      </c>
      <c r="R970" s="359">
        <f t="shared" ca="1" si="455"/>
        <v>0</v>
      </c>
      <c r="S970" s="360">
        <f t="shared" ca="1" si="456"/>
        <v>9.637999999999975</v>
      </c>
      <c r="T970" s="357">
        <f t="shared" ca="1" si="436"/>
        <v>94.548779999999766</v>
      </c>
      <c r="U970" s="364">
        <f t="shared" ca="1" si="437"/>
        <v>0</v>
      </c>
      <c r="V970" s="359">
        <f t="shared" ca="1" si="438"/>
        <v>1.225295115614063</v>
      </c>
      <c r="W970" s="357">
        <f t="shared" ca="1" si="439"/>
        <v>78.520375589464038</v>
      </c>
      <c r="X970" s="343"/>
      <c r="Y970" s="367" t="str">
        <f t="shared" ca="1" si="457"/>
        <v/>
      </c>
      <c r="Z970" s="368" t="str">
        <f t="shared" ca="1" si="458"/>
        <v/>
      </c>
      <c r="AA970" s="369" t="str">
        <f t="shared" ca="1" si="459"/>
        <v/>
      </c>
      <c r="AB970" s="344"/>
      <c r="AC970" s="363" t="e">
        <f t="shared" ca="1" si="460"/>
        <v>#N/A</v>
      </c>
      <c r="AD970" s="376" t="e">
        <f t="shared" ca="1" si="461"/>
        <v>#N/A</v>
      </c>
      <c r="AE970" s="377" t="e">
        <f t="shared" ca="1" si="440"/>
        <v>#N/A</v>
      </c>
      <c r="AF970" s="344"/>
      <c r="AG970" s="359">
        <f t="shared" ca="1" si="462"/>
        <v>1.6047953783089621</v>
      </c>
      <c r="AH970" s="357">
        <f t="shared" ca="1" si="463"/>
        <v>-8.1469282503961029</v>
      </c>
    </row>
    <row r="971" spans="1:34" x14ac:dyDescent="0.25">
      <c r="A971" s="402">
        <f t="shared" ca="1" si="441"/>
        <v>1E-4</v>
      </c>
      <c r="B971" s="357">
        <f t="shared" ca="1" si="442"/>
        <v>49.302400000000446</v>
      </c>
      <c r="C971" s="342"/>
      <c r="D971" s="359">
        <f t="shared" ca="1" si="443"/>
        <v>-0.88669392334984509</v>
      </c>
      <c r="E971" s="360">
        <f t="shared" ca="1" si="444"/>
        <v>-1.7114390754792002</v>
      </c>
      <c r="F971" s="357">
        <f t="shared" ca="1" si="445"/>
        <v>1.9274983327574218</v>
      </c>
      <c r="G971" s="359">
        <f t="shared" ca="1" si="446"/>
        <v>18.312903509207175</v>
      </c>
      <c r="H971" s="360">
        <f t="shared" ca="1" si="447"/>
        <v>-167.26068682260328</v>
      </c>
      <c r="I971" s="357">
        <f t="shared" ca="1" si="448"/>
        <v>168.26021452294214</v>
      </c>
      <c r="J971" s="359">
        <f t="shared" ca="1" si="449"/>
        <v>1789.3751464685777</v>
      </c>
      <c r="K971" s="360">
        <f t="shared" ca="1" si="450"/>
        <v>-2.4255429588121706</v>
      </c>
      <c r="L971" s="357">
        <f t="shared" ca="1" si="435"/>
        <v>1789.3767904100268</v>
      </c>
      <c r="M971" s="359">
        <f t="shared" ca="1" si="451"/>
        <v>-1.461743502015473</v>
      </c>
      <c r="N971" s="357">
        <f t="shared" ca="1" si="452"/>
        <v>-83.751733396159352</v>
      </c>
      <c r="O971" s="343"/>
      <c r="P971" s="363">
        <f t="shared" ca="1" si="453"/>
        <v>23</v>
      </c>
      <c r="Q971" s="357">
        <f t="shared" ca="1" si="454"/>
        <v>0</v>
      </c>
      <c r="R971" s="359">
        <f t="shared" ca="1" si="455"/>
        <v>0</v>
      </c>
      <c r="S971" s="360">
        <f t="shared" ca="1" si="456"/>
        <v>9.637999999999975</v>
      </c>
      <c r="T971" s="357">
        <f t="shared" ca="1" si="436"/>
        <v>94.548779999999766</v>
      </c>
      <c r="U971" s="364">
        <f t="shared" ca="1" si="437"/>
        <v>0</v>
      </c>
      <c r="V971" s="359">
        <f t="shared" ca="1" si="438"/>
        <v>1.2252971650517845</v>
      </c>
      <c r="W971" s="357">
        <f t="shared" ca="1" si="439"/>
        <v>78.52065669994964</v>
      </c>
      <c r="X971" s="343"/>
      <c r="Y971" s="367" t="str">
        <f t="shared" ca="1" si="457"/>
        <v/>
      </c>
      <c r="Z971" s="368" t="str">
        <f t="shared" ca="1" si="458"/>
        <v/>
      </c>
      <c r="AA971" s="369" t="str">
        <f t="shared" ca="1" si="459"/>
        <v/>
      </c>
      <c r="AB971" s="344"/>
      <c r="AC971" s="363" t="e">
        <f t="shared" ca="1" si="460"/>
        <v>#N/A</v>
      </c>
      <c r="AD971" s="376" t="e">
        <f t="shared" ca="1" si="461"/>
        <v>#N/A</v>
      </c>
      <c r="AE971" s="377" t="e">
        <f t="shared" ca="1" si="440"/>
        <v>#N/A</v>
      </c>
      <c r="AF971" s="344"/>
      <c r="AG971" s="359">
        <f t="shared" ca="1" si="462"/>
        <v>1.6047668887591868</v>
      </c>
      <c r="AH971" s="357">
        <f t="shared" ca="1" si="463"/>
        <v>-8.1469574174584185</v>
      </c>
    </row>
    <row r="972" spans="1:34" x14ac:dyDescent="0.25">
      <c r="A972" s="402">
        <f t="shared" ca="1" si="441"/>
        <v>1E-4</v>
      </c>
      <c r="B972" s="357">
        <f t="shared" ca="1" si="442"/>
        <v>49.30250000000045</v>
      </c>
      <c r="C972" s="342"/>
      <c r="D972" s="359">
        <f t="shared" ca="1" si="443"/>
        <v>-0.88669195883876017</v>
      </c>
      <c r="E972" s="360">
        <f t="shared" ca="1" si="444"/>
        <v>-1.7114095192012933</v>
      </c>
      <c r="F972" s="357">
        <f t="shared" ca="1" si="445"/>
        <v>1.9274711858500295</v>
      </c>
      <c r="G972" s="359">
        <f t="shared" ca="1" si="446"/>
        <v>18.312814840011292</v>
      </c>
      <c r="H972" s="360">
        <f t="shared" ca="1" si="447"/>
        <v>-167.2608579635552</v>
      </c>
      <c r="I972" s="357">
        <f t="shared" ca="1" si="448"/>
        <v>168.26037499681595</v>
      </c>
      <c r="J972" s="359">
        <f t="shared" ca="1" si="449"/>
        <v>1789.3751464685777</v>
      </c>
      <c r="K972" s="360">
        <f t="shared" ca="1" si="450"/>
        <v>-2.4422690360514787</v>
      </c>
      <c r="L972" s="357">
        <f t="shared" ca="1" si="435"/>
        <v>1789.3768131607967</v>
      </c>
      <c r="M972" s="359">
        <f t="shared" ca="1" si="451"/>
        <v>-1.4617441365611996</v>
      </c>
      <c r="N972" s="357">
        <f t="shared" ca="1" si="452"/>
        <v>-83.75176975295139</v>
      </c>
      <c r="O972" s="343"/>
      <c r="P972" s="363">
        <f t="shared" ca="1" si="453"/>
        <v>23</v>
      </c>
      <c r="Q972" s="357">
        <f t="shared" ca="1" si="454"/>
        <v>0</v>
      </c>
      <c r="R972" s="359">
        <f t="shared" ca="1" si="455"/>
        <v>0</v>
      </c>
      <c r="S972" s="360">
        <f t="shared" ca="1" si="456"/>
        <v>9.637999999999975</v>
      </c>
      <c r="T972" s="357">
        <f t="shared" ca="1" si="436"/>
        <v>94.548779999999766</v>
      </c>
      <c r="U972" s="364">
        <f t="shared" ca="1" si="437"/>
        <v>0</v>
      </c>
      <c r="V972" s="359">
        <f t="shared" ca="1" si="438"/>
        <v>1.2252992144950312</v>
      </c>
      <c r="W972" s="357">
        <f t="shared" ca="1" si="439"/>
        <v>78.520937808774207</v>
      </c>
      <c r="X972" s="343"/>
      <c r="Y972" s="367" t="str">
        <f t="shared" ca="1" si="457"/>
        <v/>
      </c>
      <c r="Z972" s="368" t="str">
        <f t="shared" ca="1" si="458"/>
        <v/>
      </c>
      <c r="AA972" s="369" t="str">
        <f t="shared" ca="1" si="459"/>
        <v/>
      </c>
      <c r="AB972" s="344"/>
      <c r="AC972" s="363" t="e">
        <f t="shared" ca="1" si="460"/>
        <v>#N/A</v>
      </c>
      <c r="AD972" s="376" t="e">
        <f t="shared" ca="1" si="461"/>
        <v>#N/A</v>
      </c>
      <c r="AE972" s="377" t="e">
        <f t="shared" ca="1" si="440"/>
        <v>#N/A</v>
      </c>
      <c r="AF972" s="344"/>
      <c r="AG972" s="359">
        <f t="shared" ca="1" si="462"/>
        <v>1.6047383993732485</v>
      </c>
      <c r="AH972" s="357">
        <f t="shared" ca="1" si="463"/>
        <v>-8.1469865843483955</v>
      </c>
    </row>
    <row r="973" spans="1:34" x14ac:dyDescent="0.25">
      <c r="A973" s="402">
        <f t="shared" ca="1" si="441"/>
        <v>1E-4</v>
      </c>
      <c r="B973" s="357">
        <f t="shared" ca="1" si="442"/>
        <v>49.302600000000453</v>
      </c>
      <c r="C973" s="342"/>
      <c r="D973" s="359">
        <f t="shared" ca="1" si="443"/>
        <v>-0.88668999430645024</v>
      </c>
      <c r="E973" s="360">
        <f t="shared" ca="1" si="444"/>
        <v>-1.7113799630977358</v>
      </c>
      <c r="F973" s="357">
        <f t="shared" ca="1" si="445"/>
        <v>1.9274440391605614</v>
      </c>
      <c r="G973" s="359">
        <f t="shared" ca="1" si="446"/>
        <v>18.31272617101186</v>
      </c>
      <c r="H973" s="360">
        <f t="shared" ca="1" si="447"/>
        <v>-167.26102910155151</v>
      </c>
      <c r="I973" s="357">
        <f t="shared" ca="1" si="448"/>
        <v>168.26053546784084</v>
      </c>
      <c r="J973" s="359">
        <f t="shared" ca="1" si="449"/>
        <v>1789.3751464685777</v>
      </c>
      <c r="K973" s="360">
        <f t="shared" ca="1" si="450"/>
        <v>-2.4589951304047339</v>
      </c>
      <c r="L973" s="357">
        <f t="shared" ca="1" si="435"/>
        <v>1789.3768360679355</v>
      </c>
      <c r="M973" s="359">
        <f t="shared" ca="1" si="451"/>
        <v>-1.4617447711026437</v>
      </c>
      <c r="N973" s="357">
        <f t="shared" ca="1" si="452"/>
        <v>-83.751806109498062</v>
      </c>
      <c r="O973" s="343"/>
      <c r="P973" s="363">
        <f t="shared" ca="1" si="453"/>
        <v>23</v>
      </c>
      <c r="Q973" s="357">
        <f t="shared" ca="1" si="454"/>
        <v>0</v>
      </c>
      <c r="R973" s="359">
        <f t="shared" ca="1" si="455"/>
        <v>0</v>
      </c>
      <c r="S973" s="360">
        <f t="shared" ca="1" si="456"/>
        <v>9.637999999999975</v>
      </c>
      <c r="T973" s="357">
        <f t="shared" ca="1" si="436"/>
        <v>94.548779999999766</v>
      </c>
      <c r="U973" s="364">
        <f t="shared" ca="1" si="437"/>
        <v>0</v>
      </c>
      <c r="V973" s="359">
        <f t="shared" ca="1" si="438"/>
        <v>1.225301263943803</v>
      </c>
      <c r="W973" s="357">
        <f t="shared" ca="1" si="439"/>
        <v>78.521218915937709</v>
      </c>
      <c r="X973" s="343"/>
      <c r="Y973" s="367" t="str">
        <f t="shared" ca="1" si="457"/>
        <v/>
      </c>
      <c r="Z973" s="368" t="str">
        <f t="shared" ca="1" si="458"/>
        <v/>
      </c>
      <c r="AA973" s="369" t="str">
        <f t="shared" ca="1" si="459"/>
        <v/>
      </c>
      <c r="AB973" s="344"/>
      <c r="AC973" s="363" t="e">
        <f t="shared" ca="1" si="460"/>
        <v>#N/A</v>
      </c>
      <c r="AD973" s="376" t="e">
        <f t="shared" ca="1" si="461"/>
        <v>#N/A</v>
      </c>
      <c r="AE973" s="377" t="e">
        <f t="shared" ca="1" si="440"/>
        <v>#N/A</v>
      </c>
      <c r="AF973" s="344"/>
      <c r="AG973" s="359">
        <f t="shared" ca="1" si="462"/>
        <v>1.6047099101511542</v>
      </c>
      <c r="AH973" s="357">
        <f t="shared" ca="1" si="463"/>
        <v>-8.1470157510660322</v>
      </c>
    </row>
    <row r="974" spans="1:34" x14ac:dyDescent="0.25">
      <c r="A974" s="402">
        <f t="shared" ca="1" si="441"/>
        <v>1E-4</v>
      </c>
      <c r="B974" s="357">
        <f t="shared" ca="1" si="442"/>
        <v>49.302700000000456</v>
      </c>
      <c r="C974" s="342"/>
      <c r="D974" s="359">
        <f t="shared" ca="1" si="443"/>
        <v>-0.88668802975291339</v>
      </c>
      <c r="E974" s="360">
        <f t="shared" ca="1" si="444"/>
        <v>-1.7113504071685295</v>
      </c>
      <c r="F974" s="357">
        <f t="shared" ca="1" si="445"/>
        <v>1.9274168926890194</v>
      </c>
      <c r="G974" s="359">
        <f t="shared" ca="1" si="446"/>
        <v>18.312637502208887</v>
      </c>
      <c r="H974" s="360">
        <f t="shared" ca="1" si="447"/>
        <v>-167.26120023659223</v>
      </c>
      <c r="I974" s="357">
        <f t="shared" ca="1" si="448"/>
        <v>168.26069593601682</v>
      </c>
      <c r="J974" s="359">
        <f t="shared" ca="1" si="449"/>
        <v>1789.3751464685777</v>
      </c>
      <c r="K974" s="360">
        <f t="shared" ca="1" si="450"/>
        <v>-2.475721241871641</v>
      </c>
      <c r="L974" s="357">
        <f t="shared" ca="1" si="435"/>
        <v>1789.376859131444</v>
      </c>
      <c r="M974" s="359">
        <f t="shared" ca="1" si="451"/>
        <v>-1.4617454056398049</v>
      </c>
      <c r="N974" s="357">
        <f t="shared" ca="1" si="452"/>
        <v>-83.751842465799342</v>
      </c>
      <c r="O974" s="343"/>
      <c r="P974" s="363">
        <f t="shared" ca="1" si="453"/>
        <v>23</v>
      </c>
      <c r="Q974" s="357">
        <f t="shared" ca="1" si="454"/>
        <v>0</v>
      </c>
      <c r="R974" s="359">
        <f t="shared" ca="1" si="455"/>
        <v>0</v>
      </c>
      <c r="S974" s="360">
        <f t="shared" ca="1" si="456"/>
        <v>9.637999999999975</v>
      </c>
      <c r="T974" s="357">
        <f t="shared" ca="1" si="436"/>
        <v>94.548779999999766</v>
      </c>
      <c r="U974" s="364">
        <f t="shared" ca="1" si="437"/>
        <v>0</v>
      </c>
      <c r="V974" s="359">
        <f t="shared" ca="1" si="438"/>
        <v>1.2253033133981002</v>
      </c>
      <c r="W974" s="357">
        <f t="shared" ca="1" si="439"/>
        <v>78.52150002144019</v>
      </c>
      <c r="X974" s="343"/>
      <c r="Y974" s="367" t="str">
        <f t="shared" ca="1" si="457"/>
        <v/>
      </c>
      <c r="Z974" s="368" t="str">
        <f t="shared" ca="1" si="458"/>
        <v/>
      </c>
      <c r="AA974" s="369" t="str">
        <f t="shared" ca="1" si="459"/>
        <v/>
      </c>
      <c r="AB974" s="344"/>
      <c r="AC974" s="363" t="e">
        <f t="shared" ca="1" si="460"/>
        <v>#N/A</v>
      </c>
      <c r="AD974" s="376" t="e">
        <f t="shared" ca="1" si="461"/>
        <v>#N/A</v>
      </c>
      <c r="AE974" s="377" t="e">
        <f t="shared" ca="1" si="440"/>
        <v>#N/A</v>
      </c>
      <c r="AF974" s="344"/>
      <c r="AG974" s="359">
        <f t="shared" ca="1" si="462"/>
        <v>1.6046814210929075</v>
      </c>
      <c r="AH974" s="357">
        <f t="shared" ca="1" si="463"/>
        <v>-8.1470449176113213</v>
      </c>
    </row>
    <row r="975" spans="1:34" x14ac:dyDescent="0.25">
      <c r="A975" s="402">
        <f t="shared" ca="1" si="441"/>
        <v>1E-4</v>
      </c>
      <c r="B975" s="357">
        <f t="shared" ca="1" si="442"/>
        <v>49.30280000000046</v>
      </c>
      <c r="C975" s="342"/>
      <c r="D975" s="359">
        <f t="shared" ca="1" si="443"/>
        <v>-0.88668606517815307</v>
      </c>
      <c r="E975" s="360">
        <f t="shared" ca="1" si="444"/>
        <v>-1.7113208514136691</v>
      </c>
      <c r="F975" s="357">
        <f t="shared" ca="1" si="445"/>
        <v>1.9273897464354015</v>
      </c>
      <c r="G975" s="359">
        <f t="shared" ca="1" si="446"/>
        <v>18.312548833602367</v>
      </c>
      <c r="H975" s="360">
        <f t="shared" ca="1" si="447"/>
        <v>-167.26137136867737</v>
      </c>
      <c r="I975" s="357">
        <f t="shared" ca="1" si="448"/>
        <v>168.26085640134391</v>
      </c>
      <c r="J975" s="359">
        <f t="shared" ca="1" si="449"/>
        <v>1789.3751464685777</v>
      </c>
      <c r="K975" s="360">
        <f t="shared" ca="1" si="450"/>
        <v>-2.4924473704519046</v>
      </c>
      <c r="L975" s="357">
        <f t="shared" ca="1" si="435"/>
        <v>1789.3768823513224</v>
      </c>
      <c r="M975" s="359">
        <f t="shared" ca="1" si="451"/>
        <v>-1.4617460401726834</v>
      </c>
      <c r="N975" s="357">
        <f t="shared" ca="1" si="452"/>
        <v>-83.751878821855243</v>
      </c>
      <c r="O975" s="343"/>
      <c r="P975" s="363">
        <f t="shared" ca="1" si="453"/>
        <v>23</v>
      </c>
      <c r="Q975" s="357">
        <f t="shared" ca="1" si="454"/>
        <v>0</v>
      </c>
      <c r="R975" s="359">
        <f t="shared" ca="1" si="455"/>
        <v>0</v>
      </c>
      <c r="S975" s="360">
        <f t="shared" ca="1" si="456"/>
        <v>9.637999999999975</v>
      </c>
      <c r="T975" s="357">
        <f t="shared" ca="1" si="436"/>
        <v>94.548779999999766</v>
      </c>
      <c r="U975" s="364">
        <f t="shared" ca="1" si="437"/>
        <v>0</v>
      </c>
      <c r="V975" s="359">
        <f t="shared" ca="1" si="438"/>
        <v>1.2253053628579231</v>
      </c>
      <c r="W975" s="357">
        <f t="shared" ca="1" si="439"/>
        <v>78.521781125281677</v>
      </c>
      <c r="X975" s="343"/>
      <c r="Y975" s="367" t="str">
        <f t="shared" ca="1" si="457"/>
        <v/>
      </c>
      <c r="Z975" s="368" t="str">
        <f t="shared" ca="1" si="458"/>
        <v/>
      </c>
      <c r="AA975" s="369" t="str">
        <f t="shared" ca="1" si="459"/>
        <v/>
      </c>
      <c r="AB975" s="344"/>
      <c r="AC975" s="363" t="e">
        <f t="shared" ca="1" si="460"/>
        <v>#N/A</v>
      </c>
      <c r="AD975" s="376" t="e">
        <f t="shared" ca="1" si="461"/>
        <v>#N/A</v>
      </c>
      <c r="AE975" s="377" t="e">
        <f t="shared" ca="1" si="440"/>
        <v>#N/A</v>
      </c>
      <c r="AF975" s="344"/>
      <c r="AG975" s="359">
        <f t="shared" ca="1" si="462"/>
        <v>1.604652932198503</v>
      </c>
      <c r="AH975" s="357">
        <f t="shared" ca="1" si="463"/>
        <v>-8.1470740839842701</v>
      </c>
    </row>
    <row r="976" spans="1:34" x14ac:dyDescent="0.25">
      <c r="A976" s="402">
        <f t="shared" ca="1" si="441"/>
        <v>1E-4</v>
      </c>
      <c r="B976" s="357">
        <f t="shared" ca="1" si="442"/>
        <v>49.302900000000463</v>
      </c>
      <c r="C976" s="342"/>
      <c r="D976" s="359">
        <f t="shared" ca="1" si="443"/>
        <v>-0.88668410058217018</v>
      </c>
      <c r="E976" s="360">
        <f t="shared" ca="1" si="444"/>
        <v>-1.7112912958331545</v>
      </c>
      <c r="F976" s="357">
        <f t="shared" ca="1" si="445"/>
        <v>1.9273626003997093</v>
      </c>
      <c r="G976" s="359">
        <f t="shared" ca="1" si="446"/>
        <v>18.312460165192309</v>
      </c>
      <c r="H976" s="360">
        <f t="shared" ca="1" si="447"/>
        <v>-167.26154249780694</v>
      </c>
      <c r="I976" s="357">
        <f t="shared" ca="1" si="448"/>
        <v>168.26101686382214</v>
      </c>
      <c r="J976" s="359">
        <f t="shared" ca="1" si="449"/>
        <v>1789.3751464685777</v>
      </c>
      <c r="K976" s="360">
        <f t="shared" ca="1" si="450"/>
        <v>-2.5091735161452289</v>
      </c>
      <c r="L976" s="357">
        <f t="shared" ca="1" si="435"/>
        <v>1789.3769057275715</v>
      </c>
      <c r="M976" s="359">
        <f t="shared" ca="1" si="451"/>
        <v>-1.4617466747012795</v>
      </c>
      <c r="N976" s="357">
        <f t="shared" ca="1" si="452"/>
        <v>-83.751915177665779</v>
      </c>
      <c r="O976" s="343"/>
      <c r="P976" s="363">
        <f t="shared" ca="1" si="453"/>
        <v>23</v>
      </c>
      <c r="Q976" s="357">
        <f t="shared" ca="1" si="454"/>
        <v>0</v>
      </c>
      <c r="R976" s="359">
        <f t="shared" ca="1" si="455"/>
        <v>0</v>
      </c>
      <c r="S976" s="360">
        <f t="shared" ca="1" si="456"/>
        <v>9.637999999999975</v>
      </c>
      <c r="T976" s="357">
        <f t="shared" ca="1" si="436"/>
        <v>94.548779999999766</v>
      </c>
      <c r="U976" s="364">
        <f t="shared" ca="1" si="437"/>
        <v>0</v>
      </c>
      <c r="V976" s="359">
        <f t="shared" ca="1" si="438"/>
        <v>1.2253074123232708</v>
      </c>
      <c r="W976" s="357">
        <f t="shared" ca="1" si="439"/>
        <v>78.522062227462072</v>
      </c>
      <c r="X976" s="343"/>
      <c r="Y976" s="367" t="str">
        <f t="shared" ca="1" si="457"/>
        <v/>
      </c>
      <c r="Z976" s="368" t="str">
        <f t="shared" ca="1" si="458"/>
        <v/>
      </c>
      <c r="AA976" s="369" t="str">
        <f t="shared" ca="1" si="459"/>
        <v/>
      </c>
      <c r="AB976" s="344"/>
      <c r="AC976" s="363" t="e">
        <f t="shared" ca="1" si="460"/>
        <v>#N/A</v>
      </c>
      <c r="AD976" s="376" t="e">
        <f t="shared" ca="1" si="461"/>
        <v>#N/A</v>
      </c>
      <c r="AE976" s="377" t="e">
        <f t="shared" ca="1" si="440"/>
        <v>#N/A</v>
      </c>
      <c r="AF976" s="344"/>
      <c r="AG976" s="359">
        <f t="shared" ca="1" si="462"/>
        <v>1.6046244434679373</v>
      </c>
      <c r="AH976" s="357">
        <f t="shared" ca="1" si="463"/>
        <v>-8.1471032501848804</v>
      </c>
    </row>
    <row r="977" spans="1:34" x14ac:dyDescent="0.25">
      <c r="A977" s="402">
        <f t="shared" ca="1" si="441"/>
        <v>1E-4</v>
      </c>
      <c r="B977" s="357">
        <f t="shared" ca="1" si="442"/>
        <v>49.303000000000466</v>
      </c>
      <c r="C977" s="342"/>
      <c r="D977" s="359">
        <f t="shared" ca="1" si="443"/>
        <v>-0.88668213596496059</v>
      </c>
      <c r="E977" s="360">
        <f t="shared" ca="1" si="444"/>
        <v>-1.711261740426993</v>
      </c>
      <c r="F977" s="357">
        <f t="shared" ca="1" si="445"/>
        <v>1.9273354545819485</v>
      </c>
      <c r="G977" s="359">
        <f t="shared" ca="1" si="446"/>
        <v>18.312371496978713</v>
      </c>
      <c r="H977" s="360">
        <f t="shared" ca="1" si="447"/>
        <v>-167.261713623981</v>
      </c>
      <c r="I977" s="357">
        <f t="shared" ca="1" si="448"/>
        <v>168.26117732345151</v>
      </c>
      <c r="J977" s="359">
        <f t="shared" ca="1" si="449"/>
        <v>1789.3751464685777</v>
      </c>
      <c r="K977" s="360">
        <f t="shared" ca="1" si="450"/>
        <v>-2.5258996789513182</v>
      </c>
      <c r="L977" s="357">
        <f t="shared" ca="1" si="435"/>
        <v>1789.3769292601914</v>
      </c>
      <c r="M977" s="359">
        <f t="shared" ca="1" si="451"/>
        <v>-1.4617473092255928</v>
      </c>
      <c r="N977" s="357">
        <f t="shared" ca="1" si="452"/>
        <v>-83.751951533230937</v>
      </c>
      <c r="O977" s="343"/>
      <c r="P977" s="363">
        <f t="shared" ca="1" si="453"/>
        <v>23</v>
      </c>
      <c r="Q977" s="357">
        <f t="shared" ca="1" si="454"/>
        <v>0</v>
      </c>
      <c r="R977" s="359">
        <f t="shared" ca="1" si="455"/>
        <v>0</v>
      </c>
      <c r="S977" s="360">
        <f t="shared" ca="1" si="456"/>
        <v>9.637999999999975</v>
      </c>
      <c r="T977" s="357">
        <f t="shared" ca="1" si="436"/>
        <v>94.548779999999766</v>
      </c>
      <c r="U977" s="364">
        <f t="shared" ca="1" si="437"/>
        <v>0</v>
      </c>
      <c r="V977" s="359">
        <f t="shared" ca="1" si="438"/>
        <v>1.225309461794144</v>
      </c>
      <c r="W977" s="357">
        <f t="shared" ca="1" si="439"/>
        <v>78.52234332798146</v>
      </c>
      <c r="X977" s="343"/>
      <c r="Y977" s="367" t="str">
        <f t="shared" ca="1" si="457"/>
        <v/>
      </c>
      <c r="Z977" s="368" t="str">
        <f t="shared" ca="1" si="458"/>
        <v/>
      </c>
      <c r="AA977" s="369" t="str">
        <f t="shared" ca="1" si="459"/>
        <v/>
      </c>
      <c r="AB977" s="344"/>
      <c r="AC977" s="363" t="e">
        <f t="shared" ca="1" si="460"/>
        <v>#N/A</v>
      </c>
      <c r="AD977" s="376" t="e">
        <f t="shared" ca="1" si="461"/>
        <v>#N/A</v>
      </c>
      <c r="AE977" s="377" t="e">
        <f t="shared" ca="1" si="440"/>
        <v>#N/A</v>
      </c>
      <c r="AF977" s="344"/>
      <c r="AG977" s="359">
        <f t="shared" ca="1" si="462"/>
        <v>1.6045959549012192</v>
      </c>
      <c r="AH977" s="357">
        <f t="shared" ca="1" si="463"/>
        <v>-8.1471324162131431</v>
      </c>
    </row>
    <row r="978" spans="1:34" x14ac:dyDescent="0.25">
      <c r="A978" s="402">
        <f t="shared" ca="1" si="441"/>
        <v>1E-4</v>
      </c>
      <c r="B978" s="357">
        <f t="shared" ca="1" si="442"/>
        <v>49.30310000000047</v>
      </c>
      <c r="C978" s="342"/>
      <c r="D978" s="359">
        <f t="shared" ca="1" si="443"/>
        <v>-0.88668017132652976</v>
      </c>
      <c r="E978" s="360">
        <f t="shared" ca="1" si="444"/>
        <v>-1.7112321851951773</v>
      </c>
      <c r="F978" s="357">
        <f t="shared" ca="1" si="445"/>
        <v>1.9273083089821166</v>
      </c>
      <c r="G978" s="359">
        <f t="shared" ca="1" si="446"/>
        <v>18.312282828961582</v>
      </c>
      <c r="H978" s="360">
        <f t="shared" ca="1" si="447"/>
        <v>-167.2618847471995</v>
      </c>
      <c r="I978" s="357">
        <f t="shared" ca="1" si="448"/>
        <v>168.261337780232</v>
      </c>
      <c r="J978" s="359">
        <f t="shared" ca="1" si="449"/>
        <v>1789.3751464685777</v>
      </c>
      <c r="K978" s="360">
        <f t="shared" ca="1" si="450"/>
        <v>-2.5426258588698771</v>
      </c>
      <c r="L978" s="357">
        <f t="shared" ca="1" si="435"/>
        <v>1789.3769529491829</v>
      </c>
      <c r="M978" s="359">
        <f t="shared" ca="1" si="451"/>
        <v>-1.4617479437456236</v>
      </c>
      <c r="N978" s="357">
        <f t="shared" ca="1" si="452"/>
        <v>-83.751987888550715</v>
      </c>
      <c r="O978" s="343"/>
      <c r="P978" s="363">
        <f t="shared" ca="1" si="453"/>
        <v>23</v>
      </c>
      <c r="Q978" s="357">
        <f t="shared" ca="1" si="454"/>
        <v>0</v>
      </c>
      <c r="R978" s="359">
        <f t="shared" ca="1" si="455"/>
        <v>0</v>
      </c>
      <c r="S978" s="360">
        <f t="shared" ca="1" si="456"/>
        <v>9.637999999999975</v>
      </c>
      <c r="T978" s="357">
        <f t="shared" ca="1" si="436"/>
        <v>94.548779999999766</v>
      </c>
      <c r="U978" s="364">
        <f t="shared" ca="1" si="437"/>
        <v>0</v>
      </c>
      <c r="V978" s="359">
        <f t="shared" ca="1" si="438"/>
        <v>1.2253115112705424</v>
      </c>
      <c r="W978" s="357">
        <f t="shared" ca="1" si="439"/>
        <v>78.522624426839741</v>
      </c>
      <c r="X978" s="343"/>
      <c r="Y978" s="367" t="str">
        <f t="shared" ca="1" si="457"/>
        <v/>
      </c>
      <c r="Z978" s="368" t="str">
        <f t="shared" ca="1" si="458"/>
        <v/>
      </c>
      <c r="AA978" s="369" t="str">
        <f t="shared" ca="1" si="459"/>
        <v/>
      </c>
      <c r="AB978" s="344"/>
      <c r="AC978" s="363" t="e">
        <f t="shared" ca="1" si="460"/>
        <v>#N/A</v>
      </c>
      <c r="AD978" s="376" t="e">
        <f t="shared" ca="1" si="461"/>
        <v>#N/A</v>
      </c>
      <c r="AE978" s="377" t="e">
        <f t="shared" ca="1" si="440"/>
        <v>#N/A</v>
      </c>
      <c r="AF978" s="344"/>
      <c r="AG978" s="359">
        <f t="shared" ca="1" si="462"/>
        <v>1.6045674664983416</v>
      </c>
      <c r="AH978" s="357">
        <f t="shared" ca="1" si="463"/>
        <v>-8.1471615820690673</v>
      </c>
    </row>
    <row r="979" spans="1:34" x14ac:dyDescent="0.25">
      <c r="A979" s="402">
        <f t="shared" ca="1" si="441"/>
        <v>1E-4</v>
      </c>
      <c r="B979" s="357">
        <f t="shared" ca="1" si="442"/>
        <v>49.303200000000473</v>
      </c>
      <c r="C979" s="342"/>
      <c r="D979" s="359">
        <f t="shared" ca="1" si="443"/>
        <v>-0.88667820666687525</v>
      </c>
      <c r="E979" s="360">
        <f t="shared" ca="1" si="444"/>
        <v>-1.7112026301377163</v>
      </c>
      <c r="F979" s="357">
        <f t="shared" ca="1" si="445"/>
        <v>1.9272811636002216</v>
      </c>
      <c r="G979" s="359">
        <f t="shared" ca="1" si="446"/>
        <v>18.312194161140916</v>
      </c>
      <c r="H979" s="360">
        <f t="shared" ca="1" si="447"/>
        <v>-167.26205586746252</v>
      </c>
      <c r="I979" s="357">
        <f t="shared" ca="1" si="448"/>
        <v>168.2614982341637</v>
      </c>
      <c r="J979" s="359">
        <f t="shared" ca="1" si="449"/>
        <v>1789.3751464685777</v>
      </c>
      <c r="K979" s="360">
        <f t="shared" ca="1" si="450"/>
        <v>-2.5593520559006104</v>
      </c>
      <c r="L979" s="357">
        <f t="shared" ca="1" si="435"/>
        <v>1789.3769767945462</v>
      </c>
      <c r="M979" s="359">
        <f t="shared" ca="1" si="451"/>
        <v>-1.4617485782613719</v>
      </c>
      <c r="N979" s="357">
        <f t="shared" ca="1" si="452"/>
        <v>-83.752024243625129</v>
      </c>
      <c r="O979" s="343"/>
      <c r="P979" s="363">
        <f t="shared" ca="1" si="453"/>
        <v>23</v>
      </c>
      <c r="Q979" s="357">
        <f t="shared" ca="1" si="454"/>
        <v>0</v>
      </c>
      <c r="R979" s="359">
        <f t="shared" ca="1" si="455"/>
        <v>0</v>
      </c>
      <c r="S979" s="360">
        <f t="shared" ca="1" si="456"/>
        <v>9.637999999999975</v>
      </c>
      <c r="T979" s="357">
        <f t="shared" ca="1" si="436"/>
        <v>94.548779999999766</v>
      </c>
      <c r="U979" s="364">
        <f t="shared" ca="1" si="437"/>
        <v>0</v>
      </c>
      <c r="V979" s="359">
        <f t="shared" ca="1" si="438"/>
        <v>1.2253135607524659</v>
      </c>
      <c r="W979" s="357">
        <f t="shared" ca="1" si="439"/>
        <v>78.522905524037</v>
      </c>
      <c r="X979" s="343"/>
      <c r="Y979" s="367" t="str">
        <f t="shared" ca="1" si="457"/>
        <v/>
      </c>
      <c r="Z979" s="368" t="str">
        <f t="shared" ca="1" si="458"/>
        <v/>
      </c>
      <c r="AA979" s="369" t="str">
        <f t="shared" ca="1" si="459"/>
        <v/>
      </c>
      <c r="AB979" s="344"/>
      <c r="AC979" s="363" t="e">
        <f t="shared" ca="1" si="460"/>
        <v>#N/A</v>
      </c>
      <c r="AD979" s="376" t="e">
        <f t="shared" ca="1" si="461"/>
        <v>#N/A</v>
      </c>
      <c r="AE979" s="377" t="e">
        <f t="shared" ca="1" si="440"/>
        <v>#N/A</v>
      </c>
      <c r="AF979" s="344"/>
      <c r="AG979" s="359">
        <f t="shared" ca="1" si="462"/>
        <v>1.6045389782593169</v>
      </c>
      <c r="AH979" s="357">
        <f t="shared" ca="1" si="463"/>
        <v>-8.1471907477526404</v>
      </c>
    </row>
    <row r="980" spans="1:34" x14ac:dyDescent="0.25">
      <c r="A980" s="402">
        <f t="shared" ca="1" si="441"/>
        <v>1E-4</v>
      </c>
      <c r="B980" s="357">
        <f t="shared" ca="1" si="442"/>
        <v>49.303300000000476</v>
      </c>
      <c r="C980" s="342"/>
      <c r="D980" s="359">
        <f t="shared" ca="1" si="443"/>
        <v>-0.88667624198599715</v>
      </c>
      <c r="E980" s="360">
        <f t="shared" ca="1" si="444"/>
        <v>-1.711173075254603</v>
      </c>
      <c r="F980" s="357">
        <f t="shared" ca="1" si="445"/>
        <v>1.9272540184362585</v>
      </c>
      <c r="G980" s="359">
        <f t="shared" ca="1" si="446"/>
        <v>18.312105493516718</v>
      </c>
      <c r="H980" s="360">
        <f t="shared" ca="1" si="447"/>
        <v>-167.26222698477005</v>
      </c>
      <c r="I980" s="357">
        <f t="shared" ca="1" si="448"/>
        <v>168.2616586852466</v>
      </c>
      <c r="J980" s="359">
        <f t="shared" ca="1" si="449"/>
        <v>1789.3751464685777</v>
      </c>
      <c r="K980" s="360">
        <f t="shared" ca="1" si="450"/>
        <v>-2.5760782700432219</v>
      </c>
      <c r="L980" s="357">
        <f t="shared" ca="1" si="435"/>
        <v>1789.3770007962819</v>
      </c>
      <c r="M980" s="359">
        <f t="shared" ca="1" si="451"/>
        <v>-1.461749212772838</v>
      </c>
      <c r="N980" s="357">
        <f t="shared" ca="1" si="452"/>
        <v>-83.752060598454179</v>
      </c>
      <c r="O980" s="343"/>
      <c r="P980" s="363">
        <f t="shared" ca="1" si="453"/>
        <v>23</v>
      </c>
      <c r="Q980" s="357">
        <f t="shared" ca="1" si="454"/>
        <v>0</v>
      </c>
      <c r="R980" s="359">
        <f t="shared" ca="1" si="455"/>
        <v>0</v>
      </c>
      <c r="S980" s="360">
        <f t="shared" ca="1" si="456"/>
        <v>9.637999999999975</v>
      </c>
      <c r="T980" s="357">
        <f t="shared" ca="1" si="436"/>
        <v>94.548779999999766</v>
      </c>
      <c r="U980" s="364">
        <f t="shared" ca="1" si="437"/>
        <v>0</v>
      </c>
      <c r="V980" s="359">
        <f t="shared" ca="1" si="438"/>
        <v>1.2253156102399143</v>
      </c>
      <c r="W980" s="357">
        <f t="shared" ca="1" si="439"/>
        <v>78.523186619573195</v>
      </c>
      <c r="X980" s="343"/>
      <c r="Y980" s="367" t="str">
        <f t="shared" ca="1" si="457"/>
        <v/>
      </c>
      <c r="Z980" s="368" t="str">
        <f t="shared" ca="1" si="458"/>
        <v/>
      </c>
      <c r="AA980" s="369" t="str">
        <f t="shared" ca="1" si="459"/>
        <v/>
      </c>
      <c r="AB980" s="344"/>
      <c r="AC980" s="363" t="e">
        <f t="shared" ca="1" si="460"/>
        <v>#N/A</v>
      </c>
      <c r="AD980" s="376" t="e">
        <f t="shared" ca="1" si="461"/>
        <v>#N/A</v>
      </c>
      <c r="AE980" s="377" t="e">
        <f t="shared" ca="1" si="440"/>
        <v>#N/A</v>
      </c>
      <c r="AF980" s="344"/>
      <c r="AG980" s="359">
        <f t="shared" ca="1" si="462"/>
        <v>1.6045104901841345</v>
      </c>
      <c r="AH980" s="357">
        <f t="shared" ca="1" si="463"/>
        <v>-8.1472199132638732</v>
      </c>
    </row>
    <row r="981" spans="1:34" x14ac:dyDescent="0.25">
      <c r="A981" s="402">
        <f t="shared" ca="1" si="441"/>
        <v>1E-4</v>
      </c>
      <c r="B981" s="357">
        <f t="shared" ca="1" si="442"/>
        <v>49.30340000000048</v>
      </c>
      <c r="C981" s="342"/>
      <c r="D981" s="359">
        <f t="shared" ca="1" si="443"/>
        <v>-0.88667427728389558</v>
      </c>
      <c r="E981" s="360">
        <f t="shared" ca="1" si="444"/>
        <v>-1.711143520545841</v>
      </c>
      <c r="F981" s="357">
        <f t="shared" ca="1" si="445"/>
        <v>1.9272268734902316</v>
      </c>
      <c r="G981" s="359">
        <f t="shared" ca="1" si="446"/>
        <v>18.312016826088989</v>
      </c>
      <c r="H981" s="360">
        <f t="shared" ca="1" si="447"/>
        <v>-167.26239809912209</v>
      </c>
      <c r="I981" s="357">
        <f t="shared" ca="1" si="448"/>
        <v>168.26181913348069</v>
      </c>
      <c r="J981" s="359">
        <f t="shared" ca="1" si="449"/>
        <v>1789.3751464685777</v>
      </c>
      <c r="K981" s="360">
        <f t="shared" ca="1" si="450"/>
        <v>-2.5928045012974166</v>
      </c>
      <c r="L981" s="357">
        <f t="shared" ca="1" si="435"/>
        <v>1789.3770249543907</v>
      </c>
      <c r="M981" s="359">
        <f t="shared" ca="1" si="451"/>
        <v>-1.4617498472800214</v>
      </c>
      <c r="N981" s="357">
        <f t="shared" ca="1" si="452"/>
        <v>-83.752096953037864</v>
      </c>
      <c r="O981" s="343"/>
      <c r="P981" s="363">
        <f t="shared" ca="1" si="453"/>
        <v>23</v>
      </c>
      <c r="Q981" s="357">
        <f t="shared" ca="1" si="454"/>
        <v>0</v>
      </c>
      <c r="R981" s="359">
        <f t="shared" ca="1" si="455"/>
        <v>0</v>
      </c>
      <c r="S981" s="360">
        <f t="shared" ca="1" si="456"/>
        <v>9.637999999999975</v>
      </c>
      <c r="T981" s="357">
        <f t="shared" ca="1" si="436"/>
        <v>94.548779999999766</v>
      </c>
      <c r="U981" s="364">
        <f t="shared" ca="1" si="437"/>
        <v>0</v>
      </c>
      <c r="V981" s="359">
        <f t="shared" ca="1" si="438"/>
        <v>1.2253176597328885</v>
      </c>
      <c r="W981" s="357">
        <f t="shared" ca="1" si="439"/>
        <v>78.523467713448326</v>
      </c>
      <c r="X981" s="343"/>
      <c r="Y981" s="367" t="str">
        <f t="shared" ca="1" si="457"/>
        <v/>
      </c>
      <c r="Z981" s="368" t="str">
        <f t="shared" ca="1" si="458"/>
        <v/>
      </c>
      <c r="AA981" s="369" t="str">
        <f t="shared" ca="1" si="459"/>
        <v/>
      </c>
      <c r="AB981" s="344"/>
      <c r="AC981" s="363" t="e">
        <f t="shared" ca="1" si="460"/>
        <v>#N/A</v>
      </c>
      <c r="AD981" s="376" t="e">
        <f t="shared" ca="1" si="461"/>
        <v>#N/A</v>
      </c>
      <c r="AE981" s="377" t="e">
        <f t="shared" ca="1" si="440"/>
        <v>#N/A</v>
      </c>
      <c r="AF981" s="344"/>
      <c r="AG981" s="359">
        <f t="shared" ca="1" si="462"/>
        <v>1.6044820022727997</v>
      </c>
      <c r="AH981" s="357">
        <f t="shared" ca="1" si="463"/>
        <v>-8.1472490786027603</v>
      </c>
    </row>
    <row r="982" spans="1:34" x14ac:dyDescent="0.25">
      <c r="A982" s="402">
        <f t="shared" ca="1" si="441"/>
        <v>1E-4</v>
      </c>
      <c r="B982" s="357">
        <f t="shared" ca="1" si="442"/>
        <v>49.303500000000483</v>
      </c>
      <c r="C982" s="342"/>
      <c r="D982" s="359">
        <f t="shared" ca="1" si="443"/>
        <v>-0.88667231256057288</v>
      </c>
      <c r="E982" s="360">
        <f t="shared" ca="1" si="444"/>
        <v>-1.7111139660114318</v>
      </c>
      <c r="F982" s="357">
        <f t="shared" ca="1" si="445"/>
        <v>1.9271997287621452</v>
      </c>
      <c r="G982" s="359">
        <f t="shared" ca="1" si="446"/>
        <v>18.311928158857732</v>
      </c>
      <c r="H982" s="360">
        <f t="shared" ca="1" si="447"/>
        <v>-167.26256921051871</v>
      </c>
      <c r="I982" s="357">
        <f t="shared" ca="1" si="448"/>
        <v>168.26197957886603</v>
      </c>
      <c r="J982" s="359">
        <f t="shared" ca="1" si="449"/>
        <v>1789.3751464685777</v>
      </c>
      <c r="K982" s="360">
        <f t="shared" ca="1" si="450"/>
        <v>-2.6095307496628988</v>
      </c>
      <c r="L982" s="357">
        <f t="shared" ca="1" si="435"/>
        <v>1789.3770492688727</v>
      </c>
      <c r="M982" s="359">
        <f t="shared" ca="1" si="451"/>
        <v>-1.4617504817829226</v>
      </c>
      <c r="N982" s="357">
        <f t="shared" ca="1" si="452"/>
        <v>-83.752133307376184</v>
      </c>
      <c r="O982" s="343"/>
      <c r="P982" s="363">
        <f t="shared" ca="1" si="453"/>
        <v>23</v>
      </c>
      <c r="Q982" s="357">
        <f t="shared" ca="1" si="454"/>
        <v>0</v>
      </c>
      <c r="R982" s="359">
        <f t="shared" ca="1" si="455"/>
        <v>0</v>
      </c>
      <c r="S982" s="360">
        <f t="shared" ca="1" si="456"/>
        <v>9.637999999999975</v>
      </c>
      <c r="T982" s="357">
        <f t="shared" ca="1" si="436"/>
        <v>94.548779999999766</v>
      </c>
      <c r="U982" s="364">
        <f t="shared" ca="1" si="437"/>
        <v>0</v>
      </c>
      <c r="V982" s="359">
        <f t="shared" ca="1" si="438"/>
        <v>1.225319709231387</v>
      </c>
      <c r="W982" s="357">
        <f t="shared" ca="1" si="439"/>
        <v>78.523748805662379</v>
      </c>
      <c r="X982" s="343"/>
      <c r="Y982" s="367" t="str">
        <f t="shared" ca="1" si="457"/>
        <v/>
      </c>
      <c r="Z982" s="368" t="str">
        <f t="shared" ca="1" si="458"/>
        <v/>
      </c>
      <c r="AA982" s="369" t="str">
        <f t="shared" ca="1" si="459"/>
        <v/>
      </c>
      <c r="AB982" s="344"/>
      <c r="AC982" s="363" t="e">
        <f t="shared" ca="1" si="460"/>
        <v>#N/A</v>
      </c>
      <c r="AD982" s="376" t="e">
        <f t="shared" ca="1" si="461"/>
        <v>#N/A</v>
      </c>
      <c r="AE982" s="377" t="e">
        <f t="shared" ca="1" si="440"/>
        <v>#N/A</v>
      </c>
      <c r="AF982" s="344"/>
      <c r="AG982" s="359">
        <f t="shared" ca="1" si="462"/>
        <v>1.6044535145253125</v>
      </c>
      <c r="AH982" s="357">
        <f t="shared" ca="1" si="463"/>
        <v>-8.1472782437693017</v>
      </c>
    </row>
    <row r="983" spans="1:34" x14ac:dyDescent="0.25">
      <c r="A983" s="402">
        <f t="shared" ca="1" si="441"/>
        <v>1E-4</v>
      </c>
      <c r="B983" s="357">
        <f t="shared" ca="1" si="442"/>
        <v>49.303600000000486</v>
      </c>
      <c r="C983" s="342"/>
      <c r="D983" s="359">
        <f t="shared" ca="1" si="443"/>
        <v>-0.88667034781602827</v>
      </c>
      <c r="E983" s="360">
        <f t="shared" ca="1" si="444"/>
        <v>-1.7110844116513739</v>
      </c>
      <c r="F983" s="357">
        <f t="shared" ca="1" si="445"/>
        <v>1.9271725842519982</v>
      </c>
      <c r="G983" s="359">
        <f t="shared" ca="1" si="446"/>
        <v>18.311839491822951</v>
      </c>
      <c r="H983" s="360">
        <f t="shared" ca="1" si="447"/>
        <v>-167.26274031895986</v>
      </c>
      <c r="I983" s="357">
        <f t="shared" ca="1" si="448"/>
        <v>168.26214002140256</v>
      </c>
      <c r="J983" s="359">
        <f t="shared" ca="1" si="449"/>
        <v>1789.3751464685777</v>
      </c>
      <c r="K983" s="360">
        <f t="shared" ca="1" si="450"/>
        <v>-2.6262570151393727</v>
      </c>
      <c r="L983" s="357">
        <f t="shared" ca="1" si="435"/>
        <v>1789.3770737397283</v>
      </c>
      <c r="M983" s="359">
        <f t="shared" ca="1" si="451"/>
        <v>-1.4617511162815415</v>
      </c>
      <c r="N983" s="357">
        <f t="shared" ca="1" si="452"/>
        <v>-83.752169661469168</v>
      </c>
      <c r="O983" s="343"/>
      <c r="P983" s="363">
        <f t="shared" ca="1" si="453"/>
        <v>23</v>
      </c>
      <c r="Q983" s="357">
        <f t="shared" ca="1" si="454"/>
        <v>0</v>
      </c>
      <c r="R983" s="359">
        <f t="shared" ca="1" si="455"/>
        <v>0</v>
      </c>
      <c r="S983" s="360">
        <f t="shared" ca="1" si="456"/>
        <v>9.637999999999975</v>
      </c>
      <c r="T983" s="357">
        <f t="shared" ca="1" si="436"/>
        <v>94.548779999999766</v>
      </c>
      <c r="U983" s="364">
        <f t="shared" ca="1" si="437"/>
        <v>0</v>
      </c>
      <c r="V983" s="359">
        <f t="shared" ca="1" si="438"/>
        <v>1.2253217587354117</v>
      </c>
      <c r="W983" s="357">
        <f t="shared" ca="1" si="439"/>
        <v>78.524029896215367</v>
      </c>
      <c r="X983" s="343"/>
      <c r="Y983" s="367" t="str">
        <f t="shared" ca="1" si="457"/>
        <v/>
      </c>
      <c r="Z983" s="368" t="str">
        <f t="shared" ca="1" si="458"/>
        <v/>
      </c>
      <c r="AA983" s="369" t="str">
        <f t="shared" ca="1" si="459"/>
        <v/>
      </c>
      <c r="AB983" s="344"/>
      <c r="AC983" s="363" t="e">
        <f t="shared" ca="1" si="460"/>
        <v>#N/A</v>
      </c>
      <c r="AD983" s="376" t="e">
        <f t="shared" ca="1" si="461"/>
        <v>#N/A</v>
      </c>
      <c r="AE983" s="377" t="e">
        <f t="shared" ca="1" si="440"/>
        <v>#N/A</v>
      </c>
      <c r="AF983" s="344"/>
      <c r="AG983" s="359">
        <f t="shared" ca="1" si="462"/>
        <v>1.6044250269416711</v>
      </c>
      <c r="AH983" s="357">
        <f t="shared" ca="1" si="463"/>
        <v>-8.1473074087634973</v>
      </c>
    </row>
    <row r="984" spans="1:34" x14ac:dyDescent="0.25">
      <c r="A984" s="402">
        <f t="shared" ca="1" si="441"/>
        <v>1E-4</v>
      </c>
      <c r="B984" s="357">
        <f t="shared" ca="1" si="442"/>
        <v>49.303700000000489</v>
      </c>
      <c r="C984" s="342"/>
      <c r="D984" s="359">
        <f t="shared" ca="1" si="443"/>
        <v>-0.8866683830502603</v>
      </c>
      <c r="E984" s="360">
        <f t="shared" ca="1" si="444"/>
        <v>-1.7110548574656672</v>
      </c>
      <c r="F984" s="357">
        <f t="shared" ca="1" si="445"/>
        <v>1.9271454399597914</v>
      </c>
      <c r="G984" s="359">
        <f t="shared" ca="1" si="446"/>
        <v>18.311750824984646</v>
      </c>
      <c r="H984" s="360">
        <f t="shared" ca="1" si="447"/>
        <v>-167.2629114244456</v>
      </c>
      <c r="I984" s="357">
        <f t="shared" ca="1" si="448"/>
        <v>168.2623004610904</v>
      </c>
      <c r="J984" s="359">
        <f t="shared" ca="1" si="449"/>
        <v>1789.3751464685777</v>
      </c>
      <c r="K984" s="360">
        <f t="shared" ca="1" si="450"/>
        <v>-2.6429832977265431</v>
      </c>
      <c r="L984" s="357">
        <f t="shared" ca="1" si="435"/>
        <v>1789.3770983669585</v>
      </c>
      <c r="M984" s="359">
        <f t="shared" ca="1" si="451"/>
        <v>-1.4617517507758779</v>
      </c>
      <c r="N984" s="357">
        <f t="shared" ca="1" si="452"/>
        <v>-83.752206015316759</v>
      </c>
      <c r="O984" s="343"/>
      <c r="P984" s="363">
        <f t="shared" ca="1" si="453"/>
        <v>23</v>
      </c>
      <c r="Q984" s="357">
        <f t="shared" ca="1" si="454"/>
        <v>0</v>
      </c>
      <c r="R984" s="359">
        <f t="shared" ca="1" si="455"/>
        <v>0</v>
      </c>
      <c r="S984" s="360">
        <f t="shared" ca="1" si="456"/>
        <v>9.637999999999975</v>
      </c>
      <c r="T984" s="357">
        <f t="shared" ca="1" si="436"/>
        <v>94.548779999999766</v>
      </c>
      <c r="U984" s="364">
        <f t="shared" ca="1" si="437"/>
        <v>0</v>
      </c>
      <c r="V984" s="359">
        <f t="shared" ca="1" si="438"/>
        <v>1.2253238082449607</v>
      </c>
      <c r="W984" s="357">
        <f t="shared" ca="1" si="439"/>
        <v>78.524310985107292</v>
      </c>
      <c r="X984" s="343"/>
      <c r="Y984" s="367" t="str">
        <f t="shared" ca="1" si="457"/>
        <v/>
      </c>
      <c r="Z984" s="368" t="str">
        <f t="shared" ca="1" si="458"/>
        <v/>
      </c>
      <c r="AA984" s="369" t="str">
        <f t="shared" ca="1" si="459"/>
        <v/>
      </c>
      <c r="AB984" s="344"/>
      <c r="AC984" s="363" t="e">
        <f t="shared" ca="1" si="460"/>
        <v>#N/A</v>
      </c>
      <c r="AD984" s="376" t="e">
        <f t="shared" ca="1" si="461"/>
        <v>#N/A</v>
      </c>
      <c r="AE984" s="377" t="e">
        <f t="shared" ca="1" si="440"/>
        <v>#N/A</v>
      </c>
      <c r="AF984" s="344"/>
      <c r="AG984" s="359">
        <f t="shared" ca="1" si="462"/>
        <v>1.6043965395218809</v>
      </c>
      <c r="AH984" s="357">
        <f t="shared" ca="1" si="463"/>
        <v>-8.1473365735853474</v>
      </c>
    </row>
    <row r="985" spans="1:34" x14ac:dyDescent="0.25">
      <c r="A985" s="402">
        <f t="shared" ca="1" si="441"/>
        <v>1E-4</v>
      </c>
      <c r="B985" s="357">
        <f t="shared" ca="1" si="442"/>
        <v>49.303800000000493</v>
      </c>
      <c r="C985" s="342"/>
      <c r="D985" s="359">
        <f t="shared" ca="1" si="443"/>
        <v>-0.88666641826327353</v>
      </c>
      <c r="E985" s="360">
        <f t="shared" ca="1" si="444"/>
        <v>-1.7110253034543135</v>
      </c>
      <c r="F985" s="357">
        <f t="shared" ca="1" si="445"/>
        <v>1.9271182958855295</v>
      </c>
      <c r="G985" s="359">
        <f t="shared" ca="1" si="446"/>
        <v>18.31166215834282</v>
      </c>
      <c r="H985" s="360">
        <f t="shared" ca="1" si="447"/>
        <v>-167.26308252697595</v>
      </c>
      <c r="I985" s="357">
        <f t="shared" ca="1" si="448"/>
        <v>168.26246089792949</v>
      </c>
      <c r="J985" s="359">
        <f t="shared" ca="1" si="449"/>
        <v>1789.3751464685777</v>
      </c>
      <c r="K985" s="360">
        <f t="shared" ca="1" si="450"/>
        <v>-2.6597095974241141</v>
      </c>
      <c r="L985" s="357">
        <f t="shared" ca="1" si="435"/>
        <v>1789.3771231505634</v>
      </c>
      <c r="M985" s="359">
        <f t="shared" ca="1" si="451"/>
        <v>-1.4617523852659324</v>
      </c>
      <c r="N985" s="357">
        <f t="shared" ca="1" si="452"/>
        <v>-83.752242368919028</v>
      </c>
      <c r="O985" s="343"/>
      <c r="P985" s="363">
        <f t="shared" ca="1" si="453"/>
        <v>23</v>
      </c>
      <c r="Q985" s="357">
        <f t="shared" ca="1" si="454"/>
        <v>0</v>
      </c>
      <c r="R985" s="359">
        <f t="shared" ca="1" si="455"/>
        <v>0</v>
      </c>
      <c r="S985" s="360">
        <f t="shared" ca="1" si="456"/>
        <v>9.637999999999975</v>
      </c>
      <c r="T985" s="357">
        <f t="shared" ca="1" si="436"/>
        <v>94.548779999999766</v>
      </c>
      <c r="U985" s="364">
        <f t="shared" ca="1" si="437"/>
        <v>0</v>
      </c>
      <c r="V985" s="359">
        <f t="shared" ca="1" si="438"/>
        <v>1.2253258577600352</v>
      </c>
      <c r="W985" s="357">
        <f t="shared" ca="1" si="439"/>
        <v>78.524592072338123</v>
      </c>
      <c r="X985" s="343"/>
      <c r="Y985" s="367" t="str">
        <f t="shared" ca="1" si="457"/>
        <v/>
      </c>
      <c r="Z985" s="368" t="str">
        <f t="shared" ca="1" si="458"/>
        <v/>
      </c>
      <c r="AA985" s="369" t="str">
        <f t="shared" ca="1" si="459"/>
        <v/>
      </c>
      <c r="AB985" s="344"/>
      <c r="AC985" s="363" t="e">
        <f t="shared" ca="1" si="460"/>
        <v>#N/A</v>
      </c>
      <c r="AD985" s="376" t="e">
        <f t="shared" ca="1" si="461"/>
        <v>#N/A</v>
      </c>
      <c r="AE985" s="377" t="e">
        <f t="shared" ca="1" si="440"/>
        <v>#N/A</v>
      </c>
      <c r="AF985" s="344"/>
      <c r="AG985" s="359">
        <f t="shared" ca="1" si="462"/>
        <v>1.6043680522659365</v>
      </c>
      <c r="AH985" s="357">
        <f t="shared" ca="1" si="463"/>
        <v>-8.1473657382348517</v>
      </c>
    </row>
    <row r="986" spans="1:34" x14ac:dyDescent="0.25">
      <c r="A986" s="402">
        <f t="shared" ca="1" si="441"/>
        <v>1E-4</v>
      </c>
      <c r="B986" s="357">
        <f t="shared" ca="1" si="442"/>
        <v>49.303900000000496</v>
      </c>
      <c r="C986" s="342"/>
      <c r="D986" s="359">
        <f t="shared" ca="1" si="443"/>
        <v>-0.88666445345506262</v>
      </c>
      <c r="E986" s="360">
        <f t="shared" ca="1" si="444"/>
        <v>-1.7109957496173127</v>
      </c>
      <c r="F986" s="357">
        <f t="shared" ca="1" si="445"/>
        <v>1.9270911520292118</v>
      </c>
      <c r="G986" s="359">
        <f t="shared" ca="1" si="446"/>
        <v>18.311573491897473</v>
      </c>
      <c r="H986" s="360">
        <f t="shared" ca="1" si="447"/>
        <v>-167.26325362655092</v>
      </c>
      <c r="I986" s="357">
        <f t="shared" ca="1" si="448"/>
        <v>168.26262133191989</v>
      </c>
      <c r="J986" s="359">
        <f t="shared" ca="1" si="449"/>
        <v>1789.3751464685777</v>
      </c>
      <c r="K986" s="360">
        <f t="shared" ca="1" si="450"/>
        <v>-2.6764359142317904</v>
      </c>
      <c r="L986" s="357">
        <f t="shared" ca="1" si="435"/>
        <v>1789.3771480905434</v>
      </c>
      <c r="M986" s="359">
        <f t="shared" ca="1" si="451"/>
        <v>-1.4617530197517046</v>
      </c>
      <c r="N986" s="357">
        <f t="shared" ca="1" si="452"/>
        <v>-83.752278722275932</v>
      </c>
      <c r="O986" s="343"/>
      <c r="P986" s="363">
        <f t="shared" ca="1" si="453"/>
        <v>23</v>
      </c>
      <c r="Q986" s="357">
        <f t="shared" ca="1" si="454"/>
        <v>0</v>
      </c>
      <c r="R986" s="359">
        <f t="shared" ca="1" si="455"/>
        <v>0</v>
      </c>
      <c r="S986" s="360">
        <f t="shared" ca="1" si="456"/>
        <v>9.637999999999975</v>
      </c>
      <c r="T986" s="357">
        <f t="shared" ca="1" si="436"/>
        <v>94.548779999999766</v>
      </c>
      <c r="U986" s="364">
        <f t="shared" ca="1" si="437"/>
        <v>0</v>
      </c>
      <c r="V986" s="359">
        <f t="shared" ca="1" si="438"/>
        <v>1.2253279072806347</v>
      </c>
      <c r="W986" s="357">
        <f t="shared" ca="1" si="439"/>
        <v>78.524873157907891</v>
      </c>
      <c r="X986" s="343"/>
      <c r="Y986" s="367" t="str">
        <f t="shared" ca="1" si="457"/>
        <v/>
      </c>
      <c r="Z986" s="368" t="str">
        <f t="shared" ca="1" si="458"/>
        <v/>
      </c>
      <c r="AA986" s="369" t="str">
        <f t="shared" ca="1" si="459"/>
        <v/>
      </c>
      <c r="AB986" s="344"/>
      <c r="AC986" s="363" t="e">
        <f t="shared" ca="1" si="460"/>
        <v>#N/A</v>
      </c>
      <c r="AD986" s="376" t="e">
        <f t="shared" ca="1" si="461"/>
        <v>#N/A</v>
      </c>
      <c r="AE986" s="377" t="e">
        <f t="shared" ca="1" si="440"/>
        <v>#N/A</v>
      </c>
      <c r="AF986" s="344"/>
      <c r="AG986" s="359">
        <f t="shared" ca="1" si="462"/>
        <v>1.604339565173845</v>
      </c>
      <c r="AH986" s="357">
        <f t="shared" ca="1" si="463"/>
        <v>-8.1473949027120067</v>
      </c>
    </row>
    <row r="987" spans="1:34" x14ac:dyDescent="0.25">
      <c r="A987" s="402">
        <f t="shared" ca="1" si="441"/>
        <v>1E-4</v>
      </c>
      <c r="B987" s="357">
        <f t="shared" ca="1" si="442"/>
        <v>49.304000000000499</v>
      </c>
      <c r="C987" s="342"/>
      <c r="D987" s="359">
        <f t="shared" ca="1" si="443"/>
        <v>-0.88666248862563268</v>
      </c>
      <c r="E987" s="360">
        <f t="shared" ca="1" si="444"/>
        <v>-1.7109661959546649</v>
      </c>
      <c r="F987" s="357">
        <f t="shared" ca="1" si="445"/>
        <v>1.9270640083908415</v>
      </c>
      <c r="G987" s="359">
        <f t="shared" ca="1" si="446"/>
        <v>18.311484825648609</v>
      </c>
      <c r="H987" s="360">
        <f t="shared" ca="1" si="447"/>
        <v>-167.26342472317052</v>
      </c>
      <c r="I987" s="357">
        <f t="shared" ca="1" si="448"/>
        <v>168.26278176306158</v>
      </c>
      <c r="J987" s="359">
        <f t="shared" ca="1" si="449"/>
        <v>1789.3751464685777</v>
      </c>
      <c r="K987" s="360">
        <f t="shared" ca="1" si="450"/>
        <v>-2.6931622481492763</v>
      </c>
      <c r="L987" s="357">
        <f t="shared" ca="1" si="435"/>
        <v>1789.3771731868994</v>
      </c>
      <c r="M987" s="359">
        <f t="shared" ca="1" si="451"/>
        <v>-1.4617536542331946</v>
      </c>
      <c r="N987" s="357">
        <f t="shared" ca="1" si="452"/>
        <v>-83.752315075387486</v>
      </c>
      <c r="O987" s="343"/>
      <c r="P987" s="363">
        <f t="shared" ca="1" si="453"/>
        <v>23</v>
      </c>
      <c r="Q987" s="357">
        <f t="shared" ca="1" si="454"/>
        <v>0</v>
      </c>
      <c r="R987" s="359">
        <f t="shared" ca="1" si="455"/>
        <v>0</v>
      </c>
      <c r="S987" s="360">
        <f t="shared" ca="1" si="456"/>
        <v>9.637999999999975</v>
      </c>
      <c r="T987" s="357">
        <f t="shared" ca="1" si="436"/>
        <v>94.548779999999766</v>
      </c>
      <c r="U987" s="364">
        <f t="shared" ca="1" si="437"/>
        <v>0</v>
      </c>
      <c r="V987" s="359">
        <f t="shared" ca="1" si="438"/>
        <v>1.2253299568067593</v>
      </c>
      <c r="W987" s="357">
        <f t="shared" ca="1" si="439"/>
        <v>78.525154241816566</v>
      </c>
      <c r="X987" s="343"/>
      <c r="Y987" s="367" t="str">
        <f t="shared" ca="1" si="457"/>
        <v/>
      </c>
      <c r="Z987" s="368" t="str">
        <f t="shared" ca="1" si="458"/>
        <v/>
      </c>
      <c r="AA987" s="369" t="str">
        <f t="shared" ca="1" si="459"/>
        <v/>
      </c>
      <c r="AB987" s="344"/>
      <c r="AC987" s="363" t="e">
        <f t="shared" ca="1" si="460"/>
        <v>#N/A</v>
      </c>
      <c r="AD987" s="376" t="e">
        <f t="shared" ca="1" si="461"/>
        <v>#N/A</v>
      </c>
      <c r="AE987" s="377" t="e">
        <f t="shared" ca="1" si="440"/>
        <v>#N/A</v>
      </c>
      <c r="AF987" s="344"/>
      <c r="AG987" s="359">
        <f t="shared" ca="1" si="462"/>
        <v>1.6043110782455976</v>
      </c>
      <c r="AH987" s="357">
        <f t="shared" ca="1" si="463"/>
        <v>-8.1474240670168179</v>
      </c>
    </row>
    <row r="988" spans="1:34" x14ac:dyDescent="0.25">
      <c r="A988" s="402">
        <f t="shared" ca="1" si="441"/>
        <v>1E-4</v>
      </c>
      <c r="B988" s="357">
        <f t="shared" ca="1" si="442"/>
        <v>49.304100000000503</v>
      </c>
      <c r="C988" s="342"/>
      <c r="D988" s="359">
        <f t="shared" ca="1" si="443"/>
        <v>-0.88666052377498228</v>
      </c>
      <c r="E988" s="360">
        <f t="shared" ca="1" si="444"/>
        <v>-1.7109366424663683</v>
      </c>
      <c r="F988" s="357">
        <f t="shared" ca="1" si="445"/>
        <v>1.9270368649704177</v>
      </c>
      <c r="G988" s="359">
        <f t="shared" ca="1" si="446"/>
        <v>18.311396159596232</v>
      </c>
      <c r="H988" s="360">
        <f t="shared" ca="1" si="447"/>
        <v>-167.26359581683477</v>
      </c>
      <c r="I988" s="357">
        <f t="shared" ca="1" si="448"/>
        <v>168.2629421913546</v>
      </c>
      <c r="J988" s="359">
        <f t="shared" ca="1" si="449"/>
        <v>1789.3751464685777</v>
      </c>
      <c r="K988" s="360">
        <f t="shared" ca="1" si="450"/>
        <v>-2.7098885991762764</v>
      </c>
      <c r="L988" s="357">
        <f t="shared" ca="1" si="435"/>
        <v>1789.3771984396312</v>
      </c>
      <c r="M988" s="359">
        <f t="shared" ca="1" si="451"/>
        <v>-1.4617542887104025</v>
      </c>
      <c r="N988" s="357">
        <f t="shared" ca="1" si="452"/>
        <v>-83.752351428253704</v>
      </c>
      <c r="O988" s="343"/>
      <c r="P988" s="363">
        <f t="shared" ca="1" si="453"/>
        <v>23</v>
      </c>
      <c r="Q988" s="357">
        <f t="shared" ca="1" si="454"/>
        <v>0</v>
      </c>
      <c r="R988" s="359">
        <f t="shared" ca="1" si="455"/>
        <v>0</v>
      </c>
      <c r="S988" s="360">
        <f t="shared" ca="1" si="456"/>
        <v>9.637999999999975</v>
      </c>
      <c r="T988" s="357">
        <f t="shared" ca="1" si="436"/>
        <v>94.548779999999766</v>
      </c>
      <c r="U988" s="364">
        <f t="shared" ca="1" si="437"/>
        <v>0</v>
      </c>
      <c r="V988" s="359">
        <f t="shared" ca="1" si="438"/>
        <v>1.2253320063384088</v>
      </c>
      <c r="W988" s="357">
        <f t="shared" ca="1" si="439"/>
        <v>78.525435324064134</v>
      </c>
      <c r="X988" s="343"/>
      <c r="Y988" s="367" t="str">
        <f t="shared" ca="1" si="457"/>
        <v/>
      </c>
      <c r="Z988" s="368" t="str">
        <f t="shared" ca="1" si="458"/>
        <v/>
      </c>
      <c r="AA988" s="369" t="str">
        <f t="shared" ca="1" si="459"/>
        <v/>
      </c>
      <c r="AB988" s="344"/>
      <c r="AC988" s="363" t="e">
        <f t="shared" ca="1" si="460"/>
        <v>#N/A</v>
      </c>
      <c r="AD988" s="376" t="e">
        <f t="shared" ca="1" si="461"/>
        <v>#N/A</v>
      </c>
      <c r="AE988" s="377" t="e">
        <f t="shared" ca="1" si="440"/>
        <v>#N/A</v>
      </c>
      <c r="AF988" s="344"/>
      <c r="AG988" s="359">
        <f t="shared" ca="1" si="462"/>
        <v>1.6042825914812031</v>
      </c>
      <c r="AH988" s="357">
        <f t="shared" ca="1" si="463"/>
        <v>-8.1474532311492815</v>
      </c>
    </row>
    <row r="989" spans="1:34" x14ac:dyDescent="0.25">
      <c r="A989" s="402">
        <f t="shared" ca="1" si="441"/>
        <v>1E-4</v>
      </c>
      <c r="B989" s="357">
        <f t="shared" ca="1" si="442"/>
        <v>49.304200000000506</v>
      </c>
      <c r="C989" s="342"/>
      <c r="D989" s="359">
        <f t="shared" ca="1" si="443"/>
        <v>-0.88665855890311152</v>
      </c>
      <c r="E989" s="360">
        <f t="shared" ca="1" si="444"/>
        <v>-1.7109070891524301</v>
      </c>
      <c r="F989" s="357">
        <f t="shared" ca="1" si="445"/>
        <v>1.9270097217679478</v>
      </c>
      <c r="G989" s="359">
        <f t="shared" ca="1" si="446"/>
        <v>18.31130749374034</v>
      </c>
      <c r="H989" s="360">
        <f t="shared" ca="1" si="447"/>
        <v>-167.26376690754367</v>
      </c>
      <c r="I989" s="357">
        <f t="shared" ca="1" si="448"/>
        <v>168.26310261679893</v>
      </c>
      <c r="J989" s="359">
        <f t="shared" ca="1" si="449"/>
        <v>1789.3751464685777</v>
      </c>
      <c r="K989" s="360">
        <f t="shared" ca="1" si="450"/>
        <v>-2.7266149673124955</v>
      </c>
      <c r="L989" s="357">
        <f t="shared" ca="1" si="435"/>
        <v>1789.37722384874</v>
      </c>
      <c r="M989" s="359">
        <f t="shared" ca="1" si="451"/>
        <v>-1.4617549231833282</v>
      </c>
      <c r="N989" s="357">
        <f t="shared" ca="1" si="452"/>
        <v>-83.752387780874557</v>
      </c>
      <c r="O989" s="343"/>
      <c r="P989" s="363">
        <f t="shared" ca="1" si="453"/>
        <v>23</v>
      </c>
      <c r="Q989" s="357">
        <f t="shared" ca="1" si="454"/>
        <v>0</v>
      </c>
      <c r="R989" s="359">
        <f t="shared" ca="1" si="455"/>
        <v>0</v>
      </c>
      <c r="S989" s="360">
        <f t="shared" ca="1" si="456"/>
        <v>9.637999999999975</v>
      </c>
      <c r="T989" s="357">
        <f t="shared" ca="1" si="436"/>
        <v>94.548779999999766</v>
      </c>
      <c r="U989" s="364">
        <f t="shared" ca="1" si="437"/>
        <v>0</v>
      </c>
      <c r="V989" s="359">
        <f t="shared" ca="1" si="438"/>
        <v>1.2253340558755834</v>
      </c>
      <c r="W989" s="357">
        <f t="shared" ca="1" si="439"/>
        <v>78.525716404650581</v>
      </c>
      <c r="X989" s="343"/>
      <c r="Y989" s="367" t="str">
        <f t="shared" ca="1" si="457"/>
        <v/>
      </c>
      <c r="Z989" s="368" t="str">
        <f t="shared" ca="1" si="458"/>
        <v/>
      </c>
      <c r="AA989" s="369" t="str">
        <f t="shared" ca="1" si="459"/>
        <v/>
      </c>
      <c r="AB989" s="344"/>
      <c r="AC989" s="363" t="e">
        <f t="shared" ca="1" si="460"/>
        <v>#N/A</v>
      </c>
      <c r="AD989" s="376" t="e">
        <f t="shared" ca="1" si="461"/>
        <v>#N/A</v>
      </c>
      <c r="AE989" s="377" t="e">
        <f t="shared" ca="1" si="440"/>
        <v>#N/A</v>
      </c>
      <c r="AF989" s="344"/>
      <c r="AG989" s="359">
        <f t="shared" ca="1" si="462"/>
        <v>1.6042541048806598</v>
      </c>
      <c r="AH989" s="357">
        <f t="shared" ca="1" si="463"/>
        <v>-8.1474823951093942</v>
      </c>
    </row>
    <row r="990" spans="1:34" x14ac:dyDescent="0.25">
      <c r="A990" s="402">
        <f t="shared" ca="1" si="441"/>
        <v>1E-4</v>
      </c>
      <c r="B990" s="357">
        <f t="shared" ca="1" si="442"/>
        <v>49.304300000000509</v>
      </c>
      <c r="C990" s="342"/>
      <c r="D990" s="359">
        <f t="shared" ca="1" si="443"/>
        <v>-0.88665659401002117</v>
      </c>
      <c r="E990" s="360">
        <f t="shared" ca="1" si="444"/>
        <v>-1.7108775360128483</v>
      </c>
      <c r="F990" s="357">
        <f t="shared" ca="1" si="445"/>
        <v>1.9269825787834323</v>
      </c>
      <c r="G990" s="359">
        <f t="shared" ca="1" si="446"/>
        <v>18.311218828080939</v>
      </c>
      <c r="H990" s="360">
        <f t="shared" ca="1" si="447"/>
        <v>-167.26393799529728</v>
      </c>
      <c r="I990" s="357">
        <f t="shared" ca="1" si="448"/>
        <v>168.26326303939467</v>
      </c>
      <c r="J990" s="359">
        <f t="shared" ca="1" si="449"/>
        <v>1789.3751464685777</v>
      </c>
      <c r="K990" s="360">
        <f t="shared" ca="1" si="450"/>
        <v>-2.7433413525576378</v>
      </c>
      <c r="L990" s="357">
        <f t="shared" ca="1" si="435"/>
        <v>1789.3772494142258</v>
      </c>
      <c r="M990" s="359">
        <f t="shared" ca="1" si="451"/>
        <v>-1.4617555576519721</v>
      </c>
      <c r="N990" s="357">
        <f t="shared" ca="1" si="452"/>
        <v>-83.752424133250088</v>
      </c>
      <c r="O990" s="343"/>
      <c r="P990" s="363">
        <f t="shared" ca="1" si="453"/>
        <v>23</v>
      </c>
      <c r="Q990" s="357">
        <f t="shared" ca="1" si="454"/>
        <v>0</v>
      </c>
      <c r="R990" s="359">
        <f t="shared" ca="1" si="455"/>
        <v>0</v>
      </c>
      <c r="S990" s="360">
        <f t="shared" ca="1" si="456"/>
        <v>9.637999999999975</v>
      </c>
      <c r="T990" s="357">
        <f t="shared" ca="1" si="436"/>
        <v>94.548779999999766</v>
      </c>
      <c r="U990" s="364">
        <f t="shared" ca="1" si="437"/>
        <v>0</v>
      </c>
      <c r="V990" s="359">
        <f t="shared" ca="1" si="438"/>
        <v>1.225336105418283</v>
      </c>
      <c r="W990" s="357">
        <f t="shared" ca="1" si="439"/>
        <v>78.525997483575992</v>
      </c>
      <c r="X990" s="343"/>
      <c r="Y990" s="367" t="str">
        <f t="shared" ca="1" si="457"/>
        <v/>
      </c>
      <c r="Z990" s="368" t="str">
        <f t="shared" ca="1" si="458"/>
        <v/>
      </c>
      <c r="AA990" s="369" t="str">
        <f t="shared" ca="1" si="459"/>
        <v/>
      </c>
      <c r="AB990" s="344"/>
      <c r="AC990" s="363" t="e">
        <f t="shared" ca="1" si="460"/>
        <v>#N/A</v>
      </c>
      <c r="AD990" s="376" t="e">
        <f t="shared" ca="1" si="461"/>
        <v>#N/A</v>
      </c>
      <c r="AE990" s="377" t="e">
        <f t="shared" ca="1" si="440"/>
        <v>#N/A</v>
      </c>
      <c r="AF990" s="344"/>
      <c r="AG990" s="359">
        <f t="shared" ca="1" si="462"/>
        <v>1.6042256184439712</v>
      </c>
      <c r="AH990" s="357">
        <f t="shared" ca="1" si="463"/>
        <v>-8.1475115588971558</v>
      </c>
    </row>
    <row r="991" spans="1:34" x14ac:dyDescent="0.25">
      <c r="A991" s="402">
        <f t="shared" ca="1" si="441"/>
        <v>1E-4</v>
      </c>
      <c r="B991" s="357">
        <f t="shared" ca="1" si="442"/>
        <v>49.304400000000513</v>
      </c>
      <c r="C991" s="342"/>
      <c r="D991" s="359">
        <f t="shared" ca="1" si="443"/>
        <v>-0.88665462909571124</v>
      </c>
      <c r="E991" s="360">
        <f t="shared" ca="1" si="444"/>
        <v>-1.710847983047616</v>
      </c>
      <c r="F991" s="357">
        <f t="shared" ca="1" si="445"/>
        <v>1.9269554360168657</v>
      </c>
      <c r="G991" s="359">
        <f t="shared" ca="1" si="446"/>
        <v>18.311130162618028</v>
      </c>
      <c r="H991" s="360">
        <f t="shared" ca="1" si="447"/>
        <v>-167.26410908009558</v>
      </c>
      <c r="I991" s="357">
        <f t="shared" ca="1" si="448"/>
        <v>168.26342345914173</v>
      </c>
      <c r="J991" s="359">
        <f t="shared" ca="1" si="449"/>
        <v>1789.3751464685777</v>
      </c>
      <c r="K991" s="360">
        <f t="shared" ca="1" si="450"/>
        <v>-2.7600677549114074</v>
      </c>
      <c r="L991" s="357">
        <f t="shared" ca="1" si="435"/>
        <v>1789.3772751360893</v>
      </c>
      <c r="M991" s="359">
        <f t="shared" ca="1" si="451"/>
        <v>-1.461756192116334</v>
      </c>
      <c r="N991" s="357">
        <f t="shared" ca="1" si="452"/>
        <v>-83.752460485380283</v>
      </c>
      <c r="O991" s="343"/>
      <c r="P991" s="363">
        <f t="shared" ca="1" si="453"/>
        <v>23</v>
      </c>
      <c r="Q991" s="357">
        <f t="shared" ca="1" si="454"/>
        <v>0</v>
      </c>
      <c r="R991" s="359">
        <f t="shared" ca="1" si="455"/>
        <v>0</v>
      </c>
      <c r="S991" s="360">
        <f t="shared" ca="1" si="456"/>
        <v>9.637999999999975</v>
      </c>
      <c r="T991" s="357">
        <f t="shared" ca="1" si="436"/>
        <v>94.548779999999766</v>
      </c>
      <c r="U991" s="364">
        <f t="shared" ca="1" si="437"/>
        <v>0</v>
      </c>
      <c r="V991" s="359">
        <f t="shared" ca="1" si="438"/>
        <v>1.2253381549665079</v>
      </c>
      <c r="W991" s="357">
        <f t="shared" ca="1" si="439"/>
        <v>78.526278560840268</v>
      </c>
      <c r="X991" s="343"/>
      <c r="Y991" s="367" t="str">
        <f t="shared" ca="1" si="457"/>
        <v/>
      </c>
      <c r="Z991" s="368" t="str">
        <f t="shared" ca="1" si="458"/>
        <v/>
      </c>
      <c r="AA991" s="369" t="str">
        <f t="shared" ca="1" si="459"/>
        <v/>
      </c>
      <c r="AB991" s="344"/>
      <c r="AC991" s="363" t="e">
        <f t="shared" ca="1" si="460"/>
        <v>#N/A</v>
      </c>
      <c r="AD991" s="376" t="e">
        <f t="shared" ca="1" si="461"/>
        <v>#N/A</v>
      </c>
      <c r="AE991" s="377" t="e">
        <f t="shared" ca="1" si="440"/>
        <v>#N/A</v>
      </c>
      <c r="AF991" s="344"/>
      <c r="AG991" s="359">
        <f t="shared" ca="1" si="462"/>
        <v>1.6041971321711284</v>
      </c>
      <c r="AH991" s="357">
        <f t="shared" ca="1" si="463"/>
        <v>-8.1475407225125753</v>
      </c>
    </row>
    <row r="992" spans="1:34" x14ac:dyDescent="0.25">
      <c r="A992" s="402">
        <f t="shared" ca="1" si="441"/>
        <v>1E-4</v>
      </c>
      <c r="B992" s="357">
        <f t="shared" ca="1" si="442"/>
        <v>49.304500000000516</v>
      </c>
      <c r="C992" s="342"/>
      <c r="D992" s="359">
        <f t="shared" ca="1" si="443"/>
        <v>-0.88665266416018118</v>
      </c>
      <c r="E992" s="360">
        <f t="shared" ca="1" si="444"/>
        <v>-1.710818430256742</v>
      </c>
      <c r="F992" s="357">
        <f t="shared" ca="1" si="445"/>
        <v>1.9269282934682572</v>
      </c>
      <c r="G992" s="359">
        <f t="shared" ca="1" si="446"/>
        <v>18.311041497351614</v>
      </c>
      <c r="H992" s="360">
        <f t="shared" ca="1" si="447"/>
        <v>-167.26428016193861</v>
      </c>
      <c r="I992" s="357">
        <f t="shared" ca="1" si="448"/>
        <v>168.26358387604023</v>
      </c>
      <c r="J992" s="359">
        <f t="shared" ca="1" si="449"/>
        <v>1789.3751464685777</v>
      </c>
      <c r="K992" s="360">
        <f t="shared" ca="1" si="450"/>
        <v>-2.7767941743735092</v>
      </c>
      <c r="L992" s="357">
        <f t="shared" ca="1" si="435"/>
        <v>1789.3773010143307</v>
      </c>
      <c r="M992" s="359">
        <f t="shared" ca="1" si="451"/>
        <v>-1.461756826576414</v>
      </c>
      <c r="N992" s="357">
        <f t="shared" ca="1" si="452"/>
        <v>-83.752496837265127</v>
      </c>
      <c r="O992" s="343"/>
      <c r="P992" s="363">
        <f t="shared" ca="1" si="453"/>
        <v>23</v>
      </c>
      <c r="Q992" s="357">
        <f t="shared" ca="1" si="454"/>
        <v>0</v>
      </c>
      <c r="R992" s="359">
        <f t="shared" ca="1" si="455"/>
        <v>0</v>
      </c>
      <c r="S992" s="360">
        <f t="shared" ca="1" si="456"/>
        <v>9.637999999999975</v>
      </c>
      <c r="T992" s="357">
        <f t="shared" ca="1" si="436"/>
        <v>94.548779999999766</v>
      </c>
      <c r="U992" s="364">
        <f t="shared" ca="1" si="437"/>
        <v>0</v>
      </c>
      <c r="V992" s="359">
        <f t="shared" ca="1" si="438"/>
        <v>1.2253402045202573</v>
      </c>
      <c r="W992" s="357">
        <f t="shared" ca="1" si="439"/>
        <v>78.526559636443437</v>
      </c>
      <c r="X992" s="343"/>
      <c r="Y992" s="367" t="str">
        <f t="shared" ca="1" si="457"/>
        <v/>
      </c>
      <c r="Z992" s="368" t="str">
        <f t="shared" ca="1" si="458"/>
        <v/>
      </c>
      <c r="AA992" s="369" t="str">
        <f t="shared" ca="1" si="459"/>
        <v/>
      </c>
      <c r="AB992" s="344"/>
      <c r="AC992" s="363" t="e">
        <f t="shared" ca="1" si="460"/>
        <v>#N/A</v>
      </c>
      <c r="AD992" s="376" t="e">
        <f t="shared" ca="1" si="461"/>
        <v>#N/A</v>
      </c>
      <c r="AE992" s="377" t="e">
        <f t="shared" ca="1" si="440"/>
        <v>#N/A</v>
      </c>
      <c r="AF992" s="344"/>
      <c r="AG992" s="359">
        <f t="shared" ca="1" si="462"/>
        <v>1.604168646062142</v>
      </c>
      <c r="AH992" s="357">
        <f t="shared" ca="1" si="463"/>
        <v>-8.147569885955642</v>
      </c>
    </row>
    <row r="993" spans="1:34" x14ac:dyDescent="0.25">
      <c r="A993" s="402">
        <f t="shared" ca="1" si="441"/>
        <v>1E-4</v>
      </c>
      <c r="B993" s="357">
        <f t="shared" ca="1" si="442"/>
        <v>49.304600000000519</v>
      </c>
      <c r="C993" s="342"/>
      <c r="D993" s="359">
        <f t="shared" ca="1" si="443"/>
        <v>-0.88665069920343187</v>
      </c>
      <c r="E993" s="360">
        <f t="shared" ca="1" si="444"/>
        <v>-1.7107888776402245</v>
      </c>
      <c r="F993" s="357">
        <f t="shared" ca="1" si="445"/>
        <v>1.9269011511376066</v>
      </c>
      <c r="G993" s="359">
        <f t="shared" ca="1" si="446"/>
        <v>18.310952832281693</v>
      </c>
      <c r="H993" s="360">
        <f t="shared" ca="1" si="447"/>
        <v>-167.26445124082639</v>
      </c>
      <c r="I993" s="357">
        <f t="shared" ca="1" si="448"/>
        <v>168.2637442900901</v>
      </c>
      <c r="J993" s="359">
        <f t="shared" ca="1" si="449"/>
        <v>1789.3751464685777</v>
      </c>
      <c r="K993" s="360">
        <f t="shared" ca="1" si="450"/>
        <v>-2.7935206109436472</v>
      </c>
      <c r="L993" s="357">
        <f t="shared" ca="1" si="435"/>
        <v>1789.3773270489507</v>
      </c>
      <c r="M993" s="359">
        <f t="shared" ca="1" si="451"/>
        <v>-1.4617574610322122</v>
      </c>
      <c r="N993" s="357">
        <f t="shared" ca="1" si="452"/>
        <v>-83.75253318890465</v>
      </c>
      <c r="O993" s="343"/>
      <c r="P993" s="363">
        <f t="shared" ca="1" si="453"/>
        <v>23</v>
      </c>
      <c r="Q993" s="357">
        <f t="shared" ca="1" si="454"/>
        <v>0</v>
      </c>
      <c r="R993" s="359">
        <f t="shared" ca="1" si="455"/>
        <v>0</v>
      </c>
      <c r="S993" s="360">
        <f t="shared" ca="1" si="456"/>
        <v>9.637999999999975</v>
      </c>
      <c r="T993" s="357">
        <f t="shared" ca="1" si="436"/>
        <v>94.548779999999766</v>
      </c>
      <c r="U993" s="364">
        <f t="shared" ca="1" si="437"/>
        <v>0</v>
      </c>
      <c r="V993" s="359">
        <f t="shared" ca="1" si="438"/>
        <v>1.2253422540795318</v>
      </c>
      <c r="W993" s="357">
        <f t="shared" ca="1" si="439"/>
        <v>78.526840710385471</v>
      </c>
      <c r="X993" s="343"/>
      <c r="Y993" s="367" t="str">
        <f t="shared" ca="1" si="457"/>
        <v/>
      </c>
      <c r="Z993" s="368" t="str">
        <f t="shared" ca="1" si="458"/>
        <v/>
      </c>
      <c r="AA993" s="369" t="str">
        <f t="shared" ca="1" si="459"/>
        <v/>
      </c>
      <c r="AB993" s="344"/>
      <c r="AC993" s="363" t="e">
        <f t="shared" ca="1" si="460"/>
        <v>#N/A</v>
      </c>
      <c r="AD993" s="376" t="e">
        <f t="shared" ca="1" si="461"/>
        <v>#N/A</v>
      </c>
      <c r="AE993" s="377" t="e">
        <f t="shared" ca="1" si="440"/>
        <v>#N/A</v>
      </c>
      <c r="AF993" s="344"/>
      <c r="AG993" s="359">
        <f t="shared" ca="1" si="462"/>
        <v>1.6041401601170104</v>
      </c>
      <c r="AH993" s="357">
        <f t="shared" ca="1" si="463"/>
        <v>-8.1475990492263577</v>
      </c>
    </row>
    <row r="994" spans="1:34" x14ac:dyDescent="0.25">
      <c r="A994" s="402">
        <f t="shared" ca="1" si="441"/>
        <v>1E-4</v>
      </c>
      <c r="B994" s="357">
        <f t="shared" ca="1" si="442"/>
        <v>49.304700000000523</v>
      </c>
      <c r="C994" s="342"/>
      <c r="D994" s="359">
        <f t="shared" ca="1" si="443"/>
        <v>-0.88664873422546386</v>
      </c>
      <c r="E994" s="360">
        <f t="shared" ca="1" si="444"/>
        <v>-1.7107593251980635</v>
      </c>
      <c r="F994" s="357">
        <f t="shared" ca="1" si="445"/>
        <v>1.9268740090249157</v>
      </c>
      <c r="G994" s="359">
        <f t="shared" ca="1" si="446"/>
        <v>18.310864167408269</v>
      </c>
      <c r="H994" s="360">
        <f t="shared" ca="1" si="447"/>
        <v>-167.2646223167589</v>
      </c>
      <c r="I994" s="357">
        <f t="shared" ca="1" si="448"/>
        <v>168.26390470129141</v>
      </c>
      <c r="J994" s="359">
        <f t="shared" ca="1" si="449"/>
        <v>1789.3751464685777</v>
      </c>
      <c r="K994" s="360">
        <f t="shared" ca="1" si="450"/>
        <v>-2.8102470646215263</v>
      </c>
      <c r="L994" s="357">
        <f t="shared" ca="1" si="435"/>
        <v>1789.3773532399498</v>
      </c>
      <c r="M994" s="359">
        <f t="shared" ca="1" si="451"/>
        <v>-1.4617580954837284</v>
      </c>
      <c r="N994" s="357">
        <f t="shared" ca="1" si="452"/>
        <v>-83.752569540298836</v>
      </c>
      <c r="O994" s="343"/>
      <c r="P994" s="363">
        <f t="shared" ca="1" si="453"/>
        <v>23</v>
      </c>
      <c r="Q994" s="357">
        <f t="shared" ca="1" si="454"/>
        <v>0</v>
      </c>
      <c r="R994" s="359">
        <f t="shared" ca="1" si="455"/>
        <v>0</v>
      </c>
      <c r="S994" s="360">
        <f t="shared" ca="1" si="456"/>
        <v>9.637999999999975</v>
      </c>
      <c r="T994" s="357">
        <f t="shared" ca="1" si="436"/>
        <v>94.548779999999766</v>
      </c>
      <c r="U994" s="364">
        <f t="shared" ca="1" si="437"/>
        <v>0</v>
      </c>
      <c r="V994" s="359">
        <f t="shared" ca="1" si="438"/>
        <v>1.2253443036443317</v>
      </c>
      <c r="W994" s="357">
        <f t="shared" ca="1" si="439"/>
        <v>78.527121782666441</v>
      </c>
      <c r="X994" s="343"/>
      <c r="Y994" s="367" t="str">
        <f t="shared" ca="1" si="457"/>
        <v/>
      </c>
      <c r="Z994" s="368" t="str">
        <f t="shared" ca="1" si="458"/>
        <v/>
      </c>
      <c r="AA994" s="369" t="str">
        <f t="shared" ca="1" si="459"/>
        <v/>
      </c>
      <c r="AB994" s="344"/>
      <c r="AC994" s="363" t="e">
        <f t="shared" ca="1" si="460"/>
        <v>#N/A</v>
      </c>
      <c r="AD994" s="376" t="e">
        <f t="shared" ca="1" si="461"/>
        <v>#N/A</v>
      </c>
      <c r="AE994" s="377" t="e">
        <f t="shared" ca="1" si="440"/>
        <v>#N/A</v>
      </c>
      <c r="AF994" s="344"/>
      <c r="AG994" s="359">
        <f t="shared" ca="1" si="462"/>
        <v>1.6041116743357318</v>
      </c>
      <c r="AH994" s="357">
        <f t="shared" ca="1" si="463"/>
        <v>-8.1476282123247223</v>
      </c>
    </row>
    <row r="995" spans="1:34" x14ac:dyDescent="0.25">
      <c r="A995" s="402">
        <f t="shared" ca="1" si="441"/>
        <v>1E-4</v>
      </c>
      <c r="B995" s="357">
        <f t="shared" ca="1" si="442"/>
        <v>49.304800000000526</v>
      </c>
      <c r="C995" s="342"/>
      <c r="D995" s="359">
        <f t="shared" ca="1" si="443"/>
        <v>-0.88664676922627872</v>
      </c>
      <c r="E995" s="360">
        <f t="shared" ca="1" si="444"/>
        <v>-1.7107297729302555</v>
      </c>
      <c r="F995" s="357">
        <f t="shared" ca="1" si="445"/>
        <v>1.926846867130183</v>
      </c>
      <c r="G995" s="359">
        <f t="shared" ca="1" si="446"/>
        <v>18.310775502731346</v>
      </c>
      <c r="H995" s="360">
        <f t="shared" ca="1" si="447"/>
        <v>-167.26479338973618</v>
      </c>
      <c r="I995" s="357">
        <f t="shared" ca="1" si="448"/>
        <v>168.26406510964412</v>
      </c>
      <c r="J995" s="359">
        <f t="shared" ca="1" si="449"/>
        <v>1789.3751464685777</v>
      </c>
      <c r="K995" s="360">
        <f t="shared" ca="1" si="450"/>
        <v>-2.826973535406851</v>
      </c>
      <c r="L995" s="357">
        <f t="shared" ca="1" si="435"/>
        <v>1789.3773795873283</v>
      </c>
      <c r="M995" s="359">
        <f t="shared" ca="1" si="451"/>
        <v>-1.4617587299309629</v>
      </c>
      <c r="N995" s="357">
        <f t="shared" ca="1" si="452"/>
        <v>-83.752605891447701</v>
      </c>
      <c r="O995" s="343"/>
      <c r="P995" s="363">
        <f t="shared" ca="1" si="453"/>
        <v>23</v>
      </c>
      <c r="Q995" s="357">
        <f t="shared" ca="1" si="454"/>
        <v>0</v>
      </c>
      <c r="R995" s="359">
        <f t="shared" ca="1" si="455"/>
        <v>0</v>
      </c>
      <c r="S995" s="360">
        <f t="shared" ca="1" si="456"/>
        <v>9.637999999999975</v>
      </c>
      <c r="T995" s="357">
        <f t="shared" ca="1" si="436"/>
        <v>94.548779999999766</v>
      </c>
      <c r="U995" s="364">
        <f t="shared" ca="1" si="437"/>
        <v>0</v>
      </c>
      <c r="V995" s="359">
        <f t="shared" ca="1" si="438"/>
        <v>1.225346353214656</v>
      </c>
      <c r="W995" s="357">
        <f t="shared" ca="1" si="439"/>
        <v>78.527402853286247</v>
      </c>
      <c r="X995" s="343"/>
      <c r="Y995" s="367" t="str">
        <f t="shared" ca="1" si="457"/>
        <v/>
      </c>
      <c r="Z995" s="368" t="str">
        <f t="shared" ca="1" si="458"/>
        <v/>
      </c>
      <c r="AA995" s="369" t="str">
        <f t="shared" ca="1" si="459"/>
        <v/>
      </c>
      <c r="AB995" s="344"/>
      <c r="AC995" s="363" t="e">
        <f t="shared" ca="1" si="460"/>
        <v>#N/A</v>
      </c>
      <c r="AD995" s="376" t="e">
        <f t="shared" ca="1" si="461"/>
        <v>#N/A</v>
      </c>
      <c r="AE995" s="377" t="e">
        <f t="shared" ca="1" si="440"/>
        <v>#N/A</v>
      </c>
      <c r="AF995" s="344"/>
      <c r="AG995" s="359">
        <f t="shared" ca="1" si="462"/>
        <v>1.6040831887183042</v>
      </c>
      <c r="AH995" s="357">
        <f t="shared" ca="1" si="463"/>
        <v>-8.1476573752507413</v>
      </c>
    </row>
    <row r="996" spans="1:34" x14ac:dyDescent="0.25">
      <c r="A996" s="402">
        <f t="shared" ca="1" si="441"/>
        <v>1E-4</v>
      </c>
      <c r="B996" s="357">
        <f t="shared" ca="1" si="442"/>
        <v>49.304900000000529</v>
      </c>
      <c r="C996" s="342"/>
      <c r="D996" s="359">
        <f t="shared" ca="1" si="443"/>
        <v>-0.88664480420587422</v>
      </c>
      <c r="E996" s="360">
        <f t="shared" ca="1" si="444"/>
        <v>-1.7107002208368094</v>
      </c>
      <c r="F996" s="357">
        <f t="shared" ca="1" si="445"/>
        <v>1.926819725453417</v>
      </c>
      <c r="G996" s="359">
        <f t="shared" ca="1" si="446"/>
        <v>18.310686838250927</v>
      </c>
      <c r="H996" s="360">
        <f t="shared" ca="1" si="447"/>
        <v>-167.26496445975826</v>
      </c>
      <c r="I996" s="357">
        <f t="shared" ca="1" si="448"/>
        <v>168.26422551514833</v>
      </c>
      <c r="J996" s="359">
        <f t="shared" ca="1" si="449"/>
        <v>1789.3751464685777</v>
      </c>
      <c r="K996" s="360">
        <f t="shared" ca="1" si="450"/>
        <v>-2.8437000232993257</v>
      </c>
      <c r="L996" s="357">
        <f t="shared" ca="1" si="435"/>
        <v>1789.3774060910869</v>
      </c>
      <c r="M996" s="359">
        <f t="shared" ca="1" si="451"/>
        <v>-1.4617593643739155</v>
      </c>
      <c r="N996" s="357">
        <f t="shared" ca="1" si="452"/>
        <v>-83.752642242351229</v>
      </c>
      <c r="O996" s="343"/>
      <c r="P996" s="363">
        <f t="shared" ca="1" si="453"/>
        <v>23</v>
      </c>
      <c r="Q996" s="357">
        <f t="shared" ca="1" si="454"/>
        <v>0</v>
      </c>
      <c r="R996" s="359">
        <f t="shared" ca="1" si="455"/>
        <v>0</v>
      </c>
      <c r="S996" s="360">
        <f t="shared" ca="1" si="456"/>
        <v>9.637999999999975</v>
      </c>
      <c r="T996" s="357">
        <f t="shared" ca="1" si="436"/>
        <v>94.548779999999766</v>
      </c>
      <c r="U996" s="364">
        <f t="shared" ca="1" si="437"/>
        <v>0</v>
      </c>
      <c r="V996" s="359">
        <f t="shared" ca="1" si="438"/>
        <v>1.2253484027905053</v>
      </c>
      <c r="W996" s="357">
        <f t="shared" ca="1" si="439"/>
        <v>78.527683922244933</v>
      </c>
      <c r="X996" s="343"/>
      <c r="Y996" s="367" t="str">
        <f t="shared" ca="1" si="457"/>
        <v/>
      </c>
      <c r="Z996" s="368" t="str">
        <f t="shared" ca="1" si="458"/>
        <v/>
      </c>
      <c r="AA996" s="369" t="str">
        <f t="shared" ca="1" si="459"/>
        <v/>
      </c>
      <c r="AB996" s="344"/>
      <c r="AC996" s="363" t="e">
        <f t="shared" ca="1" si="460"/>
        <v>#N/A</v>
      </c>
      <c r="AD996" s="376" t="e">
        <f t="shared" ca="1" si="461"/>
        <v>#N/A</v>
      </c>
      <c r="AE996" s="377" t="e">
        <f t="shared" ca="1" si="440"/>
        <v>#N/A</v>
      </c>
      <c r="AF996" s="344"/>
      <c r="AG996" s="359">
        <f t="shared" ca="1" si="462"/>
        <v>1.604054703264735</v>
      </c>
      <c r="AH996" s="357">
        <f t="shared" ca="1" si="463"/>
        <v>-8.1476865380044039</v>
      </c>
    </row>
    <row r="997" spans="1:34" x14ac:dyDescent="0.25">
      <c r="A997" s="402">
        <f t="shared" ca="1" si="441"/>
        <v>1E-4</v>
      </c>
      <c r="B997" s="357">
        <f t="shared" ca="1" si="442"/>
        <v>49.305000000000533</v>
      </c>
      <c r="C997" s="342"/>
      <c r="D997" s="359">
        <f t="shared" ca="1" si="443"/>
        <v>-0.88664283916425324</v>
      </c>
      <c r="E997" s="360">
        <f t="shared" ca="1" si="444"/>
        <v>-1.7106706689177198</v>
      </c>
      <c r="F997" s="357">
        <f t="shared" ca="1" si="445"/>
        <v>1.9267925839946154</v>
      </c>
      <c r="G997" s="359">
        <f t="shared" ca="1" si="446"/>
        <v>18.310598173967012</v>
      </c>
      <c r="H997" s="360">
        <f t="shared" ca="1" si="447"/>
        <v>-167.26513552682516</v>
      </c>
      <c r="I997" s="357">
        <f t="shared" ca="1" si="448"/>
        <v>168.26438591780399</v>
      </c>
      <c r="J997" s="359">
        <f t="shared" ca="1" si="449"/>
        <v>1789.3751464685777</v>
      </c>
      <c r="K997" s="360">
        <f t="shared" ca="1" si="450"/>
        <v>-2.860426528298655</v>
      </c>
      <c r="L997" s="357">
        <f t="shared" ca="1" si="435"/>
        <v>1789.3774327512258</v>
      </c>
      <c r="M997" s="359">
        <f t="shared" ca="1" si="451"/>
        <v>-1.4617599988125864</v>
      </c>
      <c r="N997" s="357">
        <f t="shared" ca="1" si="452"/>
        <v>-83.752678593009435</v>
      </c>
      <c r="O997" s="343"/>
      <c r="P997" s="363">
        <f t="shared" ca="1" si="453"/>
        <v>23</v>
      </c>
      <c r="Q997" s="357">
        <f t="shared" ca="1" si="454"/>
        <v>0</v>
      </c>
      <c r="R997" s="359">
        <f t="shared" ca="1" si="455"/>
        <v>0</v>
      </c>
      <c r="S997" s="360">
        <f t="shared" ca="1" si="456"/>
        <v>9.637999999999975</v>
      </c>
      <c r="T997" s="357">
        <f t="shared" ca="1" si="436"/>
        <v>94.548779999999766</v>
      </c>
      <c r="U997" s="364">
        <f t="shared" ca="1" si="437"/>
        <v>0</v>
      </c>
      <c r="V997" s="359">
        <f t="shared" ca="1" si="438"/>
        <v>1.2253504523718797</v>
      </c>
      <c r="W997" s="357">
        <f t="shared" ca="1" si="439"/>
        <v>78.527964989542511</v>
      </c>
      <c r="X997" s="343"/>
      <c r="Y997" s="367" t="str">
        <f t="shared" ca="1" si="457"/>
        <v/>
      </c>
      <c r="Z997" s="368" t="str">
        <f t="shared" ca="1" si="458"/>
        <v/>
      </c>
      <c r="AA997" s="369" t="str">
        <f t="shared" ca="1" si="459"/>
        <v/>
      </c>
      <c r="AB997" s="344"/>
      <c r="AC997" s="363" t="e">
        <f t="shared" ca="1" si="460"/>
        <v>#N/A</v>
      </c>
      <c r="AD997" s="376" t="e">
        <f t="shared" ca="1" si="461"/>
        <v>#N/A</v>
      </c>
      <c r="AE997" s="377" t="e">
        <f t="shared" ca="1" si="440"/>
        <v>#N/A</v>
      </c>
      <c r="AF997" s="344"/>
      <c r="AG997" s="359">
        <f t="shared" ca="1" si="462"/>
        <v>1.6040262179750169</v>
      </c>
      <c r="AH997" s="357">
        <f t="shared" ca="1" si="463"/>
        <v>-8.1477157005857173</v>
      </c>
    </row>
    <row r="998" spans="1:34" x14ac:dyDescent="0.25">
      <c r="A998" s="402">
        <f t="shared" ca="1" si="441"/>
        <v>1E-4</v>
      </c>
      <c r="B998" s="357">
        <f t="shared" ca="1" si="442"/>
        <v>49.305100000000536</v>
      </c>
      <c r="C998" s="342"/>
      <c r="D998" s="359">
        <f t="shared" ca="1" si="443"/>
        <v>-0.88664087410141479</v>
      </c>
      <c r="E998" s="360">
        <f t="shared" ca="1" si="444"/>
        <v>-1.7106411171729849</v>
      </c>
      <c r="F998" s="357">
        <f t="shared" ca="1" si="445"/>
        <v>1.926765442753777</v>
      </c>
      <c r="G998" s="359">
        <f t="shared" ca="1" si="446"/>
        <v>18.310509509879601</v>
      </c>
      <c r="H998" s="360">
        <f t="shared" ca="1" si="447"/>
        <v>-167.26530659093689</v>
      </c>
      <c r="I998" s="357">
        <f t="shared" ca="1" si="448"/>
        <v>168.26454631761115</v>
      </c>
      <c r="J998" s="359">
        <f t="shared" ca="1" si="449"/>
        <v>1789.3751464685777</v>
      </c>
      <c r="K998" s="360">
        <f t="shared" ca="1" si="450"/>
        <v>-2.8771530504045431</v>
      </c>
      <c r="L998" s="357">
        <f t="shared" ca="1" si="435"/>
        <v>1789.3774595677457</v>
      </c>
      <c r="M998" s="359">
        <f t="shared" ca="1" si="451"/>
        <v>-1.4617606332469759</v>
      </c>
      <c r="N998" s="357">
        <f t="shared" ca="1" si="452"/>
        <v>-83.752714943422319</v>
      </c>
      <c r="O998" s="343"/>
      <c r="P998" s="363">
        <f t="shared" ca="1" si="453"/>
        <v>23</v>
      </c>
      <c r="Q998" s="357">
        <f t="shared" ca="1" si="454"/>
        <v>0</v>
      </c>
      <c r="R998" s="359">
        <f t="shared" ca="1" si="455"/>
        <v>0</v>
      </c>
      <c r="S998" s="360">
        <f t="shared" ca="1" si="456"/>
        <v>9.637999999999975</v>
      </c>
      <c r="T998" s="357">
        <f t="shared" ca="1" si="436"/>
        <v>94.548779999999766</v>
      </c>
      <c r="U998" s="364">
        <f t="shared" ca="1" si="437"/>
        <v>0</v>
      </c>
      <c r="V998" s="359">
        <f t="shared" ca="1" si="438"/>
        <v>1.225352501958779</v>
      </c>
      <c r="W998" s="357">
        <f t="shared" ca="1" si="439"/>
        <v>78.528246055178968</v>
      </c>
      <c r="X998" s="343"/>
      <c r="Y998" s="367" t="str">
        <f t="shared" ca="1" si="457"/>
        <v/>
      </c>
      <c r="Z998" s="368" t="str">
        <f t="shared" ca="1" si="458"/>
        <v/>
      </c>
      <c r="AA998" s="369" t="str">
        <f t="shared" ca="1" si="459"/>
        <v/>
      </c>
      <c r="AB998" s="344"/>
      <c r="AC998" s="363" t="e">
        <f t="shared" ca="1" si="460"/>
        <v>#N/A</v>
      </c>
      <c r="AD998" s="376" t="e">
        <f t="shared" ca="1" si="461"/>
        <v>#N/A</v>
      </c>
      <c r="AE998" s="377" t="e">
        <f t="shared" ca="1" si="440"/>
        <v>#N/A</v>
      </c>
      <c r="AF998" s="344"/>
      <c r="AG998" s="359">
        <f t="shared" ca="1" si="462"/>
        <v>1.603997732849157</v>
      </c>
      <c r="AH998" s="357">
        <f t="shared" ca="1" si="463"/>
        <v>-8.1477448629946796</v>
      </c>
    </row>
    <row r="999" spans="1:34" x14ac:dyDescent="0.25">
      <c r="A999" s="402">
        <f t="shared" ca="1" si="441"/>
        <v>1E-4</v>
      </c>
      <c r="B999" s="357">
        <f t="shared" ca="1" si="442"/>
        <v>49.305200000000539</v>
      </c>
      <c r="C999" s="342"/>
      <c r="D999" s="359">
        <f t="shared" ca="1" si="443"/>
        <v>-0.88663890901735765</v>
      </c>
      <c r="E999" s="360">
        <f t="shared" ca="1" si="444"/>
        <v>-1.7106115656026102</v>
      </c>
      <c r="F999" s="357">
        <f t="shared" ca="1" si="445"/>
        <v>1.9267383017309079</v>
      </c>
      <c r="G999" s="359">
        <f t="shared" ca="1" si="446"/>
        <v>18.310420845988698</v>
      </c>
      <c r="H999" s="360">
        <f t="shared" ca="1" si="447"/>
        <v>-167.26547765209344</v>
      </c>
      <c r="I999" s="357">
        <f t="shared" ca="1" si="448"/>
        <v>168.26470671456977</v>
      </c>
      <c r="J999" s="359">
        <f t="shared" ca="1" si="449"/>
        <v>1789.3751464685777</v>
      </c>
      <c r="K999" s="360">
        <f t="shared" ca="1" si="450"/>
        <v>-2.8938795896166947</v>
      </c>
      <c r="L999" s="357">
        <f t="shared" ca="1" si="435"/>
        <v>1789.3774865406469</v>
      </c>
      <c r="M999" s="359">
        <f t="shared" ca="1" si="451"/>
        <v>-1.4617612676770835</v>
      </c>
      <c r="N999" s="357">
        <f t="shared" ca="1" si="452"/>
        <v>-83.752751293589881</v>
      </c>
      <c r="O999" s="343"/>
      <c r="P999" s="363">
        <f t="shared" ca="1" si="453"/>
        <v>23</v>
      </c>
      <c r="Q999" s="357">
        <f t="shared" ca="1" si="454"/>
        <v>0</v>
      </c>
      <c r="R999" s="359">
        <f t="shared" ca="1" si="455"/>
        <v>0</v>
      </c>
      <c r="S999" s="360">
        <f t="shared" ca="1" si="456"/>
        <v>9.637999999999975</v>
      </c>
      <c r="T999" s="357">
        <f t="shared" ca="1" si="436"/>
        <v>94.548779999999766</v>
      </c>
      <c r="U999" s="364">
        <f t="shared" ca="1" si="437"/>
        <v>0</v>
      </c>
      <c r="V999" s="359">
        <f t="shared" ca="1" si="438"/>
        <v>1.225354551551203</v>
      </c>
      <c r="W999" s="357">
        <f t="shared" ca="1" si="439"/>
        <v>78.528527119154234</v>
      </c>
      <c r="X999" s="343"/>
      <c r="Y999" s="367" t="str">
        <f t="shared" ca="1" si="457"/>
        <v/>
      </c>
      <c r="Z999" s="368" t="str">
        <f t="shared" ca="1" si="458"/>
        <v/>
      </c>
      <c r="AA999" s="369" t="str">
        <f t="shared" ca="1" si="459"/>
        <v/>
      </c>
      <c r="AB999" s="344"/>
      <c r="AC999" s="363" t="e">
        <f t="shared" ca="1" si="460"/>
        <v>#N/A</v>
      </c>
      <c r="AD999" s="376" t="e">
        <f t="shared" ca="1" si="461"/>
        <v>#N/A</v>
      </c>
      <c r="AE999" s="377" t="e">
        <f t="shared" ca="1" si="440"/>
        <v>#N/A</v>
      </c>
      <c r="AF999" s="344"/>
      <c r="AG999" s="359">
        <f t="shared" ca="1" si="462"/>
        <v>1.6039692478871537</v>
      </c>
      <c r="AH999" s="357">
        <f t="shared" ca="1" si="463"/>
        <v>-8.1477740252312891</v>
      </c>
    </row>
    <row r="1000" spans="1:34" x14ac:dyDescent="0.25">
      <c r="A1000" s="402">
        <f t="shared" ca="1" si="441"/>
        <v>1E-4</v>
      </c>
      <c r="B1000" s="357">
        <f t="shared" ca="1" si="442"/>
        <v>49.305300000000543</v>
      </c>
      <c r="C1000" s="342"/>
      <c r="D1000" s="359">
        <f t="shared" ca="1" si="443"/>
        <v>-0.88663694391208558</v>
      </c>
      <c r="E1000" s="360">
        <f t="shared" ca="1" si="444"/>
        <v>-1.7105820142065991</v>
      </c>
      <c r="F1000" s="357">
        <f t="shared" ca="1" si="445"/>
        <v>1.9267111609260139</v>
      </c>
      <c r="G1000" s="359">
        <f t="shared" ca="1" si="446"/>
        <v>18.310332182294307</v>
      </c>
      <c r="H1000" s="360">
        <f t="shared" ca="1" si="447"/>
        <v>-167.26564871029487</v>
      </c>
      <c r="I1000" s="357">
        <f t="shared" ca="1" si="448"/>
        <v>168.26486710867997</v>
      </c>
      <c r="J1000" s="359">
        <f t="shared" ca="1" si="449"/>
        <v>1789.3751464685777</v>
      </c>
      <c r="K1000" s="360">
        <f t="shared" ca="1" si="450"/>
        <v>-2.910606145934814</v>
      </c>
      <c r="L1000" s="357">
        <f t="shared" ca="1" si="435"/>
        <v>1789.3775136699301</v>
      </c>
      <c r="M1000" s="359">
        <f t="shared" ca="1" si="451"/>
        <v>-1.4617619021029096</v>
      </c>
      <c r="N1000" s="357">
        <f t="shared" ca="1" si="452"/>
        <v>-83.752787643512136</v>
      </c>
      <c r="O1000" s="343"/>
      <c r="P1000" s="363">
        <f t="shared" ca="1" si="453"/>
        <v>23</v>
      </c>
      <c r="Q1000" s="357">
        <f t="shared" ca="1" si="454"/>
        <v>0</v>
      </c>
      <c r="R1000" s="359">
        <f t="shared" ca="1" si="455"/>
        <v>0</v>
      </c>
      <c r="S1000" s="360">
        <f t="shared" ca="1" si="456"/>
        <v>9.637999999999975</v>
      </c>
      <c r="T1000" s="357">
        <f t="shared" ca="1" si="436"/>
        <v>94.548779999999766</v>
      </c>
      <c r="U1000" s="364">
        <f t="shared" ca="1" si="437"/>
        <v>0</v>
      </c>
      <c r="V1000" s="359">
        <f t="shared" ca="1" si="438"/>
        <v>1.2253566011491519</v>
      </c>
      <c r="W1000" s="357">
        <f t="shared" ca="1" si="439"/>
        <v>78.52880818146842</v>
      </c>
      <c r="X1000" s="343"/>
      <c r="Y1000" s="367" t="str">
        <f t="shared" ca="1" si="457"/>
        <v/>
      </c>
      <c r="Z1000" s="368" t="str">
        <f t="shared" ca="1" si="458"/>
        <v/>
      </c>
      <c r="AA1000" s="369" t="str">
        <f t="shared" ca="1" si="459"/>
        <v/>
      </c>
      <c r="AB1000" s="344"/>
      <c r="AC1000" s="363" t="e">
        <f t="shared" ca="1" si="460"/>
        <v>#N/A</v>
      </c>
      <c r="AD1000" s="376" t="e">
        <f t="shared" ca="1" si="461"/>
        <v>#N/A</v>
      </c>
      <c r="AE1000" s="377" t="e">
        <f t="shared" ca="1" si="440"/>
        <v>#N/A</v>
      </c>
      <c r="AF1000" s="344"/>
      <c r="AG1000" s="359">
        <f t="shared" ca="1" si="462"/>
        <v>1.6039407630890103</v>
      </c>
      <c r="AH1000" s="357">
        <f t="shared" ca="1" si="463"/>
        <v>-8.1478031872955423</v>
      </c>
    </row>
    <row r="1001" spans="1:34" x14ac:dyDescent="0.25">
      <c r="A1001" s="402">
        <f t="shared" ca="1" si="441"/>
        <v>1E-4</v>
      </c>
      <c r="B1001" s="357">
        <f t="shared" ca="1" si="442"/>
        <v>49.305400000000546</v>
      </c>
      <c r="C1001" s="342"/>
      <c r="D1001" s="359">
        <f t="shared" ca="1" si="443"/>
        <v>-0.88663497878559661</v>
      </c>
      <c r="E1001" s="360">
        <f t="shared" ca="1" si="444"/>
        <v>-1.7105524629849409</v>
      </c>
      <c r="F1001" s="357">
        <f t="shared" ca="1" si="445"/>
        <v>1.9266840203390858</v>
      </c>
      <c r="G1001" s="359">
        <f t="shared" ca="1" si="446"/>
        <v>18.31024351879643</v>
      </c>
      <c r="H1001" s="360">
        <f t="shared" ca="1" si="447"/>
        <v>-167.26581976554118</v>
      </c>
      <c r="I1001" s="357">
        <f t="shared" ca="1" si="448"/>
        <v>168.26502749994168</v>
      </c>
      <c r="J1001" s="359">
        <f t="shared" ca="1" si="449"/>
        <v>1789.3751464685777</v>
      </c>
      <c r="K1001" s="360">
        <f t="shared" ca="1" si="450"/>
        <v>-2.9273327193586058</v>
      </c>
      <c r="L1001" s="357">
        <f t="shared" ca="1" si="435"/>
        <v>1789.3775409555954</v>
      </c>
      <c r="M1001" s="359">
        <f t="shared" ca="1" si="451"/>
        <v>-1.4617625365244542</v>
      </c>
      <c r="N1001" s="357">
        <f t="shared" ca="1" si="452"/>
        <v>-83.752823993189068</v>
      </c>
      <c r="O1001" s="343"/>
      <c r="P1001" s="363">
        <f t="shared" ca="1" si="453"/>
        <v>23</v>
      </c>
      <c r="Q1001" s="357">
        <f t="shared" ca="1" si="454"/>
        <v>0</v>
      </c>
      <c r="R1001" s="359">
        <f t="shared" ca="1" si="455"/>
        <v>0</v>
      </c>
      <c r="S1001" s="360">
        <f t="shared" ca="1" si="456"/>
        <v>9.637999999999975</v>
      </c>
      <c r="T1001" s="357">
        <f t="shared" ca="1" si="436"/>
        <v>94.548779999999766</v>
      </c>
      <c r="U1001" s="364">
        <f t="shared" ca="1" si="437"/>
        <v>0</v>
      </c>
      <c r="V1001" s="359">
        <f t="shared" ca="1" si="438"/>
        <v>1.2253586507526255</v>
      </c>
      <c r="W1001" s="357">
        <f t="shared" ca="1" si="439"/>
        <v>78.529089242121444</v>
      </c>
      <c r="X1001" s="343"/>
      <c r="Y1001" s="367" t="str">
        <f t="shared" ca="1" si="457"/>
        <v/>
      </c>
      <c r="Z1001" s="368" t="str">
        <f t="shared" ca="1" si="458"/>
        <v/>
      </c>
      <c r="AA1001" s="369" t="str">
        <f t="shared" ca="1" si="459"/>
        <v/>
      </c>
      <c r="AB1001" s="344"/>
      <c r="AC1001" s="363" t="e">
        <f t="shared" ca="1" si="460"/>
        <v>#N/A</v>
      </c>
      <c r="AD1001" s="376" t="e">
        <f t="shared" ca="1" si="461"/>
        <v>#N/A</v>
      </c>
      <c r="AE1001" s="377" t="e">
        <f t="shared" ca="1" si="440"/>
        <v>#N/A</v>
      </c>
      <c r="AF1001" s="344"/>
      <c r="AG1001" s="359">
        <f t="shared" ca="1" si="462"/>
        <v>1.6039122784547182</v>
      </c>
      <c r="AH1001" s="357">
        <f t="shared" ca="1" si="463"/>
        <v>-8.147832349187448</v>
      </c>
    </row>
    <row r="1002" spans="1:34" x14ac:dyDescent="0.25">
      <c r="A1002" s="402">
        <f t="shared" ca="1" si="441"/>
        <v>1E-4</v>
      </c>
      <c r="B1002" s="357">
        <f t="shared" ca="1" si="442"/>
        <v>49.305500000000549</v>
      </c>
      <c r="C1002" s="342"/>
      <c r="D1002" s="359">
        <f t="shared" ca="1" si="443"/>
        <v>-0.8866330136378906</v>
      </c>
      <c r="E1002" s="360">
        <f t="shared" ca="1" si="444"/>
        <v>-1.7105229119376446</v>
      </c>
      <c r="F1002" s="357">
        <f t="shared" ca="1" si="445"/>
        <v>1.9266568799701329</v>
      </c>
      <c r="G1002" s="359">
        <f t="shared" ca="1" si="446"/>
        <v>18.310154855495067</v>
      </c>
      <c r="H1002" s="360">
        <f t="shared" ca="1" si="447"/>
        <v>-167.26599081783237</v>
      </c>
      <c r="I1002" s="357">
        <f t="shared" ca="1" si="448"/>
        <v>168.26518788835494</v>
      </c>
      <c r="J1002" s="359">
        <f t="shared" ca="1" si="449"/>
        <v>1789.3751464685777</v>
      </c>
      <c r="K1002" s="360">
        <f t="shared" ca="1" si="450"/>
        <v>-2.9440593098877743</v>
      </c>
      <c r="L1002" s="357">
        <f t="shared" ca="1" si="435"/>
        <v>1789.3775683976437</v>
      </c>
      <c r="M1002" s="359">
        <f t="shared" ca="1" si="451"/>
        <v>-1.4617631709417174</v>
      </c>
      <c r="N1002" s="357">
        <f t="shared" ca="1" si="452"/>
        <v>-83.752860342620707</v>
      </c>
      <c r="O1002" s="343"/>
      <c r="P1002" s="363">
        <f t="shared" ca="1" si="453"/>
        <v>23</v>
      </c>
      <c r="Q1002" s="357">
        <f t="shared" ca="1" si="454"/>
        <v>0</v>
      </c>
      <c r="R1002" s="359">
        <f t="shared" ca="1" si="455"/>
        <v>0</v>
      </c>
      <c r="S1002" s="360">
        <f t="shared" ca="1" si="456"/>
        <v>9.637999999999975</v>
      </c>
      <c r="T1002" s="357">
        <f t="shared" ca="1" si="436"/>
        <v>94.548779999999766</v>
      </c>
      <c r="U1002" s="364">
        <f t="shared" ca="1" si="437"/>
        <v>0</v>
      </c>
      <c r="V1002" s="359">
        <f t="shared" ca="1" si="438"/>
        <v>1.2253607003616243</v>
      </c>
      <c r="W1002" s="357">
        <f t="shared" ca="1" si="439"/>
        <v>78.529370301113332</v>
      </c>
      <c r="X1002" s="343"/>
      <c r="Y1002" s="367" t="str">
        <f t="shared" ca="1" si="457"/>
        <v/>
      </c>
      <c r="Z1002" s="368" t="str">
        <f t="shared" ca="1" si="458"/>
        <v/>
      </c>
      <c r="AA1002" s="369" t="str">
        <f t="shared" ca="1" si="459"/>
        <v/>
      </c>
      <c r="AB1002" s="344"/>
      <c r="AC1002" s="363" t="e">
        <f t="shared" ca="1" si="460"/>
        <v>#N/A</v>
      </c>
      <c r="AD1002" s="376" t="e">
        <f t="shared" ca="1" si="461"/>
        <v>#N/A</v>
      </c>
      <c r="AE1002" s="377" t="e">
        <f t="shared" ca="1" si="440"/>
        <v>#N/A</v>
      </c>
      <c r="AF1002" s="344"/>
      <c r="AG1002" s="359">
        <f t="shared" ca="1" si="462"/>
        <v>1.603883793984286</v>
      </c>
      <c r="AH1002" s="357">
        <f t="shared" ca="1" si="463"/>
        <v>-8.1478615109069974</v>
      </c>
    </row>
    <row r="1003" spans="1:34" x14ac:dyDescent="0.25">
      <c r="A1003" s="402">
        <f t="shared" ca="1" si="441"/>
        <v>1E-4</v>
      </c>
      <c r="B1003" s="357">
        <f t="shared" ca="1" si="442"/>
        <v>49.305600000000553</v>
      </c>
      <c r="C1003" s="342"/>
      <c r="D1003" s="359">
        <f t="shared" ca="1" si="443"/>
        <v>-0.88663104846896879</v>
      </c>
      <c r="E1003" s="360">
        <f t="shared" ca="1" si="444"/>
        <v>-1.7104933610647066</v>
      </c>
      <c r="F1003" s="357">
        <f t="shared" ca="1" si="445"/>
        <v>1.9266297398191536</v>
      </c>
      <c r="G1003" s="359">
        <f t="shared" ca="1" si="446"/>
        <v>18.31006619239022</v>
      </c>
      <c r="H1003" s="360">
        <f t="shared" ca="1" si="447"/>
        <v>-167.26616186716848</v>
      </c>
      <c r="I1003" s="357">
        <f t="shared" ca="1" si="448"/>
        <v>168.26534827391978</v>
      </c>
      <c r="J1003" s="359">
        <f t="shared" ca="1" si="449"/>
        <v>1789.3751464685777</v>
      </c>
      <c r="K1003" s="360">
        <f t="shared" ca="1" si="450"/>
        <v>-2.9607859175220241</v>
      </c>
      <c r="L1003" s="357">
        <f t="shared" ca="1" si="435"/>
        <v>1789.3775959960751</v>
      </c>
      <c r="M1003" s="359">
        <f t="shared" ca="1" si="451"/>
        <v>-1.4617638053546991</v>
      </c>
      <c r="N1003" s="357">
        <f t="shared" ca="1" si="452"/>
        <v>-83.752896691807024</v>
      </c>
      <c r="O1003" s="343"/>
      <c r="P1003" s="363">
        <f t="shared" ca="1" si="453"/>
        <v>23</v>
      </c>
      <c r="Q1003" s="357">
        <f t="shared" ca="1" si="454"/>
        <v>0</v>
      </c>
      <c r="R1003" s="359">
        <f t="shared" ca="1" si="455"/>
        <v>0</v>
      </c>
      <c r="S1003" s="360">
        <f t="shared" ca="1" si="456"/>
        <v>9.637999999999975</v>
      </c>
      <c r="T1003" s="357">
        <f t="shared" ca="1" si="436"/>
        <v>94.548779999999766</v>
      </c>
      <c r="U1003" s="364">
        <f t="shared" ca="1" si="437"/>
        <v>0</v>
      </c>
      <c r="V1003" s="359">
        <f ca="1">Rho_moyen*(20000-Alt_rampe-pos_z)/(20000+Alt_rampe+pos_z)</f>
        <v>1.2253627499761477</v>
      </c>
      <c r="W1003" s="357">
        <f t="shared" ca="1" si="439"/>
        <v>78.529651358444056</v>
      </c>
      <c r="X1003" s="343"/>
      <c r="Y1003" s="367" t="str">
        <f t="shared" ca="1" si="457"/>
        <v/>
      </c>
      <c r="Z1003" s="368" t="str">
        <f t="shared" ca="1" si="458"/>
        <v/>
      </c>
      <c r="AA1003" s="369" t="str">
        <f t="shared" ca="1" si="459"/>
        <v/>
      </c>
      <c r="AB1003" s="344"/>
      <c r="AC1003" s="363" t="e">
        <f t="shared" ca="1" si="460"/>
        <v>#N/A</v>
      </c>
      <c r="AD1003" s="376" t="e">
        <f t="shared" ca="1" si="461"/>
        <v>#N/A</v>
      </c>
      <c r="AE1003" s="377" t="e">
        <f t="shared" ca="1" si="440"/>
        <v>#N/A</v>
      </c>
      <c r="AF1003" s="344"/>
      <c r="AG1003" s="359">
        <f t="shared" ca="1" si="462"/>
        <v>1.6038553096777104</v>
      </c>
      <c r="AH1003" s="357">
        <f t="shared" ca="1" si="463"/>
        <v>-8.1478906724541957</v>
      </c>
    </row>
    <row r="1004" spans="1:34" x14ac:dyDescent="0.25">
      <c r="A1004" s="403">
        <f t="shared" ca="1" si="441"/>
        <v>1E-4</v>
      </c>
      <c r="B1004" s="358">
        <f t="shared" ca="1" si="442"/>
        <v>49.305700000000556</v>
      </c>
      <c r="C1004" s="342"/>
      <c r="D1004" s="361">
        <f t="shared" ca="1" si="443"/>
        <v>-0.88662908327883128</v>
      </c>
      <c r="E1004" s="362">
        <f t="shared" ca="1" si="444"/>
        <v>-1.7104638103661305</v>
      </c>
      <c r="F1004" s="358">
        <f t="shared" ca="1" si="445"/>
        <v>1.9266025998861527</v>
      </c>
      <c r="G1004" s="361">
        <f t="shared" ca="1" si="446"/>
        <v>18.309977529481891</v>
      </c>
      <c r="H1004" s="362">
        <f t="shared" ca="1" si="447"/>
        <v>-167.26633291354952</v>
      </c>
      <c r="I1004" s="358">
        <f t="shared" ca="1" si="448"/>
        <v>168.2655086566362</v>
      </c>
      <c r="J1004" s="361">
        <f t="shared" ca="1" si="449"/>
        <v>1789.3751464685777</v>
      </c>
      <c r="K1004" s="362">
        <f t="shared" ca="1" si="450"/>
        <v>-2.97751254226106</v>
      </c>
      <c r="L1004" s="358">
        <f t="shared" ca="1" si="435"/>
        <v>1789.3776237508905</v>
      </c>
      <c r="M1004" s="361">
        <f t="shared" ca="1" si="451"/>
        <v>-1.4617644397633993</v>
      </c>
      <c r="N1004" s="358">
        <f t="shared" ca="1" si="452"/>
        <v>-83.752933040748033</v>
      </c>
      <c r="O1004" s="343"/>
      <c r="P1004" s="365">
        <f t="shared" ca="1" si="453"/>
        <v>23</v>
      </c>
      <c r="Q1004" s="358">
        <f t="shared" ca="1" si="454"/>
        <v>0</v>
      </c>
      <c r="R1004" s="361">
        <f t="shared" ca="1" si="455"/>
        <v>0</v>
      </c>
      <c r="S1004" s="362">
        <f t="shared" ca="1" si="456"/>
        <v>9.637999999999975</v>
      </c>
      <c r="T1004" s="358">
        <f t="shared" ca="1" si="436"/>
        <v>94.548779999999766</v>
      </c>
      <c r="U1004" s="366">
        <f t="shared" ca="1" si="437"/>
        <v>0</v>
      </c>
      <c r="V1004" s="361">
        <f t="shared" ca="1" si="438"/>
        <v>1.2253647995961956</v>
      </c>
      <c r="W1004" s="358">
        <f ca="1">1/2*Rho*Sref*Cx*vit_xz^2</f>
        <v>78.529932414113603</v>
      </c>
      <c r="X1004" s="343"/>
      <c r="Y1004" s="370" t="str">
        <f ca="1">IF(AND(pos_z&lt;=0,K1003&gt;0),"Impact balistique","") &amp; IF(AND(H1005&lt;0,vit_z&gt;=0),"Apogée","") &amp; IF(AND(Poussee=0,Q1003&gt;0),"Fin de propulsion","") &amp; IF(AND(L1005&gt;L_rampe,pos_xz&lt;=L_rampe),"Sortie de rampe","")</f>
        <v/>
      </c>
      <c r="Z1004" s="371" t="str">
        <f t="shared" ca="1" si="458"/>
        <v/>
      </c>
      <c r="AA1004" s="372" t="str">
        <f t="shared" ca="1" si="459"/>
        <v/>
      </c>
      <c r="AB1004" s="344"/>
      <c r="AC1004" s="365" t="e">
        <f t="shared" ca="1" si="460"/>
        <v>#N/A</v>
      </c>
      <c r="AD1004" s="378" t="e">
        <f t="shared" ca="1" si="461"/>
        <v>#N/A</v>
      </c>
      <c r="AE1004" s="379" t="e">
        <f t="shared" ca="1" si="440"/>
        <v>#N/A</v>
      </c>
      <c r="AF1004" s="344"/>
      <c r="AG1004" s="361">
        <f t="shared" ca="1" si="462"/>
        <v>1.6038268255349966</v>
      </c>
      <c r="AH1004" s="358">
        <f t="shared" ca="1" si="463"/>
        <v>-8.1479198338290377</v>
      </c>
    </row>
    <row r="1005" spans="1:34" x14ac:dyDescent="0.25">
      <c r="Y1005" s="356"/>
    </row>
    <row r="1010" spans="12:12" x14ac:dyDescent="0.25">
      <c r="L1010"/>
    </row>
    <row r="1034" spans="5:25" x14ac:dyDescent="0.25">
      <c r="E1034" s="353" t="s">
        <v>255</v>
      </c>
      <c r="J1034" s="354" t="s">
        <v>247</v>
      </c>
      <c r="T1034" s="353" t="s">
        <v>246</v>
      </c>
      <c r="Y1034" s="355" t="s">
        <v>249</v>
      </c>
    </row>
    <row r="1035" spans="5:25" x14ac:dyDescent="0.25">
      <c r="E1035" s="352" t="s">
        <v>259</v>
      </c>
    </row>
    <row r="1036" spans="5:25" x14ac:dyDescent="0.25">
      <c r="E1036" s="352"/>
      <c r="T1036" s="352" t="s">
        <v>252</v>
      </c>
    </row>
    <row r="1037" spans="5:25" x14ac:dyDescent="0.25">
      <c r="E1037" s="352"/>
      <c r="T1037" s="352" t="s">
        <v>256</v>
      </c>
    </row>
    <row r="1038" spans="5:25" x14ac:dyDescent="0.25">
      <c r="E1038" s="352"/>
      <c r="T1038" s="352" t="s">
        <v>257</v>
      </c>
    </row>
    <row r="1039" spans="5:25" x14ac:dyDescent="0.25">
      <c r="E1039" s="352"/>
      <c r="T1039" s="352" t="s">
        <v>263</v>
      </c>
    </row>
    <row r="1040" spans="5:25" x14ac:dyDescent="0.25">
      <c r="E1040" s="352" t="s">
        <v>258</v>
      </c>
      <c r="T1040" s="352" t="s">
        <v>248</v>
      </c>
    </row>
    <row r="1041" spans="5:20" x14ac:dyDescent="0.25">
      <c r="E1041" s="352"/>
      <c r="T1041" s="352" t="s">
        <v>264</v>
      </c>
    </row>
    <row r="1042" spans="5:20" x14ac:dyDescent="0.25">
      <c r="E1042" s="352"/>
      <c r="R1042" s="356"/>
      <c r="T1042" s="352"/>
    </row>
    <row r="1043" spans="5:20" x14ac:dyDescent="0.25">
      <c r="E1043" s="352"/>
    </row>
    <row r="1044" spans="5:20" x14ac:dyDescent="0.25">
      <c r="E1044" s="352"/>
    </row>
    <row r="1045" spans="5:20" x14ac:dyDescent="0.25">
      <c r="E1045" s="352" t="s">
        <v>261</v>
      </c>
      <c r="R1045" s="356"/>
      <c r="T1045" s="352"/>
    </row>
    <row r="1046" spans="5:20" x14ac:dyDescent="0.25">
      <c r="E1046" s="352"/>
    </row>
    <row r="1047" spans="5:20" x14ac:dyDescent="0.25">
      <c r="E1047" s="352"/>
    </row>
    <row r="1048" spans="5:20" x14ac:dyDescent="0.25">
      <c r="E1048" s="352"/>
      <c r="T1048" s="351" t="s">
        <v>254</v>
      </c>
    </row>
    <row r="1049" spans="5:20" x14ac:dyDescent="0.25">
      <c r="E1049" s="352"/>
    </row>
    <row r="1050" spans="5:20" x14ac:dyDescent="0.25">
      <c r="E1050" s="352" t="s">
        <v>262</v>
      </c>
    </row>
    <row r="1053" spans="5:20" x14ac:dyDescent="0.25">
      <c r="T1053" s="351" t="s">
        <v>269</v>
      </c>
    </row>
    <row r="1055" spans="5:20" x14ac:dyDescent="0.25">
      <c r="E1055" s="352" t="s">
        <v>251</v>
      </c>
    </row>
    <row r="1058" spans="5:20" x14ac:dyDescent="0.25">
      <c r="T1058" s="352" t="s">
        <v>270</v>
      </c>
    </row>
    <row r="1060" spans="5:20" x14ac:dyDescent="0.25">
      <c r="E1060" s="352" t="s">
        <v>260</v>
      </c>
    </row>
    <row r="1061" spans="5:20" x14ac:dyDescent="0.25">
      <c r="E1061" s="352"/>
    </row>
    <row r="1062" spans="5:20" x14ac:dyDescent="0.25">
      <c r="E1062" s="352"/>
    </row>
    <row r="1063" spans="5:20" x14ac:dyDescent="0.25">
      <c r="E1063" s="352"/>
    </row>
    <row r="1064" spans="5:20" x14ac:dyDescent="0.25">
      <c r="E1064" s="352"/>
    </row>
    <row r="1065" spans="5:20" x14ac:dyDescent="0.25">
      <c r="E1065" s="352" t="s">
        <v>250</v>
      </c>
    </row>
    <row r="1066" spans="5:20" x14ac:dyDescent="0.25">
      <c r="E1066" s="352"/>
    </row>
    <row r="1067" spans="5:20" x14ac:dyDescent="0.25">
      <c r="E1067" s="352"/>
    </row>
    <row r="1068" spans="5:20" x14ac:dyDescent="0.25">
      <c r="E1068" s="352"/>
    </row>
    <row r="1069" spans="5:20" x14ac:dyDescent="0.25">
      <c r="E1069" s="352"/>
    </row>
    <row r="1070" spans="5:20" x14ac:dyDescent="0.25">
      <c r="E1070" s="352" t="s">
        <v>253</v>
      </c>
    </row>
    <row r="1071" spans="5:20" x14ac:dyDescent="0.25">
      <c r="E1071" s="352"/>
    </row>
    <row r="1072" spans="5:20" x14ac:dyDescent="0.25">
      <c r="E1072" s="352"/>
    </row>
    <row r="1073" spans="5:5" x14ac:dyDescent="0.25">
      <c r="E1073" s="352"/>
    </row>
    <row r="1074" spans="5:5" x14ac:dyDescent="0.25">
      <c r="E1074" s="352"/>
    </row>
    <row r="1075" spans="5:5" x14ac:dyDescent="0.25">
      <c r="E1075" s="352" t="s">
        <v>265</v>
      </c>
    </row>
  </sheetData>
  <sheetProtection password="C6AC" sheet="1"/>
  <mergeCells count="5">
    <mergeCell ref="D1:N1"/>
    <mergeCell ref="P1:W1"/>
    <mergeCell ref="AG1:AH1"/>
    <mergeCell ref="Y2:AA2"/>
    <mergeCell ref="AC1:AE1"/>
  </mergeCells>
  <phoneticPr fontId="8" type="noConversion"/>
  <conditionalFormatting sqref="A4:XFD1004">
    <cfRule type="expression" dxfId="5" priority="7" stopIfTrue="1">
      <formula>OR($Y4="Sortie de rampe",$Z4="Para")</formula>
    </cfRule>
    <cfRule type="expression" dxfId="4" priority="8" stopIfTrue="1">
      <formula>OR($Y4="Fin de propulsion",$Y4="Impact balistique",$AA4="Satellite")</formula>
    </cfRule>
    <cfRule type="expression" dxfId="3" priority="9" stopIfTrue="1">
      <formula>$Y4="Apogée"</formula>
    </cfRule>
  </conditionalFormatting>
  <hyperlinks>
    <hyperlink ref="J1034" r:id="rId1" xr:uid="{00000000-0004-0000-0400-000000000000}"/>
    <hyperlink ref="Y1034" r:id="rId2" xr:uid="{00000000-0004-0000-0400-000001000000}"/>
  </hyperlinks>
  <pageMargins left="0.39370078740157483" right="0.39370078740157483" top="0.39370078740157483" bottom="0.39370078740157483" header="0" footer="0"/>
  <pageSetup paperSize="9" scale="29" firstPageNumber="0" fitToHeight="5" orientation="portrait" horizontalDpi="300" verticalDpi="300" r:id="rId3"/>
  <headerFooter alignWithMargins="0"/>
  <drawing r:id="rId4"/>
  <legacyDrawing r:id="rId5"/>
  <oleObjects>
    <mc:AlternateContent xmlns:mc="http://schemas.openxmlformats.org/markup-compatibility/2006">
      <mc:Choice Requires="x14">
        <oleObject progId="Equation.3" shapeId="3091" r:id="rId6">
          <objectPr defaultSize="0" autoPict="0" r:id="rId7">
            <anchor moveWithCells="1">
              <from>
                <xdr:col>18</xdr:col>
                <xdr:colOff>15240</xdr:colOff>
                <xdr:row>1010</xdr:row>
                <xdr:rowOff>99060</xdr:rowOff>
              </from>
              <to>
                <xdr:col>20</xdr:col>
                <xdr:colOff>289560</xdr:colOff>
                <xdr:row>1013</xdr:row>
                <xdr:rowOff>22860</xdr:rowOff>
              </to>
            </anchor>
          </objectPr>
        </oleObject>
      </mc:Choice>
      <mc:Fallback>
        <oleObject progId="Equation.3" shapeId="3091" r:id="rId6"/>
      </mc:Fallback>
    </mc:AlternateContent>
    <mc:AlternateContent xmlns:mc="http://schemas.openxmlformats.org/markup-compatibility/2006">
      <mc:Choice Requires="x14">
        <oleObject progId="Equation.3" shapeId="3092" r:id="rId8">
          <objectPr defaultSize="0" autoPict="0" r:id="rId9">
            <anchor moveWithCells="1">
              <from>
                <xdr:col>21</xdr:col>
                <xdr:colOff>22860</xdr:colOff>
                <xdr:row>1024</xdr:row>
                <xdr:rowOff>160020</xdr:rowOff>
              </from>
              <to>
                <xdr:col>25</xdr:col>
                <xdr:colOff>457200</xdr:colOff>
                <xdr:row>1026</xdr:row>
                <xdr:rowOff>76200</xdr:rowOff>
              </to>
            </anchor>
          </objectPr>
        </oleObject>
      </mc:Choice>
      <mc:Fallback>
        <oleObject progId="Equation.3" shapeId="3092" r:id="rId8"/>
      </mc:Fallback>
    </mc:AlternateContent>
    <mc:AlternateContent xmlns:mc="http://schemas.openxmlformats.org/markup-compatibility/2006">
      <mc:Choice Requires="x14">
        <oleObject progId="Equation.3" shapeId="3096" r:id="rId10">
          <objectPr defaultSize="0" autoPict="0" r:id="rId11">
            <anchor moveWithCells="1">
              <from>
                <xdr:col>16</xdr:col>
                <xdr:colOff>251460</xdr:colOff>
                <xdr:row>1006</xdr:row>
                <xdr:rowOff>22860</xdr:rowOff>
              </from>
              <to>
                <xdr:col>24</xdr:col>
                <xdr:colOff>152400</xdr:colOff>
                <xdr:row>1007</xdr:row>
                <xdr:rowOff>99060</xdr:rowOff>
              </to>
            </anchor>
          </objectPr>
        </oleObject>
      </mc:Choice>
      <mc:Fallback>
        <oleObject progId="Equation.3" shapeId="3096" r:id="rId10"/>
      </mc:Fallback>
    </mc:AlternateContent>
    <mc:AlternateContent xmlns:mc="http://schemas.openxmlformats.org/markup-compatibility/2006">
      <mc:Choice Requires="x14">
        <oleObject progId="Equation.3" shapeId="3112" r:id="rId12">
          <objectPr defaultSize="0" autoPict="0" r:id="rId13">
            <anchor moveWithCells="1">
              <from>
                <xdr:col>7</xdr:col>
                <xdr:colOff>15240</xdr:colOff>
                <xdr:row>1017</xdr:row>
                <xdr:rowOff>167640</xdr:rowOff>
              </from>
              <to>
                <xdr:col>10</xdr:col>
                <xdr:colOff>586740</xdr:colOff>
                <xdr:row>1019</xdr:row>
                <xdr:rowOff>137160</xdr:rowOff>
              </to>
            </anchor>
          </objectPr>
        </oleObject>
      </mc:Choice>
      <mc:Fallback>
        <oleObject progId="Equation.3" shapeId="3112" r:id="rId12"/>
      </mc:Fallback>
    </mc:AlternateContent>
    <mc:AlternateContent xmlns:mc="http://schemas.openxmlformats.org/markup-compatibility/2006">
      <mc:Choice Requires="x14">
        <oleObject progId="Equation.3" shapeId="3114" r:id="rId14">
          <objectPr defaultSize="0" autoPict="0" r:id="rId15">
            <anchor moveWithCells="1">
              <from>
                <xdr:col>7</xdr:col>
                <xdr:colOff>15240</xdr:colOff>
                <xdr:row>1014</xdr:row>
                <xdr:rowOff>175260</xdr:rowOff>
              </from>
              <to>
                <xdr:col>11</xdr:col>
                <xdr:colOff>266700</xdr:colOff>
                <xdr:row>1016</xdr:row>
                <xdr:rowOff>68580</xdr:rowOff>
              </to>
            </anchor>
          </objectPr>
        </oleObject>
      </mc:Choice>
      <mc:Fallback>
        <oleObject progId="Equation.3" shapeId="3114" r:id="rId14"/>
      </mc:Fallback>
    </mc:AlternateContent>
    <mc:AlternateContent xmlns:mc="http://schemas.openxmlformats.org/markup-compatibility/2006">
      <mc:Choice Requires="x14">
        <oleObject progId="Equation.3" shapeId="3115" r:id="rId16">
          <objectPr defaultSize="0" autoPict="0" r:id="rId17">
            <anchor moveWithCells="1">
              <from>
                <xdr:col>7</xdr:col>
                <xdr:colOff>15240</xdr:colOff>
                <xdr:row>1016</xdr:row>
                <xdr:rowOff>76200</xdr:rowOff>
              </from>
              <to>
                <xdr:col>11</xdr:col>
                <xdr:colOff>236220</xdr:colOff>
                <xdr:row>1017</xdr:row>
                <xdr:rowOff>160020</xdr:rowOff>
              </to>
            </anchor>
          </objectPr>
        </oleObject>
      </mc:Choice>
      <mc:Fallback>
        <oleObject progId="Equation.3" shapeId="3115" r:id="rId16"/>
      </mc:Fallback>
    </mc:AlternateContent>
    <mc:AlternateContent xmlns:mc="http://schemas.openxmlformats.org/markup-compatibility/2006">
      <mc:Choice Requires="x14">
        <oleObject progId="Equation.3" shapeId="3119" r:id="rId18">
          <objectPr defaultSize="0" autoPict="0" r:id="rId19">
            <anchor moveWithCells="1">
              <from>
                <xdr:col>10</xdr:col>
                <xdr:colOff>0</xdr:colOff>
                <xdr:row>1022</xdr:row>
                <xdr:rowOff>68580</xdr:rowOff>
              </from>
              <to>
                <xdr:col>17</xdr:col>
                <xdr:colOff>274320</xdr:colOff>
                <xdr:row>1024</xdr:row>
                <xdr:rowOff>167640</xdr:rowOff>
              </to>
            </anchor>
          </objectPr>
        </oleObject>
      </mc:Choice>
      <mc:Fallback>
        <oleObject progId="Equation.3" shapeId="3119" r:id="rId18"/>
      </mc:Fallback>
    </mc:AlternateContent>
    <mc:AlternateContent xmlns:mc="http://schemas.openxmlformats.org/markup-compatibility/2006">
      <mc:Choice Requires="x14">
        <oleObject progId="Equation.3" shapeId="3120" r:id="rId20">
          <objectPr defaultSize="0" autoPict="0" r:id="rId21">
            <anchor moveWithCells="1">
              <from>
                <xdr:col>4</xdr:col>
                <xdr:colOff>0</xdr:colOff>
                <xdr:row>1008</xdr:row>
                <xdr:rowOff>0</xdr:rowOff>
              </from>
              <to>
                <xdr:col>11</xdr:col>
                <xdr:colOff>236220</xdr:colOff>
                <xdr:row>1010</xdr:row>
                <xdr:rowOff>91440</xdr:rowOff>
              </to>
            </anchor>
          </objectPr>
        </oleObject>
      </mc:Choice>
      <mc:Fallback>
        <oleObject progId="Equation.3" shapeId="3120" r:id="rId20"/>
      </mc:Fallback>
    </mc:AlternateContent>
    <mc:AlternateContent xmlns:mc="http://schemas.openxmlformats.org/markup-compatibility/2006">
      <mc:Choice Requires="x14">
        <oleObject progId="Equation.3" shapeId="3121" r:id="rId22">
          <objectPr defaultSize="0" autoPict="0" r:id="rId23">
            <anchor moveWithCells="1">
              <from>
                <xdr:col>4</xdr:col>
                <xdr:colOff>0</xdr:colOff>
                <xdr:row>1010</xdr:row>
                <xdr:rowOff>99060</xdr:rowOff>
              </from>
              <to>
                <xdr:col>12</xdr:col>
                <xdr:colOff>243840</xdr:colOff>
                <xdr:row>1013</xdr:row>
                <xdr:rowOff>0</xdr:rowOff>
              </to>
            </anchor>
          </objectPr>
        </oleObject>
      </mc:Choice>
      <mc:Fallback>
        <oleObject progId="Equation.3" shapeId="3121" r:id="rId22"/>
      </mc:Fallback>
    </mc:AlternateContent>
    <mc:AlternateContent xmlns:mc="http://schemas.openxmlformats.org/markup-compatibility/2006">
      <mc:Choice Requires="x14">
        <oleObject progId="Equation.3" shapeId="3122" r:id="rId24">
          <objectPr defaultSize="0" autoPict="0" r:id="rId25">
            <anchor moveWithCells="1">
              <from>
                <xdr:col>1</xdr:col>
                <xdr:colOff>15240</xdr:colOff>
                <xdr:row>1006</xdr:row>
                <xdr:rowOff>99060</xdr:rowOff>
              </from>
              <to>
                <xdr:col>3</xdr:col>
                <xdr:colOff>541020</xdr:colOff>
                <xdr:row>1007</xdr:row>
                <xdr:rowOff>175260</xdr:rowOff>
              </to>
            </anchor>
          </objectPr>
        </oleObject>
      </mc:Choice>
      <mc:Fallback>
        <oleObject progId="Equation.3" shapeId="3122" r:id="rId24"/>
      </mc:Fallback>
    </mc:AlternateContent>
    <mc:AlternateContent xmlns:mc="http://schemas.openxmlformats.org/markup-compatibility/2006">
      <mc:Choice Requires="x14">
        <oleObject progId="Equation.3" shapeId="3124" r:id="rId26">
          <objectPr defaultSize="0" autoPict="0" r:id="rId27">
            <anchor moveWithCells="1">
              <from>
                <xdr:col>10</xdr:col>
                <xdr:colOff>0</xdr:colOff>
                <xdr:row>1024</xdr:row>
                <xdr:rowOff>175260</xdr:rowOff>
              </from>
              <to>
                <xdr:col>16</xdr:col>
                <xdr:colOff>0</xdr:colOff>
                <xdr:row>1026</xdr:row>
                <xdr:rowOff>144780</xdr:rowOff>
              </to>
            </anchor>
          </objectPr>
        </oleObject>
      </mc:Choice>
      <mc:Fallback>
        <oleObject progId="Equation.3" shapeId="3124" r:id="rId26"/>
      </mc:Fallback>
    </mc:AlternateContent>
    <mc:AlternateContent xmlns:mc="http://schemas.openxmlformats.org/markup-compatibility/2006">
      <mc:Choice Requires="x14">
        <oleObject progId="Equation.3" shapeId="3125" r:id="rId28">
          <objectPr defaultSize="0" autoPict="0" r:id="rId29">
            <anchor moveWithCells="1">
              <from>
                <xdr:col>18</xdr:col>
                <xdr:colOff>15240</xdr:colOff>
                <xdr:row>1013</xdr:row>
                <xdr:rowOff>30480</xdr:rowOff>
              </from>
              <to>
                <xdr:col>21</xdr:col>
                <xdr:colOff>22860</xdr:colOff>
                <xdr:row>1014</xdr:row>
                <xdr:rowOff>114300</xdr:rowOff>
              </to>
            </anchor>
          </objectPr>
        </oleObject>
      </mc:Choice>
      <mc:Fallback>
        <oleObject progId="Equation.3" shapeId="3125" r:id="rId28"/>
      </mc:Fallback>
    </mc:AlternateContent>
    <mc:AlternateContent xmlns:mc="http://schemas.openxmlformats.org/markup-compatibility/2006">
      <mc:Choice Requires="x14">
        <oleObject progId="Equation.3" shapeId="3127" r:id="rId30">
          <objectPr defaultSize="0" autoPict="0" r:id="rId31">
            <anchor moveWithCells="1">
              <from>
                <xdr:col>1</xdr:col>
                <xdr:colOff>15240</xdr:colOff>
                <xdr:row>1005</xdr:row>
                <xdr:rowOff>15240</xdr:rowOff>
              </from>
              <to>
                <xdr:col>10</xdr:col>
                <xdr:colOff>403860</xdr:colOff>
                <xdr:row>1006</xdr:row>
                <xdr:rowOff>91440</xdr:rowOff>
              </to>
            </anchor>
          </objectPr>
        </oleObject>
      </mc:Choice>
      <mc:Fallback>
        <oleObject progId="Equation.3" shapeId="3127" r:id="rId30"/>
      </mc:Fallback>
    </mc:AlternateContent>
    <mc:AlternateContent xmlns:mc="http://schemas.openxmlformats.org/markup-compatibility/2006">
      <mc:Choice Requires="x14">
        <oleObject progId="Equation.3" shapeId="3129" r:id="rId32">
          <objectPr defaultSize="0" autoPict="0" r:id="rId33">
            <anchor moveWithCells="1">
              <from>
                <xdr:col>4</xdr:col>
                <xdr:colOff>0</xdr:colOff>
                <xdr:row>1013</xdr:row>
                <xdr:rowOff>15240</xdr:rowOff>
              </from>
              <to>
                <xdr:col>8</xdr:col>
                <xdr:colOff>190500</xdr:colOff>
                <xdr:row>1014</xdr:row>
                <xdr:rowOff>167640</xdr:rowOff>
              </to>
            </anchor>
          </objectPr>
        </oleObject>
      </mc:Choice>
      <mc:Fallback>
        <oleObject progId="Equation.3" shapeId="3129" r:id="rId32"/>
      </mc:Fallback>
    </mc:AlternateContent>
    <mc:AlternateContent xmlns:mc="http://schemas.openxmlformats.org/markup-compatibility/2006">
      <mc:Choice Requires="x14">
        <oleObject progId="Equation.3" shapeId="3131" r:id="rId34">
          <objectPr defaultSize="0" autoPict="0" r:id="rId35">
            <anchor moveWithCells="1">
              <from>
                <xdr:col>20</xdr:col>
                <xdr:colOff>15240</xdr:colOff>
                <xdr:row>1018</xdr:row>
                <xdr:rowOff>53340</xdr:rowOff>
              </from>
              <to>
                <xdr:col>24</xdr:col>
                <xdr:colOff>1082040</xdr:colOff>
                <xdr:row>1019</xdr:row>
                <xdr:rowOff>137160</xdr:rowOff>
              </to>
            </anchor>
          </objectPr>
        </oleObject>
      </mc:Choice>
      <mc:Fallback>
        <oleObject progId="Equation.3" shapeId="3131" r:id="rId34"/>
      </mc:Fallback>
    </mc:AlternateContent>
    <mc:AlternateContent xmlns:mc="http://schemas.openxmlformats.org/markup-compatibility/2006">
      <mc:Choice Requires="x14">
        <oleObject progId="Equation.3" shapeId="3134" r:id="rId36">
          <objectPr defaultSize="0" autoPict="0" r:id="rId37">
            <anchor moveWithCells="1">
              <from>
                <xdr:col>10</xdr:col>
                <xdr:colOff>0</xdr:colOff>
                <xdr:row>1019</xdr:row>
                <xdr:rowOff>144780</xdr:rowOff>
              </from>
              <to>
                <xdr:col>20</xdr:col>
                <xdr:colOff>579120</xdr:colOff>
                <xdr:row>1022</xdr:row>
                <xdr:rowOff>53340</xdr:rowOff>
              </to>
            </anchor>
          </objectPr>
        </oleObject>
      </mc:Choice>
      <mc:Fallback>
        <oleObject progId="Equation.3" shapeId="3134" r:id="rId36"/>
      </mc:Fallback>
    </mc:AlternateContent>
    <mc:AlternateContent xmlns:mc="http://schemas.openxmlformats.org/markup-compatibility/2006">
      <mc:Choice Requires="x14">
        <oleObject progId="Equation.3" shapeId="3135" r:id="rId38">
          <objectPr defaultSize="0" autoPict="0" r:id="rId39">
            <anchor moveWithCells="1">
              <from>
                <xdr:col>12</xdr:col>
                <xdr:colOff>0</xdr:colOff>
                <xdr:row>1018</xdr:row>
                <xdr:rowOff>53340</xdr:rowOff>
              </from>
              <to>
                <xdr:col>19</xdr:col>
                <xdr:colOff>182880</xdr:colOff>
                <xdr:row>1019</xdr:row>
                <xdr:rowOff>137160</xdr:rowOff>
              </to>
            </anchor>
          </objectPr>
        </oleObject>
      </mc:Choice>
      <mc:Fallback>
        <oleObject progId="Equation.3" shapeId="3135" r:id="rId38"/>
      </mc:Fallback>
    </mc:AlternateContent>
    <mc:AlternateContent xmlns:mc="http://schemas.openxmlformats.org/markup-compatibility/2006">
      <mc:Choice Requires="x14">
        <oleObject progId="Equation.3" shapeId="3141" r:id="rId40">
          <objectPr defaultSize="0" autoPict="0" r:id="rId41">
            <anchor moveWithCells="1">
              <from>
                <xdr:col>33</xdr:col>
                <xdr:colOff>15240</xdr:colOff>
                <xdr:row>1007</xdr:row>
                <xdr:rowOff>121920</xdr:rowOff>
              </from>
              <to>
                <xdr:col>37</xdr:col>
                <xdr:colOff>281940</xdr:colOff>
                <xdr:row>1010</xdr:row>
                <xdr:rowOff>76200</xdr:rowOff>
              </to>
            </anchor>
          </objectPr>
        </oleObject>
      </mc:Choice>
      <mc:Fallback>
        <oleObject progId="Equation.3" shapeId="3141" r:id="rId40"/>
      </mc:Fallback>
    </mc:AlternateContent>
    <mc:AlternateContent xmlns:mc="http://schemas.openxmlformats.org/markup-compatibility/2006">
      <mc:Choice Requires="x14">
        <oleObject progId="Equation.3" shapeId="3142" r:id="rId42">
          <objectPr defaultSize="0" autoPict="0" r:id="rId43">
            <anchor moveWithCells="1">
              <from>
                <xdr:col>33</xdr:col>
                <xdr:colOff>15240</xdr:colOff>
                <xdr:row>1010</xdr:row>
                <xdr:rowOff>91440</xdr:rowOff>
              </from>
              <to>
                <xdr:col>35</xdr:col>
                <xdr:colOff>723900</xdr:colOff>
                <xdr:row>1013</xdr:row>
                <xdr:rowOff>45720</xdr:rowOff>
              </to>
            </anchor>
          </objectPr>
        </oleObject>
      </mc:Choice>
      <mc:Fallback>
        <oleObject progId="Equation.3" shapeId="3142" r:id="rId42"/>
      </mc:Fallback>
    </mc:AlternateContent>
    <mc:AlternateContent xmlns:mc="http://schemas.openxmlformats.org/markup-compatibility/2006">
      <mc:Choice Requires="x14">
        <oleObject progId="Equation.3" shapeId="3157" r:id="rId44">
          <objectPr defaultSize="0" autoPict="0" r:id="rId45">
            <anchor moveWithCells="1">
              <from>
                <xdr:col>4</xdr:col>
                <xdr:colOff>0</xdr:colOff>
                <xdr:row>1035</xdr:row>
                <xdr:rowOff>22860</xdr:rowOff>
              </from>
              <to>
                <xdr:col>11</xdr:col>
                <xdr:colOff>556260</xdr:colOff>
                <xdr:row>1038</xdr:row>
                <xdr:rowOff>22860</xdr:rowOff>
              </to>
            </anchor>
          </objectPr>
        </oleObject>
      </mc:Choice>
      <mc:Fallback>
        <oleObject progId="Equation.3" shapeId="3157" r:id="rId44"/>
      </mc:Fallback>
    </mc:AlternateContent>
    <mc:AlternateContent xmlns:mc="http://schemas.openxmlformats.org/markup-compatibility/2006">
      <mc:Choice Requires="x14">
        <oleObject progId="Equation.3" shapeId="3158" r:id="rId46">
          <objectPr defaultSize="0" autoPict="0" r:id="rId47">
            <anchor moveWithCells="1">
              <from>
                <xdr:col>4</xdr:col>
                <xdr:colOff>0</xdr:colOff>
                <xdr:row>1040</xdr:row>
                <xdr:rowOff>22860</xdr:rowOff>
              </from>
              <to>
                <xdr:col>12</xdr:col>
                <xdr:colOff>30480</xdr:colOff>
                <xdr:row>1043</xdr:row>
                <xdr:rowOff>22860</xdr:rowOff>
              </to>
            </anchor>
          </objectPr>
        </oleObject>
      </mc:Choice>
      <mc:Fallback>
        <oleObject progId="Equation.3" shapeId="3158" r:id="rId46"/>
      </mc:Fallback>
    </mc:AlternateContent>
    <mc:AlternateContent xmlns:mc="http://schemas.openxmlformats.org/markup-compatibility/2006">
      <mc:Choice Requires="x14">
        <oleObject progId="Equation.3" shapeId="3161" r:id="rId48">
          <objectPr defaultSize="0" autoPict="0" r:id="rId49">
            <anchor moveWithCells="1">
              <from>
                <xdr:col>18</xdr:col>
                <xdr:colOff>15240</xdr:colOff>
                <xdr:row>1014</xdr:row>
                <xdr:rowOff>121920</xdr:rowOff>
              </from>
              <to>
                <xdr:col>20</xdr:col>
                <xdr:colOff>335280</xdr:colOff>
                <xdr:row>1016</xdr:row>
                <xdr:rowOff>15240</xdr:rowOff>
              </to>
            </anchor>
          </objectPr>
        </oleObject>
      </mc:Choice>
      <mc:Fallback>
        <oleObject progId="Equation.3" shapeId="3161" r:id="rId48"/>
      </mc:Fallback>
    </mc:AlternateContent>
    <mc:AlternateContent xmlns:mc="http://schemas.openxmlformats.org/markup-compatibility/2006">
      <mc:Choice Requires="x14">
        <oleObject progId="Equation.3" shapeId="3162" r:id="rId50">
          <objectPr defaultSize="0" autoPict="0" r:id="rId51">
            <anchor moveWithCells="1">
              <from>
                <xdr:col>16</xdr:col>
                <xdr:colOff>251460</xdr:colOff>
                <xdr:row>1007</xdr:row>
                <xdr:rowOff>114300</xdr:rowOff>
              </from>
              <to>
                <xdr:col>32</xdr:col>
                <xdr:colOff>167640</xdr:colOff>
                <xdr:row>1010</xdr:row>
                <xdr:rowOff>91440</xdr:rowOff>
              </to>
            </anchor>
          </objectPr>
        </oleObject>
      </mc:Choice>
      <mc:Fallback>
        <oleObject progId="Equation.3" shapeId="3162" r:id="rId50"/>
      </mc:Fallback>
    </mc:AlternateContent>
    <mc:AlternateContent xmlns:mc="http://schemas.openxmlformats.org/markup-compatibility/2006">
      <mc:Choice Requires="x14">
        <oleObject progId="Equation.3" shapeId="3167" r:id="rId52">
          <objectPr defaultSize="0" autoPict="0" r:id="rId53">
            <anchor moveWithCells="1">
              <from>
                <xdr:col>4</xdr:col>
                <xdr:colOff>0</xdr:colOff>
                <xdr:row>1055</xdr:row>
                <xdr:rowOff>30480</xdr:rowOff>
              </from>
              <to>
                <xdr:col>12</xdr:col>
                <xdr:colOff>335280</xdr:colOff>
                <xdr:row>1058</xdr:row>
                <xdr:rowOff>53340</xdr:rowOff>
              </to>
            </anchor>
          </objectPr>
        </oleObject>
      </mc:Choice>
      <mc:Fallback>
        <oleObject progId="Equation.3" shapeId="3167" r:id="rId52"/>
      </mc:Fallback>
    </mc:AlternateContent>
    <mc:AlternateContent xmlns:mc="http://schemas.openxmlformats.org/markup-compatibility/2006">
      <mc:Choice Requires="x14">
        <oleObject progId="Equation.3" shapeId="3168" r:id="rId54">
          <objectPr defaultSize="0" autoPict="0" r:id="rId55">
            <anchor moveWithCells="1">
              <from>
                <xdr:col>4</xdr:col>
                <xdr:colOff>0</xdr:colOff>
                <xdr:row>1060</xdr:row>
                <xdr:rowOff>30480</xdr:rowOff>
              </from>
              <to>
                <xdr:col>15</xdr:col>
                <xdr:colOff>53340</xdr:colOff>
                <xdr:row>1063</xdr:row>
                <xdr:rowOff>53340</xdr:rowOff>
              </to>
            </anchor>
          </objectPr>
        </oleObject>
      </mc:Choice>
      <mc:Fallback>
        <oleObject progId="Equation.3" shapeId="3168" r:id="rId54"/>
      </mc:Fallback>
    </mc:AlternateContent>
    <mc:AlternateContent xmlns:mc="http://schemas.openxmlformats.org/markup-compatibility/2006">
      <mc:Choice Requires="x14">
        <oleObject progId="Equation.3" shapeId="3169" r:id="rId56">
          <objectPr defaultSize="0" autoPict="0" r:id="rId57">
            <anchor moveWithCells="1">
              <from>
                <xdr:col>4</xdr:col>
                <xdr:colOff>0</xdr:colOff>
                <xdr:row>1065</xdr:row>
                <xdr:rowOff>30480</xdr:rowOff>
              </from>
              <to>
                <xdr:col>16</xdr:col>
                <xdr:colOff>670560</xdr:colOff>
                <xdr:row>1068</xdr:row>
                <xdr:rowOff>53340</xdr:rowOff>
              </to>
            </anchor>
          </objectPr>
        </oleObject>
      </mc:Choice>
      <mc:Fallback>
        <oleObject progId="Equation.3" shapeId="3169" r:id="rId56"/>
      </mc:Fallback>
    </mc:AlternateContent>
    <mc:AlternateContent xmlns:mc="http://schemas.openxmlformats.org/markup-compatibility/2006">
      <mc:Choice Requires="x14">
        <oleObject progId="Equation.3" shapeId="3173" r:id="rId58">
          <objectPr defaultSize="0" autoPict="0" r:id="rId59">
            <anchor moveWithCells="1">
              <from>
                <xdr:col>4</xdr:col>
                <xdr:colOff>0</xdr:colOff>
                <xdr:row>1045</xdr:row>
                <xdr:rowOff>30480</xdr:rowOff>
              </from>
              <to>
                <xdr:col>16</xdr:col>
                <xdr:colOff>106680</xdr:colOff>
                <xdr:row>1048</xdr:row>
                <xdr:rowOff>30480</xdr:rowOff>
              </to>
            </anchor>
          </objectPr>
        </oleObject>
      </mc:Choice>
      <mc:Fallback>
        <oleObject progId="Equation.3" shapeId="3173" r:id="rId58"/>
      </mc:Fallback>
    </mc:AlternateContent>
    <mc:AlternateContent xmlns:mc="http://schemas.openxmlformats.org/markup-compatibility/2006">
      <mc:Choice Requires="x14">
        <oleObject progId="Equation.3" shapeId="3174" r:id="rId60">
          <objectPr defaultSize="0" autoPict="0" r:id="rId61">
            <anchor moveWithCells="1">
              <from>
                <xdr:col>4</xdr:col>
                <xdr:colOff>0</xdr:colOff>
                <xdr:row>1050</xdr:row>
                <xdr:rowOff>30480</xdr:rowOff>
              </from>
              <to>
                <xdr:col>16</xdr:col>
                <xdr:colOff>388620</xdr:colOff>
                <xdr:row>1053</xdr:row>
                <xdr:rowOff>53340</xdr:rowOff>
              </to>
            </anchor>
          </objectPr>
        </oleObject>
      </mc:Choice>
      <mc:Fallback>
        <oleObject progId="Equation.3" shapeId="3174" r:id="rId60"/>
      </mc:Fallback>
    </mc:AlternateContent>
    <mc:AlternateContent xmlns:mc="http://schemas.openxmlformats.org/markup-compatibility/2006">
      <mc:Choice Requires="x14">
        <oleObject progId="Equation.3" shapeId="3178" r:id="rId62">
          <objectPr defaultSize="0" autoPict="0" r:id="rId63">
            <anchor moveWithCells="1">
              <from>
                <xdr:col>4</xdr:col>
                <xdr:colOff>0</xdr:colOff>
                <xdr:row>1070</xdr:row>
                <xdr:rowOff>30480</xdr:rowOff>
              </from>
              <to>
                <xdr:col>12</xdr:col>
                <xdr:colOff>411480</xdr:colOff>
                <xdr:row>1073</xdr:row>
                <xdr:rowOff>53340</xdr:rowOff>
              </to>
            </anchor>
          </objectPr>
        </oleObject>
      </mc:Choice>
      <mc:Fallback>
        <oleObject progId="Equation.3" shapeId="3178" r:id="rId62"/>
      </mc:Fallback>
    </mc:AlternateContent>
    <mc:AlternateContent xmlns:mc="http://schemas.openxmlformats.org/markup-compatibility/2006">
      <mc:Choice Requires="x14">
        <oleObject progId="Equation.3" shapeId="3188" r:id="rId64">
          <objectPr defaultSize="0" autoPict="0" r:id="rId65">
            <anchor moveWithCells="1">
              <from>
                <xdr:col>19</xdr:col>
                <xdr:colOff>0</xdr:colOff>
                <xdr:row>1053</xdr:row>
                <xdr:rowOff>30480</xdr:rowOff>
              </from>
              <to>
                <xdr:col>32</xdr:col>
                <xdr:colOff>419100</xdr:colOff>
                <xdr:row>1056</xdr:row>
                <xdr:rowOff>30480</xdr:rowOff>
              </to>
            </anchor>
          </objectPr>
        </oleObject>
      </mc:Choice>
      <mc:Fallback>
        <oleObject progId="Equation.3" shapeId="3188" r:id="rId64"/>
      </mc:Fallback>
    </mc:AlternateContent>
    <mc:AlternateContent xmlns:mc="http://schemas.openxmlformats.org/markup-compatibility/2006">
      <mc:Choice Requires="x14">
        <oleObject progId="Equation.3" shapeId="3192" r:id="rId66">
          <objectPr defaultSize="0" autoPict="0" r:id="rId67">
            <anchor moveWithCells="1">
              <from>
                <xdr:col>21</xdr:col>
                <xdr:colOff>22860</xdr:colOff>
                <xdr:row>1022</xdr:row>
                <xdr:rowOff>53340</xdr:rowOff>
              </from>
              <to>
                <xdr:col>32</xdr:col>
                <xdr:colOff>266700</xdr:colOff>
                <xdr:row>1024</xdr:row>
                <xdr:rowOff>137160</xdr:rowOff>
              </to>
            </anchor>
          </objectPr>
        </oleObject>
      </mc:Choice>
      <mc:Fallback>
        <oleObject progId="Equation.3" shapeId="3192" r:id="rId66"/>
      </mc:Fallback>
    </mc:AlternateContent>
    <mc:AlternateContent xmlns:mc="http://schemas.openxmlformats.org/markup-compatibility/2006">
      <mc:Choice Requires="x14">
        <oleObject progId="Equation.3" shapeId="3220" r:id="rId68">
          <objectPr defaultSize="0" autoPict="0" r:id="rId69">
            <anchor moveWithCells="1">
              <from>
                <xdr:col>33</xdr:col>
                <xdr:colOff>0</xdr:colOff>
                <xdr:row>1017</xdr:row>
                <xdr:rowOff>22860</xdr:rowOff>
              </from>
              <to>
                <xdr:col>36</xdr:col>
                <xdr:colOff>167640</xdr:colOff>
                <xdr:row>1020</xdr:row>
                <xdr:rowOff>22860</xdr:rowOff>
              </to>
            </anchor>
          </objectPr>
        </oleObject>
      </mc:Choice>
      <mc:Fallback>
        <oleObject progId="Equation.3" shapeId="3220" r:id="rId68"/>
      </mc:Fallback>
    </mc:AlternateContent>
    <mc:AlternateContent xmlns:mc="http://schemas.openxmlformats.org/markup-compatibility/2006">
      <mc:Choice Requires="x14">
        <oleObject progId="Equation.3" shapeId="3222" r:id="rId70">
          <objectPr defaultSize="0" autoPict="0" r:id="rId71">
            <anchor moveWithCells="1">
              <from>
                <xdr:col>33</xdr:col>
                <xdr:colOff>0</xdr:colOff>
                <xdr:row>1014</xdr:row>
                <xdr:rowOff>0</xdr:rowOff>
              </from>
              <to>
                <xdr:col>36</xdr:col>
                <xdr:colOff>701040</xdr:colOff>
                <xdr:row>1017</xdr:row>
                <xdr:rowOff>0</xdr:rowOff>
              </to>
            </anchor>
          </objectPr>
        </oleObject>
      </mc:Choice>
      <mc:Fallback>
        <oleObject progId="Equation.3" shapeId="3222" r:id="rId70"/>
      </mc:Fallback>
    </mc:AlternateContent>
    <mc:AlternateContent xmlns:mc="http://schemas.openxmlformats.org/markup-compatibility/2006">
      <mc:Choice Requires="x14">
        <oleObject progId="Equation.3" shapeId="3223" r:id="rId72">
          <objectPr defaultSize="0" autoPict="0" r:id="rId73">
            <anchor moveWithCells="1">
              <from>
                <xdr:col>33</xdr:col>
                <xdr:colOff>0</xdr:colOff>
                <xdr:row>1020</xdr:row>
                <xdr:rowOff>45720</xdr:rowOff>
              </from>
              <to>
                <xdr:col>35</xdr:col>
                <xdr:colOff>137160</xdr:colOff>
                <xdr:row>1023</xdr:row>
                <xdr:rowOff>45720</xdr:rowOff>
              </to>
            </anchor>
          </objectPr>
        </oleObject>
      </mc:Choice>
      <mc:Fallback>
        <oleObject progId="Equation.3" shapeId="3223" r:id="rId72"/>
      </mc:Fallback>
    </mc:AlternateContent>
    <mc:AlternateContent xmlns:mc="http://schemas.openxmlformats.org/markup-compatibility/2006">
      <mc:Choice Requires="x14">
        <oleObject progId="Equation.3" shapeId="3225" r:id="rId74">
          <objectPr defaultSize="0" autoPict="0" r:id="rId75">
            <anchor moveWithCells="1">
              <from>
                <xdr:col>33</xdr:col>
                <xdr:colOff>0</xdr:colOff>
                <xdr:row>1023</xdr:row>
                <xdr:rowOff>68580</xdr:rowOff>
              </from>
              <to>
                <xdr:col>36</xdr:col>
                <xdr:colOff>53340</xdr:colOff>
                <xdr:row>1026</xdr:row>
                <xdr:rowOff>68580</xdr:rowOff>
              </to>
            </anchor>
          </objectPr>
        </oleObject>
      </mc:Choice>
      <mc:Fallback>
        <oleObject progId="Equation.3" shapeId="3225" r:id="rId74"/>
      </mc:Fallback>
    </mc:AlternateContent>
    <mc:AlternateContent xmlns:mc="http://schemas.openxmlformats.org/markup-compatibility/2006">
      <mc:Choice Requires="x14">
        <oleObject progId="Equation.3" shapeId="3281" r:id="rId76">
          <objectPr defaultSize="0" autoPict="0" r:id="rId77">
            <anchor moveWithCells="1">
              <from>
                <xdr:col>19</xdr:col>
                <xdr:colOff>0</xdr:colOff>
                <xdr:row>1048</xdr:row>
                <xdr:rowOff>30480</xdr:rowOff>
              </from>
              <to>
                <xdr:col>34</xdr:col>
                <xdr:colOff>350520</xdr:colOff>
                <xdr:row>1051</xdr:row>
                <xdr:rowOff>91440</xdr:rowOff>
              </to>
            </anchor>
          </objectPr>
        </oleObject>
      </mc:Choice>
      <mc:Fallback>
        <oleObject progId="Equation.3" shapeId="3281" r:id="rId76"/>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8">
    <pageSetUpPr fitToPage="1"/>
  </sheetPr>
  <dimension ref="A1:M79"/>
  <sheetViews>
    <sheetView showGridLines="0" workbookViewId="0">
      <selection activeCell="B80" sqref="B80"/>
    </sheetView>
  </sheetViews>
  <sheetFormatPr baseColWidth="10" defaultRowHeight="13.2" x14ac:dyDescent="0.25"/>
  <cols>
    <col min="1" max="1" width="2.21875" customWidth="1"/>
    <col min="2" max="2" width="16.21875" customWidth="1"/>
    <col min="3" max="4" width="11.33203125" customWidth="1"/>
  </cols>
  <sheetData>
    <row r="1" spans="1:13" x14ac:dyDescent="0.25">
      <c r="A1" s="72"/>
      <c r="B1" s="73"/>
      <c r="C1" s="74"/>
      <c r="D1" s="73"/>
      <c r="E1" s="94"/>
      <c r="F1" s="94"/>
      <c r="G1" s="94"/>
      <c r="H1" s="94"/>
      <c r="I1" s="94"/>
      <c r="J1" s="94"/>
      <c r="K1" s="94"/>
      <c r="L1" s="94"/>
      <c r="M1" s="95"/>
    </row>
    <row r="2" spans="1:13" ht="12.75" customHeight="1" x14ac:dyDescent="0.25">
      <c r="A2" s="77"/>
      <c r="B2" s="2"/>
      <c r="C2" s="735" t="s">
        <v>282</v>
      </c>
      <c r="D2" s="735"/>
      <c r="E2" s="81"/>
      <c r="F2" s="81"/>
      <c r="G2" s="81"/>
      <c r="H2" s="81"/>
      <c r="I2" s="81"/>
      <c r="J2" s="81"/>
      <c r="K2" s="81"/>
      <c r="L2" s="81"/>
      <c r="M2" s="97"/>
    </row>
    <row r="3" spans="1:13" ht="12.75" customHeight="1" x14ac:dyDescent="0.25">
      <c r="A3" s="77"/>
      <c r="B3" s="2"/>
      <c r="C3" s="735"/>
      <c r="D3" s="735"/>
      <c r="E3" s="81"/>
      <c r="F3" s="81"/>
      <c r="G3" s="81"/>
      <c r="H3" s="81"/>
      <c r="I3" s="81"/>
      <c r="J3" s="81"/>
      <c r="K3" s="81"/>
      <c r="L3" s="81"/>
      <c r="M3" s="97"/>
    </row>
    <row r="4" spans="1:13" x14ac:dyDescent="0.25">
      <c r="A4" s="77"/>
      <c r="B4" s="2"/>
      <c r="C4" s="738" t="str">
        <f>IF(Lang="Français","Abaques de performance",IF(Lang="English","Performance charts",""))</f>
        <v>Abaques de performance</v>
      </c>
      <c r="D4" s="738"/>
      <c r="E4" s="81"/>
      <c r="F4" s="81"/>
      <c r="G4" s="81"/>
      <c r="H4" s="81"/>
      <c r="I4" s="81"/>
      <c r="J4" s="81"/>
      <c r="K4" s="81"/>
      <c r="L4" s="81"/>
      <c r="M4" s="97"/>
    </row>
    <row r="5" spans="1:13" x14ac:dyDescent="0.25">
      <c r="A5" s="77"/>
      <c r="B5" s="2"/>
      <c r="C5" s="738" t="str">
        <f>IF(Lang="Français","Calcul analytique simple",IF(Lang="English","Analytical computation",""))</f>
        <v>Calcul analytique simple</v>
      </c>
      <c r="D5" s="738"/>
      <c r="E5" s="81"/>
      <c r="F5" s="81"/>
      <c r="G5" s="81"/>
      <c r="H5" s="81"/>
      <c r="I5" s="81"/>
      <c r="J5" s="81"/>
      <c r="K5" s="81"/>
      <c r="L5" s="81"/>
      <c r="M5" s="97"/>
    </row>
    <row r="6" spans="1:13" x14ac:dyDescent="0.25">
      <c r="A6" s="77"/>
      <c r="B6" s="111"/>
      <c r="C6" s="3"/>
      <c r="D6" s="3"/>
      <c r="E6" s="81"/>
      <c r="F6" s="81"/>
      <c r="G6" s="81"/>
      <c r="H6" s="81"/>
      <c r="I6" s="81"/>
      <c r="J6" s="81"/>
      <c r="K6" s="81"/>
      <c r="L6" s="81"/>
      <c r="M6" s="97"/>
    </row>
    <row r="7" spans="1:13" x14ac:dyDescent="0.25">
      <c r="A7" s="80"/>
      <c r="B7" s="8"/>
      <c r="C7" s="717" t="str">
        <f>IF(Lang="Français","Fusée",IF(Lang="English","Rocket",""))</f>
        <v>Fusée</v>
      </c>
      <c r="D7" s="717"/>
      <c r="E7" s="81"/>
      <c r="F7" s="81"/>
      <c r="G7" s="81"/>
      <c r="H7" s="81"/>
      <c r="I7" s="81"/>
      <c r="J7" s="81"/>
      <c r="K7" s="81"/>
      <c r="L7" s="81"/>
      <c r="M7" s="97"/>
    </row>
    <row r="8" spans="1:13" ht="15.6" x14ac:dyDescent="0.3">
      <c r="A8" s="80"/>
      <c r="B8" s="173" t="str">
        <f>IF(Lang="Français","Nom",IF(Lang="English","Name",""))</f>
        <v>Nom</v>
      </c>
      <c r="C8" s="736" t="str">
        <f>Nom</f>
        <v>Indra</v>
      </c>
      <c r="D8" s="736"/>
      <c r="E8" s="81"/>
      <c r="F8" s="81"/>
      <c r="G8" s="81"/>
      <c r="H8" s="81"/>
      <c r="I8" s="81"/>
      <c r="J8" s="81"/>
      <c r="K8" s="81"/>
      <c r="L8" s="81"/>
      <c r="M8" s="97"/>
    </row>
    <row r="9" spans="1:13" ht="15.6" x14ac:dyDescent="0.3">
      <c r="A9" s="80"/>
      <c r="B9" s="173" t="s">
        <v>4</v>
      </c>
      <c r="C9" s="736" t="str">
        <f>Club</f>
        <v>Space'Tech Orléans</v>
      </c>
      <c r="D9" s="736"/>
      <c r="E9" s="81"/>
      <c r="F9" s="81"/>
      <c r="G9" s="81"/>
      <c r="H9" s="81"/>
      <c r="I9" s="81"/>
      <c r="J9" s="81"/>
      <c r="K9" s="81"/>
      <c r="L9" s="81"/>
      <c r="M9" s="97"/>
    </row>
    <row r="10" spans="1:13" x14ac:dyDescent="0.25">
      <c r="A10" s="80"/>
      <c r="B10" s="173" t="str">
        <f>IF(Lang="Français","Masse sans propu",IF(Lang="English","Mass without M",""))</f>
        <v>Masse sans propu</v>
      </c>
      <c r="C10" s="769">
        <f>MasseSans</f>
        <v>8</v>
      </c>
      <c r="D10" s="769"/>
      <c r="E10" s="81"/>
      <c r="F10" s="81"/>
      <c r="G10" s="81"/>
      <c r="H10" s="81"/>
      <c r="I10" s="81"/>
      <c r="J10" s="81"/>
      <c r="K10" s="81"/>
      <c r="L10" s="81"/>
      <c r="M10" s="97"/>
    </row>
    <row r="11" spans="1:13" x14ac:dyDescent="0.25">
      <c r="A11" s="80"/>
      <c r="B11" s="173" t="str">
        <f>IF(Lang="Français","Masse totale",IF(Lang="English","Total mass",""))</f>
        <v>Masse totale</v>
      </c>
      <c r="C11" s="772" t="str">
        <f ca="1">MassePlein &amp; " kg ±" &amp; MasseSans &amp; " kg"</f>
        <v>11,511 kg ±8 kg</v>
      </c>
      <c r="D11" s="772"/>
      <c r="E11" s="81"/>
      <c r="F11" s="81"/>
      <c r="G11" s="81"/>
      <c r="H11" s="81"/>
      <c r="I11" s="81"/>
      <c r="J11" s="81"/>
      <c r="K11" s="81"/>
      <c r="L11" s="81"/>
      <c r="M11" s="97"/>
    </row>
    <row r="12" spans="1:13" x14ac:dyDescent="0.25">
      <c r="A12" s="80"/>
      <c r="B12" s="266" t="str">
        <f>IF(Lang="Français","Propulseur",IF(Lang="English","Motor",""))</f>
        <v>Propulseur</v>
      </c>
      <c r="C12" s="715" t="str">
        <f>Propu</f>
        <v>Orignal (Pro75-3G C)</v>
      </c>
      <c r="D12" s="716"/>
      <c r="E12" s="81"/>
      <c r="F12" s="81"/>
      <c r="G12" s="81"/>
      <c r="H12" s="81"/>
      <c r="I12" s="81"/>
      <c r="J12" s="81"/>
      <c r="K12" s="81"/>
      <c r="L12" s="81"/>
      <c r="M12" s="97"/>
    </row>
    <row r="13" spans="1:13" x14ac:dyDescent="0.25">
      <c r="A13" s="80"/>
      <c r="B13" s="3"/>
      <c r="C13" s="3"/>
      <c r="D13" s="3"/>
      <c r="E13" s="81"/>
      <c r="F13" s="81"/>
      <c r="G13" s="81"/>
      <c r="H13" s="81"/>
      <c r="I13" s="81"/>
      <c r="J13" s="81"/>
      <c r="K13" s="81"/>
      <c r="L13" s="81"/>
      <c r="M13" s="97"/>
    </row>
    <row r="14" spans="1:13" x14ac:dyDescent="0.25">
      <c r="A14" s="96"/>
      <c r="B14" s="81"/>
      <c r="C14" s="717" t="str">
        <f>IF(Lang="Français","Traînée Aérdynamique",IF(Lang="English","Drag",""))</f>
        <v>Traînée Aérdynamique</v>
      </c>
      <c r="D14" s="717"/>
      <c r="E14" s="81"/>
      <c r="F14" s="81"/>
      <c r="G14" s="81"/>
      <c r="H14" s="81"/>
      <c r="I14" s="81"/>
      <c r="J14" s="81"/>
      <c r="K14" s="81"/>
      <c r="L14" s="81"/>
      <c r="M14" s="97"/>
    </row>
    <row r="15" spans="1:13" x14ac:dyDescent="0.25">
      <c r="A15" s="96"/>
      <c r="B15" s="172" t="str">
        <f>IF(Lang="Français","Diamètre Ø",IF(Lang="English","Diameter Ø",""))</f>
        <v>Diamètre Ø</v>
      </c>
      <c r="C15" s="770">
        <f>D_ref</f>
        <v>100</v>
      </c>
      <c r="D15" s="770"/>
      <c r="E15" s="81"/>
      <c r="F15" s="81"/>
      <c r="G15" s="81"/>
      <c r="H15" s="81"/>
      <c r="I15" s="81"/>
      <c r="J15" s="81"/>
      <c r="K15" s="81"/>
      <c r="L15" s="81"/>
      <c r="M15" s="97"/>
    </row>
    <row r="16" spans="1:13" x14ac:dyDescent="0.25">
      <c r="A16" s="96"/>
      <c r="B16" s="173" t="s">
        <v>5</v>
      </c>
      <c r="C16" s="771">
        <f>Cx</f>
        <v>0.5</v>
      </c>
      <c r="D16" s="771"/>
      <c r="E16" s="81"/>
      <c r="F16" s="81"/>
      <c r="G16" s="81"/>
      <c r="H16" s="81"/>
      <c r="I16" s="81"/>
      <c r="J16" s="81"/>
      <c r="K16" s="81"/>
      <c r="L16" s="81"/>
      <c r="M16" s="97"/>
    </row>
    <row r="17" spans="1:13" x14ac:dyDescent="0.25">
      <c r="A17" s="96"/>
      <c r="B17" s="81"/>
      <c r="C17" s="81"/>
      <c r="D17" s="81"/>
      <c r="E17" s="81"/>
      <c r="F17" s="81"/>
      <c r="G17" s="81"/>
      <c r="H17" s="81"/>
      <c r="I17" s="81"/>
      <c r="J17" s="81"/>
      <c r="K17" s="81"/>
      <c r="L17" s="81"/>
      <c r="M17" s="97"/>
    </row>
    <row r="18" spans="1:13" x14ac:dyDescent="0.25">
      <c r="A18" s="96"/>
      <c r="B18" s="81"/>
      <c r="C18" s="81"/>
      <c r="D18" s="81"/>
      <c r="E18" s="81"/>
      <c r="F18" s="81"/>
      <c r="G18" s="81"/>
      <c r="H18" s="81"/>
      <c r="I18" s="81"/>
      <c r="J18" s="81"/>
      <c r="K18" s="81"/>
      <c r="L18" s="81"/>
      <c r="M18" s="97"/>
    </row>
    <row r="19" spans="1:13" x14ac:dyDescent="0.25">
      <c r="A19" s="96"/>
      <c r="B19" s="81"/>
      <c r="C19" s="81"/>
      <c r="D19" s="81"/>
      <c r="E19" s="81"/>
      <c r="F19" s="81"/>
      <c r="G19" s="81"/>
      <c r="H19" s="81"/>
      <c r="I19" s="81"/>
      <c r="J19" s="81"/>
      <c r="K19" s="81"/>
      <c r="L19" s="81"/>
      <c r="M19" s="97"/>
    </row>
    <row r="20" spans="1:13" x14ac:dyDescent="0.25">
      <c r="A20" s="96"/>
      <c r="B20" s="81"/>
      <c r="C20" s="81"/>
      <c r="D20" s="81"/>
      <c r="E20" s="81"/>
      <c r="F20" s="81"/>
      <c r="G20" s="81"/>
      <c r="H20" s="81"/>
      <c r="I20" s="81"/>
      <c r="J20" s="81"/>
      <c r="K20" s="81"/>
      <c r="L20" s="81"/>
      <c r="M20" s="97"/>
    </row>
    <row r="21" spans="1:13" x14ac:dyDescent="0.25">
      <c r="A21" s="96"/>
      <c r="B21" s="81"/>
      <c r="C21" s="81"/>
      <c r="D21" s="81"/>
      <c r="E21" s="81"/>
      <c r="F21" s="81"/>
      <c r="G21" s="81"/>
      <c r="H21" s="81"/>
      <c r="I21" s="81"/>
      <c r="J21" s="81"/>
      <c r="K21" s="81"/>
      <c r="L21" s="81"/>
      <c r="M21" s="97"/>
    </row>
    <row r="22" spans="1:13" x14ac:dyDescent="0.25">
      <c r="A22" s="96"/>
      <c r="B22" s="81"/>
      <c r="C22" s="81"/>
      <c r="D22" s="81"/>
      <c r="E22" s="81"/>
      <c r="F22" s="81"/>
      <c r="G22" s="81"/>
      <c r="H22" s="81"/>
      <c r="I22" s="81"/>
      <c r="J22" s="81"/>
      <c r="K22" s="81"/>
      <c r="L22" s="81"/>
      <c r="M22" s="97"/>
    </row>
    <row r="23" spans="1:13" x14ac:dyDescent="0.25">
      <c r="A23" s="96"/>
      <c r="B23" s="81"/>
      <c r="C23" s="81"/>
      <c r="D23" s="81"/>
      <c r="E23" s="81"/>
      <c r="F23" s="81"/>
      <c r="G23" s="81"/>
      <c r="H23" s="81"/>
      <c r="I23" s="81"/>
      <c r="J23" s="81"/>
      <c r="K23" s="81"/>
      <c r="L23" s="81"/>
      <c r="M23" s="97"/>
    </row>
    <row r="24" spans="1:13" x14ac:dyDescent="0.25">
      <c r="A24" s="96"/>
      <c r="B24" s="81"/>
      <c r="C24" s="81"/>
      <c r="D24" s="81"/>
      <c r="E24" s="81"/>
      <c r="F24" s="81"/>
      <c r="G24" s="81"/>
      <c r="H24" s="81"/>
      <c r="I24" s="81"/>
      <c r="J24" s="81"/>
      <c r="K24" s="81"/>
      <c r="L24" s="81"/>
      <c r="M24" s="97"/>
    </row>
    <row r="25" spans="1:13" x14ac:dyDescent="0.25">
      <c r="A25" s="96"/>
      <c r="B25" s="81"/>
      <c r="C25" s="81"/>
      <c r="D25" s="81"/>
      <c r="E25" s="81"/>
      <c r="F25" s="81"/>
      <c r="G25" s="81"/>
      <c r="H25" s="81"/>
      <c r="I25" s="81"/>
      <c r="J25" s="81"/>
      <c r="K25" s="81"/>
      <c r="L25" s="81"/>
      <c r="M25" s="97"/>
    </row>
    <row r="26" spans="1:13" x14ac:dyDescent="0.25">
      <c r="A26" s="96"/>
      <c r="B26" s="81"/>
      <c r="C26" s="81"/>
      <c r="D26" s="81"/>
      <c r="E26" s="81"/>
      <c r="F26" s="81"/>
      <c r="G26" s="81"/>
      <c r="H26" s="81"/>
      <c r="I26" s="81"/>
      <c r="J26" s="81"/>
      <c r="K26" s="81"/>
      <c r="L26" s="81"/>
      <c r="M26" s="97"/>
    </row>
    <row r="27" spans="1:13" x14ac:dyDescent="0.25">
      <c r="A27" s="96"/>
      <c r="B27" s="81"/>
      <c r="C27" s="81"/>
      <c r="D27" s="81"/>
      <c r="E27" s="81"/>
      <c r="F27" s="81"/>
      <c r="G27" s="81"/>
      <c r="H27" s="81"/>
      <c r="I27" s="81"/>
      <c r="J27" s="81"/>
      <c r="K27" s="81"/>
      <c r="L27" s="81"/>
      <c r="M27" s="97"/>
    </row>
    <row r="28" spans="1:13" x14ac:dyDescent="0.25">
      <c r="A28" s="96"/>
      <c r="B28" s="81"/>
      <c r="C28" s="81"/>
      <c r="D28" s="81"/>
      <c r="E28" s="81"/>
      <c r="F28" s="81"/>
      <c r="G28" s="81"/>
      <c r="H28" s="81"/>
      <c r="I28" s="81"/>
      <c r="J28" s="81"/>
      <c r="K28" s="81"/>
      <c r="L28" s="81"/>
      <c r="M28" s="97"/>
    </row>
    <row r="29" spans="1:13" x14ac:dyDescent="0.25">
      <c r="A29" s="96"/>
      <c r="B29" s="81"/>
      <c r="C29" s="81"/>
      <c r="D29" s="81"/>
      <c r="E29" s="81"/>
      <c r="F29" s="81"/>
      <c r="G29" s="81"/>
      <c r="H29" s="81"/>
      <c r="I29" s="81"/>
      <c r="J29" s="81"/>
      <c r="K29" s="81"/>
      <c r="L29" s="81"/>
      <c r="M29" s="97"/>
    </row>
    <row r="30" spans="1:13" x14ac:dyDescent="0.25">
      <c r="A30" s="96"/>
      <c r="B30" s="81"/>
      <c r="C30" s="81"/>
      <c r="D30" s="81"/>
      <c r="E30" s="81"/>
      <c r="F30" s="81"/>
      <c r="G30" s="81"/>
      <c r="H30" s="81"/>
      <c r="I30" s="81"/>
      <c r="J30" s="81"/>
      <c r="K30" s="81"/>
      <c r="L30" s="81"/>
      <c r="M30" s="97"/>
    </row>
    <row r="31" spans="1:13" x14ac:dyDescent="0.25">
      <c r="A31" s="96"/>
      <c r="B31" s="81"/>
      <c r="C31" s="81"/>
      <c r="D31" s="81"/>
      <c r="E31" s="81"/>
      <c r="F31" s="81"/>
      <c r="G31" s="81"/>
      <c r="H31" s="81"/>
      <c r="I31" s="81"/>
      <c r="J31" s="81"/>
      <c r="K31" s="81"/>
      <c r="L31" s="81"/>
      <c r="M31" s="97"/>
    </row>
    <row r="32" spans="1:13" x14ac:dyDescent="0.25">
      <c r="A32" s="96"/>
      <c r="B32" s="81"/>
      <c r="C32" s="81"/>
      <c r="D32" s="81"/>
      <c r="E32" s="81"/>
      <c r="F32" s="81"/>
      <c r="G32" s="81"/>
      <c r="H32" s="81"/>
      <c r="I32" s="81"/>
      <c r="J32" s="81"/>
      <c r="K32" s="81"/>
      <c r="L32" s="81"/>
      <c r="M32" s="97"/>
    </row>
    <row r="33" spans="1:13" x14ac:dyDescent="0.25">
      <c r="A33" s="96"/>
      <c r="B33" s="81"/>
      <c r="C33" s="81"/>
      <c r="D33" s="81"/>
      <c r="E33" s="81"/>
      <c r="F33" s="81"/>
      <c r="G33" s="81"/>
      <c r="H33" s="81"/>
      <c r="I33" s="81"/>
      <c r="J33" s="81"/>
      <c r="K33" s="81"/>
      <c r="L33" s="81"/>
      <c r="M33" s="97"/>
    </row>
    <row r="34" spans="1:13" x14ac:dyDescent="0.25">
      <c r="A34" s="96"/>
      <c r="B34" s="81"/>
      <c r="C34" s="81"/>
      <c r="D34" s="81"/>
      <c r="E34" s="81"/>
      <c r="F34" s="81"/>
      <c r="G34" s="81"/>
      <c r="H34" s="81"/>
      <c r="I34" s="81"/>
      <c r="J34" s="81"/>
      <c r="K34" s="81"/>
      <c r="L34" s="81"/>
      <c r="M34" s="97"/>
    </row>
    <row r="35" spans="1:13" ht="13.8" thickBot="1" x14ac:dyDescent="0.3">
      <c r="A35" s="99"/>
      <c r="B35" s="102"/>
      <c r="C35" s="102"/>
      <c r="D35" s="102"/>
      <c r="E35" s="102"/>
      <c r="F35" s="102"/>
      <c r="G35" s="102"/>
      <c r="H35" s="102"/>
      <c r="I35" s="102"/>
      <c r="J35" s="102"/>
      <c r="K35" s="102"/>
      <c r="L35" s="102"/>
      <c r="M35" s="101"/>
    </row>
    <row r="39" spans="1:13" x14ac:dyDescent="0.25">
      <c r="B39" s="480" t="s">
        <v>62</v>
      </c>
      <c r="C39" s="203" t="s">
        <v>286</v>
      </c>
      <c r="D39" s="167" t="s">
        <v>283</v>
      </c>
      <c r="E39" s="167" t="s">
        <v>287</v>
      </c>
      <c r="F39" s="167" t="s">
        <v>288</v>
      </c>
      <c r="G39" s="167" t="s">
        <v>13</v>
      </c>
      <c r="H39" s="167" t="s">
        <v>284</v>
      </c>
      <c r="I39" s="167" t="s">
        <v>285</v>
      </c>
      <c r="J39" s="167" t="s">
        <v>300</v>
      </c>
      <c r="K39" s="167" t="s">
        <v>301</v>
      </c>
      <c r="L39" s="167" t="s">
        <v>303</v>
      </c>
      <c r="M39" s="167" t="s">
        <v>291</v>
      </c>
    </row>
    <row r="40" spans="1:13" x14ac:dyDescent="0.25">
      <c r="B40" s="481" t="s">
        <v>292</v>
      </c>
      <c r="C40" s="203" t="s">
        <v>293</v>
      </c>
      <c r="D40" s="167" t="s">
        <v>294</v>
      </c>
      <c r="E40" s="167" t="s">
        <v>295</v>
      </c>
      <c r="F40" s="167" t="s">
        <v>296</v>
      </c>
      <c r="G40" s="167" t="s">
        <v>297</v>
      </c>
      <c r="H40" s="167" t="s">
        <v>298</v>
      </c>
      <c r="I40" s="167" t="s">
        <v>299</v>
      </c>
      <c r="J40" s="167" t="s">
        <v>289</v>
      </c>
      <c r="K40" s="167" t="s">
        <v>290</v>
      </c>
      <c r="L40" s="167"/>
      <c r="M40" s="167"/>
    </row>
    <row r="41" spans="1:13" x14ac:dyDescent="0.25">
      <c r="B41" s="489">
        <f t="shared" ref="B41:B49" ca="1" si="0">MAX(D_ref*0.5, Diam_propu)</f>
        <v>75</v>
      </c>
      <c r="C41" s="464">
        <f t="shared" ref="C41:C67" ca="1" si="1">1/2*Rho_moyen*PI()*D_var^2/4*Cx/10^6</f>
        <v>1.3529710549151357E-3</v>
      </c>
      <c r="D41" s="461">
        <f ca="1">MpropuPlein+0*MasseSans</f>
        <v>3.5110000000000001</v>
      </c>
      <c r="E41" s="461">
        <f t="shared" ref="E41:E67" ca="1" si="2">m_var - 0.5*m_poudre</f>
        <v>2.5745</v>
      </c>
      <c r="F41" s="461">
        <f t="shared" ref="F41:F67" ca="1" si="3">m_var - m_poudre</f>
        <v>1.6379999999999999</v>
      </c>
      <c r="G41" s="468">
        <f t="shared" ref="G41:G67" ca="1" si="4">MAX(0, (I_total/Temps_fin_propu)/m_prop-g)</f>
        <v>300.51733100610352</v>
      </c>
      <c r="H41" s="467">
        <f t="shared" ref="H41:H67" ca="1" si="5">Q_var/m_prop</f>
        <v>5.2552769660716087E-4</v>
      </c>
      <c r="I41" s="464">
        <f t="shared" ref="I41:I67" ca="1" si="6">Q_var/m_bal</f>
        <v>8.2598965501534541E-4</v>
      </c>
      <c r="J41" s="464">
        <f t="shared" ref="J41:J67" ca="1" si="7">1/(2*b_prop)*LN(  ((EXP(2*SQRT(a_prop*b_prop)*Temps_fin_propu)+1)^2)  /  (((1+1)^2)*EXP(2*SQRT(a_prop*b_prop)*Temps_fin_propu)))</f>
        <v>2265.6407110585924</v>
      </c>
      <c r="K41" s="471">
        <f t="shared" ref="K41:K67" ca="1" si="8">SQRT(a_prop/b_prop)  *  (EXP(2*SQRT(a_prop*b_prop)*Temps_fin_propu)-1)/(EXP(2*SQRT(a_prop*b_prop)*Temps_fin_propu)+1)</f>
        <v>720.40587937186433</v>
      </c>
      <c r="L41" s="474">
        <f t="shared" ref="L41:L67" ca="1" si="9">alt_prop + 1/(2*b_bal) * LN(1+b_bal/g*V_prop^2)</f>
        <v>4565.8665325686015</v>
      </c>
      <c r="M41" s="477">
        <f t="shared" ref="M41:M67" ca="1" si="10">Temps_fin_propu + ATAN(SQRT(b_bal/g)*V_prop)/SQRT(b_bal*g)</f>
        <v>20.462214926687707</v>
      </c>
    </row>
    <row r="42" spans="1:13" x14ac:dyDescent="0.25">
      <c r="B42" s="490">
        <f t="shared" ca="1" si="0"/>
        <v>75</v>
      </c>
      <c r="C42" s="465">
        <f t="shared" ca="1" si="1"/>
        <v>1.3529710549151357E-3</v>
      </c>
      <c r="D42" s="462">
        <f ca="1">MpropuPlein+0.25*MasseSans</f>
        <v>5.5110000000000001</v>
      </c>
      <c r="E42" s="462">
        <f t="shared" ca="1" si="2"/>
        <v>4.5745000000000005</v>
      </c>
      <c r="F42" s="462">
        <f t="shared" ca="1" si="3"/>
        <v>3.6379999999999999</v>
      </c>
      <c r="G42" s="469">
        <f t="shared" ca="1" si="4"/>
        <v>164.8402817084301</v>
      </c>
      <c r="H42" s="465">
        <f t="shared" ca="1" si="5"/>
        <v>2.9576370202538758E-4</v>
      </c>
      <c r="I42" s="465">
        <f t="shared" ca="1" si="6"/>
        <v>3.7189968524330283E-4</v>
      </c>
      <c r="J42" s="465">
        <f t="shared" ca="1" si="7"/>
        <v>1553.3152684279084</v>
      </c>
      <c r="K42" s="472">
        <f t="shared" ca="1" si="8"/>
        <v>578.76395208833526</v>
      </c>
      <c r="L42" s="475">
        <f t="shared" ca="1" si="9"/>
        <v>5072.1431695839892</v>
      </c>
      <c r="M42" s="478">
        <f t="shared" ca="1" si="10"/>
        <v>26.156500249503708</v>
      </c>
    </row>
    <row r="43" spans="1:13" x14ac:dyDescent="0.25">
      <c r="B43" s="490">
        <f t="shared" ca="1" si="0"/>
        <v>75</v>
      </c>
      <c r="C43" s="465">
        <f t="shared" ca="1" si="1"/>
        <v>1.3529710549151357E-3</v>
      </c>
      <c r="D43" s="462">
        <f ca="1">MpropuPlein+0.5*MasseSans</f>
        <v>7.5110000000000001</v>
      </c>
      <c r="E43" s="462">
        <f t="shared" ca="1" si="2"/>
        <v>6.5745000000000005</v>
      </c>
      <c r="F43" s="462">
        <f t="shared" ca="1" si="3"/>
        <v>5.6379999999999999</v>
      </c>
      <c r="G43" s="469">
        <f t="shared" ca="1" si="4"/>
        <v>111.71068045862248</v>
      </c>
      <c r="H43" s="465">
        <f t="shared" ca="1" si="5"/>
        <v>2.0579071487035298E-4</v>
      </c>
      <c r="I43" s="465">
        <f t="shared" ca="1" si="6"/>
        <v>2.3997358192889956E-4</v>
      </c>
      <c r="J43" s="465">
        <f t="shared" ca="1" si="7"/>
        <v>1132.6740296525336</v>
      </c>
      <c r="K43" s="472">
        <f t="shared" ca="1" si="8"/>
        <v>449.7404606411157</v>
      </c>
      <c r="L43" s="475">
        <f t="shared" ca="1" si="9"/>
        <v>4847.7356752843643</v>
      </c>
      <c r="M43" s="478">
        <f t="shared" ca="1" si="10"/>
        <v>28.346894648691023</v>
      </c>
    </row>
    <row r="44" spans="1:13" x14ac:dyDescent="0.25">
      <c r="B44" s="490">
        <f t="shared" ca="1" si="0"/>
        <v>75</v>
      </c>
      <c r="C44" s="465">
        <f t="shared" ca="1" si="1"/>
        <v>1.3529710549151357E-3</v>
      </c>
      <c r="D44" s="462">
        <f ca="1">MpropuPlein+0.75*MasseSans</f>
        <v>9.5109999999999992</v>
      </c>
      <c r="E44" s="462">
        <f t="shared" ca="1" si="2"/>
        <v>8.5744999999999987</v>
      </c>
      <c r="F44" s="462">
        <f t="shared" ca="1" si="3"/>
        <v>7.637999999999999</v>
      </c>
      <c r="G44" s="469">
        <f t="shared" ca="1" si="4"/>
        <v>83.366011857859192</v>
      </c>
      <c r="H44" s="465">
        <f t="shared" ca="1" si="5"/>
        <v>1.5779008162751599E-4</v>
      </c>
      <c r="I44" s="465">
        <f t="shared" ca="1" si="6"/>
        <v>1.7713682311012514E-4</v>
      </c>
      <c r="J44" s="465">
        <f t="shared" ca="1" si="7"/>
        <v>872.21756910062527</v>
      </c>
      <c r="K44" s="472">
        <f t="shared" ca="1" si="8"/>
        <v>356.55096531767543</v>
      </c>
      <c r="L44" s="475">
        <f t="shared" ca="1" si="9"/>
        <v>4238.4492517259459</v>
      </c>
      <c r="M44" s="478">
        <f t="shared" ca="1" si="10"/>
        <v>28.366870571040252</v>
      </c>
    </row>
    <row r="45" spans="1:13" x14ac:dyDescent="0.25">
      <c r="B45" s="490">
        <f t="shared" ca="1" si="0"/>
        <v>75</v>
      </c>
      <c r="C45" s="465">
        <f t="shared" ca="1" si="1"/>
        <v>1.3529710549151357E-3</v>
      </c>
      <c r="D45" s="462">
        <f ca="1">MpropuPlein+1*MasseSans</f>
        <v>11.510999999999999</v>
      </c>
      <c r="E45" s="462">
        <f t="shared" ca="1" si="2"/>
        <v>10.574499999999999</v>
      </c>
      <c r="F45" s="462">
        <f t="shared" ca="1" si="3"/>
        <v>9.6379999999999981</v>
      </c>
      <c r="G45" s="469">
        <f t="shared" ca="1" si="4"/>
        <v>65.743237852873762</v>
      </c>
      <c r="H45" s="465">
        <f t="shared" ca="1" si="5"/>
        <v>1.2794657477092401E-4</v>
      </c>
      <c r="I45" s="465">
        <f t="shared" ca="1" si="6"/>
        <v>1.4037881872952231E-4</v>
      </c>
      <c r="J45" s="465">
        <f t="shared" ca="1" si="7"/>
        <v>698.8889635972854</v>
      </c>
      <c r="K45" s="472">
        <f t="shared" ca="1" si="8"/>
        <v>290.07916611082868</v>
      </c>
      <c r="L45" s="475">
        <f t="shared" ca="1" si="9"/>
        <v>3513.8547981546321</v>
      </c>
      <c r="M45" s="478">
        <f t="shared" ca="1" si="10"/>
        <v>27.093831280983245</v>
      </c>
    </row>
    <row r="46" spans="1:13" x14ac:dyDescent="0.25">
      <c r="B46" s="490">
        <f t="shared" ca="1" si="0"/>
        <v>75</v>
      </c>
      <c r="C46" s="465">
        <f t="shared" ca="1" si="1"/>
        <v>1.3529710549151357E-3</v>
      </c>
      <c r="D46" s="462">
        <f ca="1">MpropuPlein+1.25*MasseSans</f>
        <v>13.510999999999999</v>
      </c>
      <c r="E46" s="462">
        <f t="shared" ca="1" si="2"/>
        <v>12.574499999999999</v>
      </c>
      <c r="F46" s="462">
        <f t="shared" ca="1" si="3"/>
        <v>11.637999999999998</v>
      </c>
      <c r="G46" s="469">
        <f t="shared" ca="1" si="4"/>
        <v>53.726340504609617</v>
      </c>
      <c r="H46" s="465">
        <f t="shared" ca="1" si="5"/>
        <v>1.0759640979085735E-4</v>
      </c>
      <c r="I46" s="465">
        <f t="shared" ca="1" si="6"/>
        <v>1.1625460172840144E-4</v>
      </c>
      <c r="J46" s="465">
        <f t="shared" ca="1" si="7"/>
        <v>576.35582769533278</v>
      </c>
      <c r="K46" s="472">
        <f t="shared" ca="1" si="8"/>
        <v>241.33872058662368</v>
      </c>
      <c r="L46" s="475">
        <f t="shared" ca="1" si="9"/>
        <v>2833.7540440246567</v>
      </c>
      <c r="M46" s="478">
        <f t="shared" ca="1" si="10"/>
        <v>25.207952797623101</v>
      </c>
    </row>
    <row r="47" spans="1:13" x14ac:dyDescent="0.25">
      <c r="B47" s="490">
        <f t="shared" ca="1" si="0"/>
        <v>75</v>
      </c>
      <c r="C47" s="465">
        <f t="shared" ca="1" si="1"/>
        <v>1.3529710549151357E-3</v>
      </c>
      <c r="D47" s="462">
        <f ca="1">MpropuPlein+1.5*MasseSans</f>
        <v>15.510999999999999</v>
      </c>
      <c r="E47" s="462">
        <f t="shared" ca="1" si="2"/>
        <v>14.574499999999999</v>
      </c>
      <c r="F47" s="462">
        <f t="shared" ca="1" si="3"/>
        <v>13.637999999999998</v>
      </c>
      <c r="G47" s="469">
        <f t="shared" ca="1" si="4"/>
        <v>45.007504111647989</v>
      </c>
      <c r="H47" s="465">
        <f t="shared" ca="1" si="5"/>
        <v>9.2831387348803443E-5</v>
      </c>
      <c r="I47" s="465">
        <f t="shared" ca="1" si="6"/>
        <v>9.9205972643726055E-5</v>
      </c>
      <c r="J47" s="465">
        <f t="shared" ca="1" si="7"/>
        <v>485.54728879127572</v>
      </c>
      <c r="K47" s="472">
        <f t="shared" ca="1" si="8"/>
        <v>204.43678948610534</v>
      </c>
      <c r="L47" s="475">
        <f t="shared" ca="1" si="9"/>
        <v>2262.2823683124443</v>
      </c>
      <c r="M47" s="478">
        <f t="shared" ca="1" si="10"/>
        <v>23.158443614875853</v>
      </c>
    </row>
    <row r="48" spans="1:13" x14ac:dyDescent="0.25">
      <c r="B48" s="490">
        <f t="shared" ca="1" si="0"/>
        <v>75</v>
      </c>
      <c r="C48" s="465">
        <f t="shared" ca="1" si="1"/>
        <v>1.3529710549151357E-3</v>
      </c>
      <c r="D48" s="462">
        <f ca="1">MpropuPlein+1.75*MasseSans</f>
        <v>17.510999999999999</v>
      </c>
      <c r="E48" s="462">
        <f t="shared" ca="1" si="2"/>
        <v>16.5745</v>
      </c>
      <c r="F48" s="462">
        <f t="shared" ca="1" si="3"/>
        <v>15.637999999999998</v>
      </c>
      <c r="G48" s="469">
        <f t="shared" ca="1" si="4"/>
        <v>38.392824439664153</v>
      </c>
      <c r="H48" s="465">
        <f t="shared" ca="1" si="5"/>
        <v>8.1629675399869415E-5</v>
      </c>
      <c r="I48" s="465">
        <f t="shared" ca="1" si="6"/>
        <v>8.6518164401786415E-5</v>
      </c>
      <c r="J48" s="465">
        <f t="shared" ca="1" si="7"/>
        <v>415.72369154883978</v>
      </c>
      <c r="K48" s="472">
        <f t="shared" ca="1" si="8"/>
        <v>175.67708521400979</v>
      </c>
      <c r="L48" s="475">
        <f t="shared" ca="1" si="9"/>
        <v>1806.9808471575052</v>
      </c>
      <c r="M48" s="478">
        <f t="shared" ca="1" si="10"/>
        <v>21.185884733197188</v>
      </c>
    </row>
    <row r="49" spans="2:13" x14ac:dyDescent="0.25">
      <c r="B49" s="491">
        <f t="shared" ca="1" si="0"/>
        <v>75</v>
      </c>
      <c r="C49" s="466">
        <f t="shared" ca="1" si="1"/>
        <v>1.3529710549151357E-3</v>
      </c>
      <c r="D49" s="463">
        <f ca="1">MpropuPlein+2*MasseSans</f>
        <v>19.510999999999999</v>
      </c>
      <c r="E49" s="463">
        <f t="shared" ca="1" si="2"/>
        <v>18.5745</v>
      </c>
      <c r="F49" s="463">
        <f t="shared" ca="1" si="3"/>
        <v>17.637999999999998</v>
      </c>
      <c r="G49" s="470">
        <f t="shared" ca="1" si="4"/>
        <v>33.202609420184309</v>
      </c>
      <c r="H49" s="466">
        <f t="shared" ca="1" si="5"/>
        <v>7.284024091712486E-5</v>
      </c>
      <c r="I49" s="466">
        <f t="shared" ca="1" si="6"/>
        <v>7.6707736416551528E-5</v>
      </c>
      <c r="J49" s="466">
        <f t="shared" ca="1" si="7"/>
        <v>360.44294800897302</v>
      </c>
      <c r="K49" s="473">
        <f t="shared" ca="1" si="8"/>
        <v>152.70145399386931</v>
      </c>
      <c r="L49" s="476">
        <f t="shared" ca="1" si="9"/>
        <v>1452.1613182100903</v>
      </c>
      <c r="M49" s="479">
        <f t="shared" ca="1" si="10"/>
        <v>19.391537769492611</v>
      </c>
    </row>
    <row r="50" spans="2:13" x14ac:dyDescent="0.25">
      <c r="B50" s="489">
        <f t="shared" ref="B50:B58" si="11">D_ref</f>
        <v>100</v>
      </c>
      <c r="C50" s="464">
        <f t="shared" si="1"/>
        <v>2.4052818754046858E-3</v>
      </c>
      <c r="D50" s="461">
        <f ca="1">MpropuPlein+0*MasseSans</f>
        <v>3.5110000000000001</v>
      </c>
      <c r="E50" s="461">
        <f t="shared" ca="1" si="2"/>
        <v>2.5745</v>
      </c>
      <c r="F50" s="461">
        <f t="shared" ca="1" si="3"/>
        <v>1.6379999999999999</v>
      </c>
      <c r="G50" s="468">
        <f t="shared" ca="1" si="4"/>
        <v>300.51733100610352</v>
      </c>
      <c r="H50" s="464">
        <f t="shared" ca="1" si="5"/>
        <v>9.3427146063495268E-4</v>
      </c>
      <c r="I50" s="464">
        <f t="shared" ca="1" si="6"/>
        <v>1.4684260533606142E-3</v>
      </c>
      <c r="J50" s="464">
        <f t="shared" ca="1" si="7"/>
        <v>1919.8348117538424</v>
      </c>
      <c r="K50" s="471">
        <f t="shared" ca="1" si="8"/>
        <v>559.24790560645113</v>
      </c>
      <c r="L50" s="474">
        <f t="shared" ca="1" si="9"/>
        <v>3236.6715266317624</v>
      </c>
      <c r="M50" s="477">
        <f t="shared" ca="1" si="10"/>
        <v>16.558431169977993</v>
      </c>
    </row>
    <row r="51" spans="2:13" x14ac:dyDescent="0.25">
      <c r="B51" s="490">
        <f t="shared" si="11"/>
        <v>100</v>
      </c>
      <c r="C51" s="465">
        <f t="shared" si="1"/>
        <v>2.4052818754046858E-3</v>
      </c>
      <c r="D51" s="462">
        <f ca="1">MpropuPlein+0.25*MasseSans</f>
        <v>5.5110000000000001</v>
      </c>
      <c r="E51" s="462">
        <f t="shared" ca="1" si="2"/>
        <v>4.5745000000000005</v>
      </c>
      <c r="F51" s="462">
        <f t="shared" ca="1" si="3"/>
        <v>3.6379999999999999</v>
      </c>
      <c r="G51" s="469">
        <f t="shared" ca="1" si="4"/>
        <v>164.8402817084301</v>
      </c>
      <c r="H51" s="465">
        <f t="shared" ca="1" si="5"/>
        <v>5.2580213693402241E-4</v>
      </c>
      <c r="I51" s="465">
        <f t="shared" ca="1" si="6"/>
        <v>6.6115499598809393E-4</v>
      </c>
      <c r="J51" s="465">
        <f t="shared" ca="1" si="7"/>
        <v>1419.3396986214289</v>
      </c>
      <c r="K51" s="472">
        <f t="shared" ca="1" si="8"/>
        <v>492.98064867788429</v>
      </c>
      <c r="L51" s="475">
        <f t="shared" ca="1" si="9"/>
        <v>3578.6495445148685</v>
      </c>
      <c r="M51" s="478">
        <f t="shared" ca="1" si="10"/>
        <v>21.176616253428037</v>
      </c>
    </row>
    <row r="52" spans="2:13" x14ac:dyDescent="0.25">
      <c r="B52" s="490">
        <f t="shared" si="11"/>
        <v>100</v>
      </c>
      <c r="C52" s="465">
        <f t="shared" si="1"/>
        <v>2.4052818754046858E-3</v>
      </c>
      <c r="D52" s="462">
        <f ca="1">MpropuPlein+0.5*MasseSans</f>
        <v>7.5110000000000001</v>
      </c>
      <c r="E52" s="462">
        <f t="shared" ca="1" si="2"/>
        <v>6.5745000000000005</v>
      </c>
      <c r="F52" s="462">
        <f t="shared" ca="1" si="3"/>
        <v>5.6379999999999999</v>
      </c>
      <c r="G52" s="469">
        <f t="shared" ca="1" si="4"/>
        <v>111.71068045862248</v>
      </c>
      <c r="H52" s="465">
        <f t="shared" ca="1" si="5"/>
        <v>3.6585015976951639E-4</v>
      </c>
      <c r="I52" s="465">
        <f t="shared" ca="1" si="6"/>
        <v>4.2661970120693257E-4</v>
      </c>
      <c r="J52" s="465">
        <f t="shared" ca="1" si="7"/>
        <v>1075.2226759350788</v>
      </c>
      <c r="K52" s="472">
        <f t="shared" ca="1" si="8"/>
        <v>407.81565273131088</v>
      </c>
      <c r="L52" s="475">
        <f t="shared" ca="1" si="9"/>
        <v>3545.9389424582055</v>
      </c>
      <c r="M52" s="478">
        <f t="shared" ca="1" si="10"/>
        <v>23.458074026083061</v>
      </c>
    </row>
    <row r="53" spans="2:13" x14ac:dyDescent="0.25">
      <c r="B53" s="490">
        <f t="shared" si="11"/>
        <v>100</v>
      </c>
      <c r="C53" s="465">
        <f t="shared" si="1"/>
        <v>2.4052818754046858E-3</v>
      </c>
      <c r="D53" s="462">
        <f ca="1">MpropuPlein+0.75*MasseSans</f>
        <v>9.5109999999999992</v>
      </c>
      <c r="E53" s="462">
        <f t="shared" ca="1" si="2"/>
        <v>8.5744999999999987</v>
      </c>
      <c r="F53" s="462">
        <f t="shared" ca="1" si="3"/>
        <v>7.637999999999999</v>
      </c>
      <c r="G53" s="469">
        <f t="shared" ca="1" si="4"/>
        <v>83.366011857859192</v>
      </c>
      <c r="H53" s="465">
        <f t="shared" ca="1" si="5"/>
        <v>2.8051570067113955E-4</v>
      </c>
      <c r="I53" s="465">
        <f t="shared" ca="1" si="6"/>
        <v>3.1490990775133362E-4</v>
      </c>
      <c r="J53" s="465">
        <f t="shared" ca="1" si="7"/>
        <v>844.24624096757827</v>
      </c>
      <c r="K53" s="472">
        <f t="shared" ca="1" si="8"/>
        <v>334.84541737763595</v>
      </c>
      <c r="L53" s="475">
        <f t="shared" ca="1" si="9"/>
        <v>3266.9748365435066</v>
      </c>
      <c r="M53" s="478">
        <f t="shared" ca="1" si="10"/>
        <v>24.213607809020647</v>
      </c>
    </row>
    <row r="54" spans="2:13" x14ac:dyDescent="0.25">
      <c r="B54" s="490">
        <f t="shared" si="11"/>
        <v>100</v>
      </c>
      <c r="C54" s="465">
        <f t="shared" si="1"/>
        <v>2.4052818754046858E-3</v>
      </c>
      <c r="D54" s="462">
        <f ca="1">MpropuPlein+1*MasseSans</f>
        <v>11.510999999999999</v>
      </c>
      <c r="E54" s="462">
        <f t="shared" ca="1" si="2"/>
        <v>10.574499999999999</v>
      </c>
      <c r="F54" s="462">
        <f t="shared" ca="1" si="3"/>
        <v>9.6379999999999981</v>
      </c>
      <c r="G54" s="469">
        <f t="shared" ca="1" si="4"/>
        <v>65.743237852873762</v>
      </c>
      <c r="H54" s="465">
        <f t="shared" ca="1" si="5"/>
        <v>2.2746057737053156E-4</v>
      </c>
      <c r="I54" s="465">
        <f t="shared" ca="1" si="6"/>
        <v>2.4956234440803968E-4</v>
      </c>
      <c r="J54" s="465">
        <f t="shared" ca="1" si="7"/>
        <v>683.78970060572044</v>
      </c>
      <c r="K54" s="472">
        <f t="shared" ca="1" si="8"/>
        <v>277.97298079788806</v>
      </c>
      <c r="L54" s="475">
        <f t="shared" ca="1" si="9"/>
        <v>2861.8226328928922</v>
      </c>
      <c r="M54" s="478">
        <f t="shared" ca="1" si="10"/>
        <v>23.904832608223664</v>
      </c>
    </row>
    <row r="55" spans="2:13" x14ac:dyDescent="0.25">
      <c r="B55" s="490">
        <f t="shared" si="11"/>
        <v>100</v>
      </c>
      <c r="C55" s="465">
        <f t="shared" si="1"/>
        <v>2.4052818754046858E-3</v>
      </c>
      <c r="D55" s="462">
        <f ca="1">MpropuPlein+1.25*MasseSans</f>
        <v>13.510999999999999</v>
      </c>
      <c r="E55" s="462">
        <f t="shared" ca="1" si="2"/>
        <v>12.574499999999999</v>
      </c>
      <c r="F55" s="462">
        <f t="shared" ca="1" si="3"/>
        <v>11.637999999999998</v>
      </c>
      <c r="G55" s="469">
        <f t="shared" ca="1" si="4"/>
        <v>53.726340504609617</v>
      </c>
      <c r="H55" s="465">
        <f t="shared" ca="1" si="5"/>
        <v>1.9128250629485752E-4</v>
      </c>
      <c r="I55" s="465">
        <f t="shared" ca="1" si="6"/>
        <v>2.0667484751715813E-4</v>
      </c>
      <c r="J55" s="465">
        <f t="shared" ca="1" si="7"/>
        <v>567.53586466570084</v>
      </c>
      <c r="K55" s="472">
        <f t="shared" ca="1" si="8"/>
        <v>234.1306125840905</v>
      </c>
      <c r="L55" s="475">
        <f t="shared" ca="1" si="9"/>
        <v>2424.8803295095827</v>
      </c>
      <c r="M55" s="478">
        <f t="shared" ca="1" si="10"/>
        <v>22.921391273968332</v>
      </c>
    </row>
    <row r="56" spans="2:13" x14ac:dyDescent="0.25">
      <c r="B56" s="490">
        <f t="shared" si="11"/>
        <v>100</v>
      </c>
      <c r="C56" s="465">
        <f t="shared" si="1"/>
        <v>2.4052818754046858E-3</v>
      </c>
      <c r="D56" s="462">
        <f ca="1">MpropuPlein+1.5*MasseSans</f>
        <v>15.510999999999999</v>
      </c>
      <c r="E56" s="462">
        <f t="shared" ca="1" si="2"/>
        <v>14.574499999999999</v>
      </c>
      <c r="F56" s="462">
        <f t="shared" ca="1" si="3"/>
        <v>13.637999999999998</v>
      </c>
      <c r="G56" s="469">
        <f t="shared" ca="1" si="4"/>
        <v>45.007504111647989</v>
      </c>
      <c r="H56" s="465">
        <f t="shared" ca="1" si="5"/>
        <v>1.6503357750898392E-4</v>
      </c>
      <c r="I56" s="465">
        <f t="shared" ca="1" si="6"/>
        <v>1.7636617358884633E-4</v>
      </c>
      <c r="J56" s="465">
        <f t="shared" ca="1" si="7"/>
        <v>480.07451339318794</v>
      </c>
      <c r="K56" s="472">
        <f t="shared" ca="1" si="8"/>
        <v>199.91007687162974</v>
      </c>
      <c r="L56" s="475">
        <f t="shared" ca="1" si="9"/>
        <v>2015.0659066120447</v>
      </c>
      <c r="M56" s="478">
        <f t="shared" ca="1" si="10"/>
        <v>21.583873250708816</v>
      </c>
    </row>
    <row r="57" spans="2:13" x14ac:dyDescent="0.25">
      <c r="B57" s="490">
        <f t="shared" si="11"/>
        <v>100</v>
      </c>
      <c r="C57" s="465">
        <f t="shared" si="1"/>
        <v>2.4052818754046858E-3</v>
      </c>
      <c r="D57" s="462">
        <f ca="1">MpropuPlein+1.75*MasseSans</f>
        <v>17.510999999999999</v>
      </c>
      <c r="E57" s="462">
        <f t="shared" ca="1" si="2"/>
        <v>16.5745</v>
      </c>
      <c r="F57" s="462">
        <f t="shared" ca="1" si="3"/>
        <v>15.637999999999998</v>
      </c>
      <c r="G57" s="469">
        <f t="shared" ca="1" si="4"/>
        <v>38.392824439664153</v>
      </c>
      <c r="H57" s="465">
        <f t="shared" ca="1" si="5"/>
        <v>1.451194229331012E-4</v>
      </c>
      <c r="I57" s="465">
        <f t="shared" ca="1" si="6"/>
        <v>1.5381007004762028E-4</v>
      </c>
      <c r="J57" s="465">
        <f t="shared" ca="1" si="7"/>
        <v>412.1646354761383</v>
      </c>
      <c r="K57" s="472">
        <f t="shared" ca="1" si="8"/>
        <v>172.70965088348086</v>
      </c>
      <c r="L57" s="475">
        <f t="shared" ca="1" si="9"/>
        <v>1659.4270956838932</v>
      </c>
      <c r="M57" s="478">
        <f t="shared" ca="1" si="10"/>
        <v>20.121642761940628</v>
      </c>
    </row>
    <row r="58" spans="2:13" x14ac:dyDescent="0.25">
      <c r="B58" s="491">
        <f t="shared" si="11"/>
        <v>100</v>
      </c>
      <c r="C58" s="466">
        <f t="shared" si="1"/>
        <v>2.4052818754046858E-3</v>
      </c>
      <c r="D58" s="463">
        <f ca="1">MpropuPlein+2*MasseSans</f>
        <v>19.510999999999999</v>
      </c>
      <c r="E58" s="463">
        <f t="shared" ca="1" si="2"/>
        <v>18.5745</v>
      </c>
      <c r="F58" s="463">
        <f t="shared" ca="1" si="3"/>
        <v>17.637999999999998</v>
      </c>
      <c r="G58" s="470">
        <f t="shared" ca="1" si="4"/>
        <v>33.202609420184309</v>
      </c>
      <c r="H58" s="466">
        <f t="shared" ca="1" si="5"/>
        <v>1.2949376163044421E-4</v>
      </c>
      <c r="I58" s="466">
        <f t="shared" ca="1" si="6"/>
        <v>1.363693091849805E-4</v>
      </c>
      <c r="J58" s="466">
        <f t="shared" ca="1" si="7"/>
        <v>358.0409140848958</v>
      </c>
      <c r="K58" s="473">
        <f t="shared" ca="1" si="8"/>
        <v>150.68755908170158</v>
      </c>
      <c r="L58" s="476">
        <f t="shared" ca="1" si="9"/>
        <v>1363.8720025522668</v>
      </c>
      <c r="M58" s="479">
        <f t="shared" ca="1" si="10"/>
        <v>18.674988346042039</v>
      </c>
    </row>
    <row r="59" spans="2:13" x14ac:dyDescent="0.25">
      <c r="B59" s="489">
        <f t="shared" ref="B59:B67" si="12">D_ref*1.5</f>
        <v>150</v>
      </c>
      <c r="C59" s="464">
        <f t="shared" si="1"/>
        <v>5.4118842196605428E-3</v>
      </c>
      <c r="D59" s="461">
        <f ca="1">MpropuPlein+0*MasseSans</f>
        <v>3.5110000000000001</v>
      </c>
      <c r="E59" s="461">
        <f t="shared" ca="1" si="2"/>
        <v>2.5745</v>
      </c>
      <c r="F59" s="461">
        <f t="shared" ca="1" si="3"/>
        <v>1.6379999999999999</v>
      </c>
      <c r="G59" s="468">
        <f t="shared" ca="1" si="4"/>
        <v>300.51733100610352</v>
      </c>
      <c r="H59" s="464">
        <f t="shared" ca="1" si="5"/>
        <v>2.1021107864286435E-3</v>
      </c>
      <c r="I59" s="464">
        <f t="shared" ca="1" si="6"/>
        <v>3.3039586200613816E-3</v>
      </c>
      <c r="J59" s="464">
        <f t="shared" ca="1" si="7"/>
        <v>1440.049964773531</v>
      </c>
      <c r="K59" s="471">
        <f t="shared" ca="1" si="8"/>
        <v>377.65613998433196</v>
      </c>
      <c r="L59" s="474">
        <f t="shared" ca="1" si="9"/>
        <v>2029.1215603003384</v>
      </c>
      <c r="M59" s="477">
        <f t="shared" ca="1" si="10"/>
        <v>12.609110000633915</v>
      </c>
    </row>
    <row r="60" spans="2:13" x14ac:dyDescent="0.25">
      <c r="B60" s="490">
        <f t="shared" si="12"/>
        <v>150</v>
      </c>
      <c r="C60" s="465">
        <f t="shared" si="1"/>
        <v>5.4118842196605428E-3</v>
      </c>
      <c r="D60" s="462">
        <f ca="1">MpropuPlein+0.25*MasseSans</f>
        <v>5.5110000000000001</v>
      </c>
      <c r="E60" s="462">
        <f t="shared" ca="1" si="2"/>
        <v>4.5745000000000005</v>
      </c>
      <c r="F60" s="462">
        <f t="shared" ca="1" si="3"/>
        <v>3.6379999999999999</v>
      </c>
      <c r="G60" s="469">
        <f t="shared" ca="1" si="4"/>
        <v>164.8402817084301</v>
      </c>
      <c r="H60" s="465">
        <f t="shared" ca="1" si="5"/>
        <v>1.1830548081015503E-3</v>
      </c>
      <c r="I60" s="465">
        <f t="shared" ca="1" si="6"/>
        <v>1.4875987409732113E-3</v>
      </c>
      <c r="J60" s="465">
        <f t="shared" ca="1" si="7"/>
        <v>1174.4727439628425</v>
      </c>
      <c r="K60" s="472">
        <f t="shared" ca="1" si="8"/>
        <v>361.49840668041907</v>
      </c>
      <c r="L60" s="475">
        <f t="shared" ca="1" si="9"/>
        <v>2194.8257452628814</v>
      </c>
      <c r="M60" s="478">
        <f t="shared" ca="1" si="10"/>
        <v>15.853782654751454</v>
      </c>
    </row>
    <row r="61" spans="2:13" x14ac:dyDescent="0.25">
      <c r="B61" s="490">
        <f t="shared" si="12"/>
        <v>150</v>
      </c>
      <c r="C61" s="465">
        <f t="shared" si="1"/>
        <v>5.4118842196605428E-3</v>
      </c>
      <c r="D61" s="462">
        <f ca="1">MpropuPlein+0.5*MasseSans</f>
        <v>7.5110000000000001</v>
      </c>
      <c r="E61" s="462">
        <f t="shared" ca="1" si="2"/>
        <v>6.5745000000000005</v>
      </c>
      <c r="F61" s="462">
        <f t="shared" ca="1" si="3"/>
        <v>5.6379999999999999</v>
      </c>
      <c r="G61" s="469">
        <f t="shared" ca="1" si="4"/>
        <v>111.71068045862248</v>
      </c>
      <c r="H61" s="465">
        <f t="shared" ca="1" si="5"/>
        <v>8.2316285948141193E-4</v>
      </c>
      <c r="I61" s="465">
        <f t="shared" ca="1" si="6"/>
        <v>9.5989432771559824E-4</v>
      </c>
      <c r="J61" s="465">
        <f t="shared" ca="1" si="7"/>
        <v>951.08997290503498</v>
      </c>
      <c r="K61" s="472">
        <f t="shared" ca="1" si="8"/>
        <v>327.65339171775878</v>
      </c>
      <c r="L61" s="475">
        <f t="shared" ca="1" si="9"/>
        <v>2223.4987093156037</v>
      </c>
      <c r="M61" s="478">
        <f t="shared" ca="1" si="10"/>
        <v>17.78324361520388</v>
      </c>
    </row>
    <row r="62" spans="2:13" x14ac:dyDescent="0.25">
      <c r="B62" s="490">
        <f t="shared" si="12"/>
        <v>150</v>
      </c>
      <c r="C62" s="465">
        <f t="shared" si="1"/>
        <v>5.4118842196605428E-3</v>
      </c>
      <c r="D62" s="462">
        <f ca="1">MpropuPlein+0.75*MasseSans</f>
        <v>9.5109999999999992</v>
      </c>
      <c r="E62" s="462">
        <f t="shared" ca="1" si="2"/>
        <v>8.5744999999999987</v>
      </c>
      <c r="F62" s="462">
        <f t="shared" ca="1" si="3"/>
        <v>7.637999999999999</v>
      </c>
      <c r="G62" s="469">
        <f t="shared" ca="1" si="4"/>
        <v>83.366011857859192</v>
      </c>
      <c r="H62" s="465">
        <f t="shared" ca="1" si="5"/>
        <v>6.3116032651006396E-4</v>
      </c>
      <c r="I62" s="465">
        <f t="shared" ca="1" si="6"/>
        <v>7.0854729244050054E-4</v>
      </c>
      <c r="J62" s="465">
        <f t="shared" ca="1" si="7"/>
        <v>777.72124296341963</v>
      </c>
      <c r="K62" s="472">
        <f t="shared" ca="1" si="8"/>
        <v>287.39712182341555</v>
      </c>
      <c r="L62" s="475">
        <f t="shared" ca="1" si="9"/>
        <v>2147.4283488300634</v>
      </c>
      <c r="M62" s="478">
        <f t="shared" ca="1" si="10"/>
        <v>18.859825040827445</v>
      </c>
    </row>
    <row r="63" spans="2:13" x14ac:dyDescent="0.25">
      <c r="B63" s="490">
        <f t="shared" si="12"/>
        <v>150</v>
      </c>
      <c r="C63" s="465">
        <f t="shared" si="1"/>
        <v>5.4118842196605428E-3</v>
      </c>
      <c r="D63" s="462">
        <f ca="1">MpropuPlein+1*MasseSans</f>
        <v>11.510999999999999</v>
      </c>
      <c r="E63" s="462">
        <f t="shared" ca="1" si="2"/>
        <v>10.574499999999999</v>
      </c>
      <c r="F63" s="462">
        <f t="shared" ca="1" si="3"/>
        <v>9.6379999999999981</v>
      </c>
      <c r="G63" s="469">
        <f t="shared" ca="1" si="4"/>
        <v>65.743237852873762</v>
      </c>
      <c r="H63" s="465">
        <f t="shared" ca="1" si="5"/>
        <v>5.1178629908369604E-4</v>
      </c>
      <c r="I63" s="465">
        <f t="shared" ca="1" si="6"/>
        <v>5.6151527491808922E-4</v>
      </c>
      <c r="J63" s="465">
        <f t="shared" ca="1" si="7"/>
        <v>645.77335382844683</v>
      </c>
      <c r="K63" s="472">
        <f t="shared" ca="1" si="8"/>
        <v>249.26007158486863</v>
      </c>
      <c r="L63" s="475">
        <f t="shared" ca="1" si="9"/>
        <v>1996.1464023275007</v>
      </c>
      <c r="M63" s="478">
        <f t="shared" ca="1" si="10"/>
        <v>19.274952009454722</v>
      </c>
    </row>
    <row r="64" spans="2:13" x14ac:dyDescent="0.25">
      <c r="B64" s="490">
        <f t="shared" si="12"/>
        <v>150</v>
      </c>
      <c r="C64" s="465">
        <f t="shared" si="1"/>
        <v>5.4118842196605428E-3</v>
      </c>
      <c r="D64" s="462">
        <f ca="1">MpropuPlein+1.25*MasseSans</f>
        <v>13.510999999999999</v>
      </c>
      <c r="E64" s="462">
        <f t="shared" ca="1" si="2"/>
        <v>12.574499999999999</v>
      </c>
      <c r="F64" s="462">
        <f t="shared" ca="1" si="3"/>
        <v>11.637999999999998</v>
      </c>
      <c r="G64" s="469">
        <f t="shared" ca="1" si="4"/>
        <v>53.726340504609617</v>
      </c>
      <c r="H64" s="465">
        <f t="shared" ca="1" si="5"/>
        <v>4.3038563916342941E-4</v>
      </c>
      <c r="I64" s="465">
        <f t="shared" ca="1" si="6"/>
        <v>4.6501840691360577E-4</v>
      </c>
      <c r="J64" s="465">
        <f t="shared" ca="1" si="7"/>
        <v>544.52538519139171</v>
      </c>
      <c r="K64" s="472">
        <f t="shared" ca="1" si="8"/>
        <v>216.128503854586</v>
      </c>
      <c r="L64" s="475">
        <f t="shared" ca="1" si="9"/>
        <v>1799.9507351416</v>
      </c>
      <c r="M64" s="478">
        <f t="shared" ca="1" si="10"/>
        <v>19.176179833452551</v>
      </c>
    </row>
    <row r="65" spans="2:13" x14ac:dyDescent="0.25">
      <c r="B65" s="490">
        <f t="shared" si="12"/>
        <v>150</v>
      </c>
      <c r="C65" s="465">
        <f t="shared" si="1"/>
        <v>5.4118842196605428E-3</v>
      </c>
      <c r="D65" s="462">
        <f ca="1">MpropuPlein+1.5*MasseSans</f>
        <v>15.510999999999999</v>
      </c>
      <c r="E65" s="462">
        <f t="shared" ca="1" si="2"/>
        <v>14.574499999999999</v>
      </c>
      <c r="F65" s="462">
        <f t="shared" ca="1" si="3"/>
        <v>13.637999999999998</v>
      </c>
      <c r="G65" s="469">
        <f t="shared" ca="1" si="4"/>
        <v>45.007504111647989</v>
      </c>
      <c r="H65" s="465">
        <f t="shared" ca="1" si="5"/>
        <v>3.7132554939521377E-4</v>
      </c>
      <c r="I65" s="465">
        <f t="shared" ca="1" si="6"/>
        <v>3.9682389057490422E-4</v>
      </c>
      <c r="J65" s="465">
        <f t="shared" ca="1" si="7"/>
        <v>465.46006718402828</v>
      </c>
      <c r="K65" s="472">
        <f t="shared" ca="1" si="8"/>
        <v>188.21212882666285</v>
      </c>
      <c r="L65" s="475">
        <f t="shared" ca="1" si="9"/>
        <v>1585.7240107994619</v>
      </c>
      <c r="M65" s="478">
        <f t="shared" ca="1" si="10"/>
        <v>18.701635626541922</v>
      </c>
    </row>
    <row r="66" spans="2:13" x14ac:dyDescent="0.25">
      <c r="B66" s="490">
        <f t="shared" si="12"/>
        <v>150</v>
      </c>
      <c r="C66" s="465">
        <f t="shared" si="1"/>
        <v>5.4118842196605428E-3</v>
      </c>
      <c r="D66" s="462">
        <f ca="1">MpropuPlein+1.75*MasseSans</f>
        <v>17.510999999999999</v>
      </c>
      <c r="E66" s="462">
        <f t="shared" ca="1" si="2"/>
        <v>16.5745</v>
      </c>
      <c r="F66" s="462">
        <f t="shared" ca="1" si="3"/>
        <v>15.637999999999998</v>
      </c>
      <c r="G66" s="469">
        <f t="shared" ca="1" si="4"/>
        <v>38.392824439664153</v>
      </c>
      <c r="H66" s="465">
        <f t="shared" ca="1" si="5"/>
        <v>3.2651870159947766E-4</v>
      </c>
      <c r="I66" s="465">
        <f t="shared" ca="1" si="6"/>
        <v>3.4607265760714566E-4</v>
      </c>
      <c r="J66" s="465">
        <f t="shared" ca="1" si="7"/>
        <v>402.50814584834188</v>
      </c>
      <c r="K66" s="472">
        <f t="shared" ca="1" si="8"/>
        <v>164.85922197422249</v>
      </c>
      <c r="L66" s="475">
        <f t="shared" ca="1" si="9"/>
        <v>1373.8769608837258</v>
      </c>
      <c r="M66" s="478">
        <f t="shared" ca="1" si="10"/>
        <v>17.978898527111937</v>
      </c>
    </row>
    <row r="67" spans="2:13" x14ac:dyDescent="0.25">
      <c r="B67" s="491">
        <f t="shared" si="12"/>
        <v>150</v>
      </c>
      <c r="C67" s="466">
        <f t="shared" si="1"/>
        <v>5.4118842196605428E-3</v>
      </c>
      <c r="D67" s="463">
        <f ca="1">MpropuPlein+2*MasseSans</f>
        <v>19.510999999999999</v>
      </c>
      <c r="E67" s="463">
        <f t="shared" ca="1" si="2"/>
        <v>18.5745</v>
      </c>
      <c r="F67" s="463">
        <f t="shared" ca="1" si="3"/>
        <v>17.637999999999998</v>
      </c>
      <c r="G67" s="470">
        <f t="shared" ca="1" si="4"/>
        <v>33.202609420184309</v>
      </c>
      <c r="H67" s="466">
        <f t="shared" ca="1" si="5"/>
        <v>2.9136096366849944E-4</v>
      </c>
      <c r="I67" s="466">
        <f t="shared" ca="1" si="6"/>
        <v>3.0683094566620611E-4</v>
      </c>
      <c r="J67" s="466">
        <f t="shared" ca="1" si="7"/>
        <v>351.44986731227885</v>
      </c>
      <c r="K67" s="473">
        <f t="shared" ca="1" si="8"/>
        <v>145.27020112807938</v>
      </c>
      <c r="L67" s="476">
        <f t="shared" ca="1" si="9"/>
        <v>1177.3991092676665</v>
      </c>
      <c r="M67" s="479">
        <f t="shared" ca="1" si="10"/>
        <v>17.115952285861361</v>
      </c>
    </row>
    <row r="71" spans="2:13" x14ac:dyDescent="0.25">
      <c r="B71" s="35" t="str">
        <f>IF(Lang="Français","Textes pour les graphiques :","Texts for graphics :")</f>
        <v>Textes pour les graphiques :</v>
      </c>
    </row>
    <row r="73" spans="2:13" x14ac:dyDescent="0.25">
      <c r="B73" t="str">
        <f>IF(Lang="Français","Masse totale",IF(Lang="English","Total Mass",""))</f>
        <v>Masse totale</v>
      </c>
    </row>
    <row r="74" spans="2:13" x14ac:dyDescent="0.25">
      <c r="B74" t="str">
        <f>IF(Lang="Français","Vitesse max",IF(Lang="English","Max Velocity",""))</f>
        <v>Vitesse max</v>
      </c>
    </row>
    <row r="75" spans="2:13" x14ac:dyDescent="0.25">
      <c r="B75" t="str">
        <f>Abaco!$B$74 &amp; " / " &amp; Abaco!$B$73</f>
        <v>Vitesse max / Masse totale</v>
      </c>
    </row>
    <row r="76" spans="2:13" x14ac:dyDescent="0.25">
      <c r="B76" t="str">
        <f>IF(Lang="Français","Altitude max",IF(Lang="English","Max Altitude",""))</f>
        <v>Altitude max</v>
      </c>
    </row>
    <row r="77" spans="2:13" x14ac:dyDescent="0.25">
      <c r="B77" t="str">
        <f>Abaco!$B$76 &amp; " / " &amp; Abaco!$B$73</f>
        <v>Altitude max / Masse totale</v>
      </c>
    </row>
    <row r="78" spans="2:13" x14ac:dyDescent="0.25">
      <c r="B78" t="str">
        <f>IF(Lang="Français","Temps de culmination",IF(Lang="English","Apogee time",""))</f>
        <v>Temps de culmination</v>
      </c>
    </row>
    <row r="79" spans="2:13" x14ac:dyDescent="0.25">
      <c r="B79" t="str">
        <f>Abaco!$B$78 &amp; " / " &amp; Abaco!$B$73</f>
        <v>Temps de culmination / Masse totale</v>
      </c>
    </row>
  </sheetData>
  <sheetProtection password="C6AC" sheet="1"/>
  <mergeCells count="12">
    <mergeCell ref="C10:D10"/>
    <mergeCell ref="C12:D12"/>
    <mergeCell ref="C14:D14"/>
    <mergeCell ref="C15:D15"/>
    <mergeCell ref="C16:D16"/>
    <mergeCell ref="C11:D11"/>
    <mergeCell ref="C9:D9"/>
    <mergeCell ref="C2:D3"/>
    <mergeCell ref="C4:D4"/>
    <mergeCell ref="C5:D5"/>
    <mergeCell ref="C7:D7"/>
    <mergeCell ref="C8:D8"/>
  </mergeCells>
  <dataValidations count="3">
    <dataValidation type="decimal" errorStyle="warning" showErrorMessage="1" errorTitle="Cx" error="Le Cx est souvent compris entre 0 et 1._x000a_Cx may be between 0 &amp; 1." sqref="C16:D16" xr:uid="{00000000-0002-0000-0500-000000000000}">
      <formula1>0</formula1>
      <formula2>1</formula2>
    </dataValidation>
    <dataValidation operator="greaterThanOrEqual" sqref="C10:D11" xr:uid="{00000000-0002-0000-0500-000001000000}"/>
    <dataValidation sqref="C12:D12" xr:uid="{00000000-0002-0000-0500-000002000000}"/>
  </dataValidations>
  <hyperlinks>
    <hyperlink ref="B12" location="Stabilito!C17" display="Stabilito!C17" xr:uid="{00000000-0004-0000-0500-000000000000}"/>
  </hyperlinks>
  <pageMargins left="0.70866141732283472" right="0.70866141732283472" top="0.74803149606299213" bottom="0.74803149606299213" header="0.31496062992125984" footer="0.31496062992125984"/>
  <pageSetup paperSize="9" scale="92" orientation="landscape" r:id="rId1"/>
  <drawing r:id="rId2"/>
  <legacyDrawing r:id="rId3"/>
  <oleObjects>
    <mc:AlternateContent xmlns:mc="http://schemas.openxmlformats.org/markup-compatibility/2006">
      <mc:Choice Requires="x14">
        <oleObject progId="Equation.3" shapeId="2604101" r:id="rId4">
          <objectPr defaultSize="0" autoPict="0" r:id="rId5">
            <anchor moveWithCells="1">
              <from>
                <xdr:col>8</xdr:col>
                <xdr:colOff>388620</xdr:colOff>
                <xdr:row>68</xdr:row>
                <xdr:rowOff>22860</xdr:rowOff>
              </from>
              <to>
                <xdr:col>12</xdr:col>
                <xdr:colOff>899160</xdr:colOff>
                <xdr:row>85</xdr:row>
                <xdr:rowOff>15240</xdr:rowOff>
              </to>
            </anchor>
          </objectPr>
        </oleObject>
      </mc:Choice>
      <mc:Fallback>
        <oleObject progId="Equation.3" shapeId="2604101" r:id="rId4"/>
      </mc:Fallback>
    </mc:AlternateContent>
  </oleObjects>
  <mc:AlternateContent xmlns:mc="http://schemas.openxmlformats.org/markup-compatibility/2006">
    <mc:Choice Requires="x14">
      <controls>
        <mc:AlternateContent xmlns:mc="http://schemas.openxmlformats.org/markup-compatibility/2006">
          <mc:Choice Requires="x14">
            <control shapeId="2604063" r:id="rId6" name="Spinner 31">
              <controlPr defaultSize="0" print="0" autoPict="0">
                <anchor moveWithCells="1" sizeWithCells="1">
                  <from>
                    <xdr:col>3</xdr:col>
                    <xdr:colOff>769620</xdr:colOff>
                    <xdr:row>9</xdr:row>
                    <xdr:rowOff>15240</xdr:rowOff>
                  </from>
                  <to>
                    <xdr:col>4</xdr:col>
                    <xdr:colOff>0</xdr:colOff>
                    <xdr:row>10</xdr:row>
                    <xdr:rowOff>0</xdr:rowOff>
                  </to>
                </anchor>
              </controlPr>
            </control>
          </mc:Choice>
        </mc:AlternateContent>
        <mc:AlternateContent xmlns:mc="http://schemas.openxmlformats.org/markup-compatibility/2006">
          <mc:Choice Requires="x14">
            <control shapeId="2604202" r:id="rId7" name="Spinner 170">
              <controlPr defaultSize="0" print="0" autoPict="0">
                <anchor moveWithCells="1" sizeWithCells="1">
                  <from>
                    <xdr:col>3</xdr:col>
                    <xdr:colOff>769620</xdr:colOff>
                    <xdr:row>10</xdr:row>
                    <xdr:rowOff>15240</xdr:rowOff>
                  </from>
                  <to>
                    <xdr:col>4</xdr:col>
                    <xdr:colOff>0</xdr:colOff>
                    <xdr:row>11</xdr:row>
                    <xdr:rowOff>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6">
    <pageSetUpPr fitToPage="1"/>
  </sheetPr>
  <dimension ref="C2:H59"/>
  <sheetViews>
    <sheetView showGridLines="0" topLeftCell="A22" workbookViewId="0">
      <selection activeCell="E49" sqref="E49"/>
    </sheetView>
  </sheetViews>
  <sheetFormatPr baseColWidth="10" defaultRowHeight="13.2" x14ac:dyDescent="0.25"/>
  <cols>
    <col min="1" max="1" width="2.21875" customWidth="1"/>
    <col min="2" max="2" width="16.21875" customWidth="1"/>
    <col min="3" max="4" width="13.6640625" customWidth="1"/>
  </cols>
  <sheetData>
    <row r="2" spans="3:8" x14ac:dyDescent="0.25">
      <c r="C2" s="735" t="s">
        <v>179</v>
      </c>
      <c r="D2" s="735"/>
    </row>
    <row r="3" spans="3:8" x14ac:dyDescent="0.25">
      <c r="C3" s="735"/>
      <c r="D3" s="735"/>
    </row>
    <row r="5" spans="3:8" x14ac:dyDescent="0.25">
      <c r="C5" s="18" t="str">
        <f>IF(Lang="Français","Stabilité de fusée à ailerons","Stability of finned rocket")</f>
        <v>Stabilité de fusée à ailerons</v>
      </c>
    </row>
    <row r="6" spans="3:8" x14ac:dyDescent="0.25">
      <c r="C6" s="19" t="str">
        <f>IF(Lang="Français","Calculs de Stabilité basés sur les équations de Barrowman","Stability calculs are based on Barrowman equations")</f>
        <v>Calculs de Stabilité basés sur les équations de Barrowman</v>
      </c>
    </row>
    <row r="7" spans="3:8" x14ac:dyDescent="0.25">
      <c r="C7" s="18" t="str">
        <f>IF(Lang="Français","Trajectographie de fusée","Rocket Trajectography")</f>
        <v>Trajectographie de fusée</v>
      </c>
    </row>
    <row r="8" spans="3:8" x14ac:dyDescent="0.25">
      <c r="C8" s="19" t="str">
        <f>IF(Lang="Français","Trajectoire dans un plan par calcul pas à pas","Trajectory in a plane, step by step computation")</f>
        <v>Trajectoire dans un plan par calcul pas à pas</v>
      </c>
    </row>
    <row r="9" spans="3:8" x14ac:dyDescent="0.25">
      <c r="C9" s="19"/>
    </row>
    <row r="10" spans="3:8" x14ac:dyDescent="0.25">
      <c r="C10" s="20" t="str">
        <f>IF(Lang="Français","Documentation et équations :","Documentation and equations are aviable in french:")</f>
        <v>Documentation et équations :</v>
      </c>
    </row>
    <row r="11" spans="3:8" x14ac:dyDescent="0.25">
      <c r="C11" t="str">
        <f>IF(Lang="Français","voir le dossier technique Planète-Sciences ''Le Vol de la Fusée, Stabilité &amp; Trajectographie''","dossier technique Planète-Sciences ''Le Vol de la Fusée, Stabilité &amp; Trajectographie''")</f>
        <v>voir le dossier technique Planète-Sciences ''Le Vol de la Fusée, Stabilité &amp; Trajectographie''</v>
      </c>
    </row>
    <row r="12" spans="3:8" x14ac:dyDescent="0.25">
      <c r="C12" t="str">
        <f>IF(Lang="Français","Néanmoins, les équations d'intégration du mouvement utilisées sont légèrement différentes !","")</f>
        <v>Néanmoins, les équations d'intégration du mouvement utilisées sont légèrement différentes !</v>
      </c>
    </row>
    <row r="13" spans="3:8" x14ac:dyDescent="0.25">
      <c r="C13" t="str">
        <f>IF(Lang="Français","Logiciels et dossier technique téléchargeables sur :","Softwares and french documentation can be downloaded at:")</f>
        <v>Logiciels et dossier technique téléchargeables sur :</v>
      </c>
      <c r="H13" s="25" t="s">
        <v>40</v>
      </c>
    </row>
    <row r="15" spans="3:8" x14ac:dyDescent="0.25">
      <c r="C15" s="20" t="str">
        <f>IF(Lang="Français","Pour les experts :","For experts:")</f>
        <v>Pour les experts :</v>
      </c>
    </row>
    <row r="16" spans="3:8" x14ac:dyDescent="0.25">
      <c r="C16" s="24" t="str">
        <f>IF(Lang="Français","Pour les curieux et les experts, vous pouvez déprotéger les feuilles de calcul (mot de passe : anstj),","Curious people can unlock excel sheets with this password : anstj")</f>
        <v>Pour les curieux et les experts, vous pouvez déprotéger les feuilles de calcul (mot de passe : anstj),</v>
      </c>
    </row>
    <row r="17" spans="3:8" x14ac:dyDescent="0.25">
      <c r="C17" s="23" t="str">
        <f>IF(Lang="Français","et faire vos modifications personnelles (ajout de moteur...).","and do your personal modification (adding a motor...)")</f>
        <v>et faire vos modifications personnelles (ajout de moteur...).</v>
      </c>
    </row>
    <row r="18" spans="3:8" x14ac:dyDescent="0.25">
      <c r="C18" s="24" t="s">
        <v>421</v>
      </c>
    </row>
    <row r="19" spans="3:8" x14ac:dyDescent="0.25">
      <c r="C19" s="23" t="str">
        <f>IF(Lang="Français","Merci néanmoins de diffuser uniquement la version officielle protégée (fichier initial).","Please avoid distributing unlocked version.")</f>
        <v>Merci néanmoins de diffuser uniquement la version officielle protégée (fichier initial).</v>
      </c>
    </row>
    <row r="20" spans="3:8" x14ac:dyDescent="0.25">
      <c r="C20" s="23" t="str">
        <f>IF(Lang="Français","Aucune Macro. Mise en forme conditionnelle, Noms de zone.","No macro. Conditionnal formating, named zones.")</f>
        <v>Aucune Macro. Mise en forme conditionnelle, Noms de zone.</v>
      </c>
    </row>
    <row r="21" spans="3:8" x14ac:dyDescent="0.25">
      <c r="C21" s="69" t="str">
        <f>IF(Lang="Français","Pour changer les choix des menus déroulants et les restrictions des cellules jaunes, cf. Données&gt; Validations…", "To change choices menu &amp; yellow cells restrictions, go to data validation.")</f>
        <v>Pour changer les choix des menus déroulants et les restrictions des cellules jaunes, cf. Données&gt; Validations…</v>
      </c>
    </row>
    <row r="22" spans="3:8" x14ac:dyDescent="0.25">
      <c r="C22" s="69" t="str">
        <f>IF(Lang="Français","Les unités sont réglés dans le Format de la cellule.","Units are set in cell number Format")</f>
        <v>Les unités sont réglés dans le Format de la cellule.</v>
      </c>
      <c r="H22" s="21" t="s">
        <v>38</v>
      </c>
    </row>
    <row r="23" spans="3:8" x14ac:dyDescent="0.25">
      <c r="C23" s="23" t="str">
        <f>IF(Lang="Français","Vous pouvez proposer vos améliorations en envoyant votre fichier à : ","Send all remarks and improvements proposals to:")</f>
        <v xml:space="preserve">Vous pouvez proposer vos améliorations en envoyant votre fichier à : </v>
      </c>
      <c r="H23" s="21"/>
    </row>
    <row r="25" spans="3:8" x14ac:dyDescent="0.25">
      <c r="C25" s="20" t="str">
        <f>IF(Lang="Français","Licence :","License:")</f>
        <v>Licence :</v>
      </c>
      <c r="D25" s="22"/>
    </row>
    <row r="26" spans="3:8" x14ac:dyDescent="0.25">
      <c r="C26" t="str">
        <f>IF(Lang="Français","Ce logiciel est placé sous la licence Creative Commons BY-SA","This software is placed under Creative Commons licence BY-SA")</f>
        <v>Ce logiciel est placé sous la licence Creative Commons BY-SA</v>
      </c>
      <c r="H26" s="90" t="s">
        <v>123</v>
      </c>
    </row>
    <row r="28" spans="3:8" x14ac:dyDescent="0.25">
      <c r="C28" s="20" t="str">
        <f>IF(Lang="Français","Compatibilité :","Compatibility:")</f>
        <v>Compatibilité :</v>
      </c>
    </row>
    <row r="29" spans="3:8" x14ac:dyDescent="0.25">
      <c r="C29" t="s">
        <v>153</v>
      </c>
    </row>
    <row r="30" spans="3:8" x14ac:dyDescent="0.25">
      <c r="C30" t="s">
        <v>302</v>
      </c>
    </row>
    <row r="31" spans="3:8" x14ac:dyDescent="0.25">
      <c r="C31" s="70" t="s">
        <v>111</v>
      </c>
    </row>
    <row r="33" spans="3:6" x14ac:dyDescent="0.25">
      <c r="C33" s="20" t="str">
        <f>IF(Lang="Français","Historique :","History:")</f>
        <v>Historique :</v>
      </c>
    </row>
    <row r="34" spans="3:6" x14ac:dyDescent="0.25">
      <c r="C34" t="s">
        <v>103</v>
      </c>
      <c r="D34" t="s">
        <v>43</v>
      </c>
      <c r="E34" s="68" t="s">
        <v>102</v>
      </c>
      <c r="F34" t="str">
        <f>IF(Lang="Français","Essais personnels, héritage d'une feuille de calcul de Vincent Girard, ESO","Personnel tests")</f>
        <v>Essais personnels, héritage d'une feuille de calcul de Vincent Girard, ESO</v>
      </c>
    </row>
    <row r="35" spans="3:6" x14ac:dyDescent="0.25">
      <c r="C35" t="s">
        <v>104</v>
      </c>
      <c r="D35" t="s">
        <v>43</v>
      </c>
      <c r="E35" s="22">
        <v>39483</v>
      </c>
      <c r="F35" t="str">
        <f>IF(Lang="Français","Equations de Barrowman généralisées (D_ref), masquage inter-ailerons, bilingue fr-en","Generalized Barrowman equations (D_ref), fin-fin interaction, english translation")</f>
        <v>Equations de Barrowman généralisées (D_ref), masquage inter-ailerons, bilingue fr-en</v>
      </c>
    </row>
    <row r="36" spans="3:6" x14ac:dyDescent="0.25">
      <c r="C36" t="s">
        <v>105</v>
      </c>
      <c r="D36" t="s">
        <v>43</v>
      </c>
      <c r="E36" s="22">
        <v>39507</v>
      </c>
      <c r="F36" t="str">
        <f>IF(Lang="Français","Schéma de la fusée, estimation analytique de la trajecto, diagramme des critères","Rocket schematic, analytical trajecto, criterions diagram")</f>
        <v>Schéma de la fusée, estimation analytique de la trajecto, diagramme des critères</v>
      </c>
    </row>
    <row r="37" spans="3:6" x14ac:dyDescent="0.25">
      <c r="C37" t="s">
        <v>106</v>
      </c>
      <c r="D37" t="s">
        <v>43</v>
      </c>
      <c r="E37" s="22">
        <v>39694</v>
      </c>
      <c r="F37" t="str">
        <f>IF(Lang="Français","Mise en forme","Formatting")</f>
        <v>Mise en forme</v>
      </c>
    </row>
    <row r="38" spans="3:6" x14ac:dyDescent="0.25">
      <c r="C38" t="s">
        <v>107</v>
      </c>
      <c r="D38" t="s">
        <v>43</v>
      </c>
      <c r="E38" s="22">
        <v>39643</v>
      </c>
      <c r="F38" t="str">
        <f>IF(Lang="Français","Essais personnels, héritage d'une feuille de calcul de Félicien Roux, ESO","Personal tests")</f>
        <v>Essais personnels, héritage d'une feuille de calcul de Félicien Roux, ESO</v>
      </c>
    </row>
    <row r="39" spans="3:6" x14ac:dyDescent="0.25">
      <c r="C39" t="s">
        <v>108</v>
      </c>
      <c r="D39" t="s">
        <v>43</v>
      </c>
      <c r="E39" s="22">
        <v>39755</v>
      </c>
      <c r="F39" t="str">
        <f>IF(Lang="Français","Réécriture équations, traduction, érgonomie","Equations, traduction, ergonomy")</f>
        <v>Réécriture équations, traduction, érgonomie</v>
      </c>
    </row>
    <row r="40" spans="3:6" x14ac:dyDescent="0.25">
      <c r="C40" t="s">
        <v>109</v>
      </c>
      <c r="D40" t="s">
        <v>43</v>
      </c>
      <c r="E40" s="22">
        <v>39756</v>
      </c>
      <c r="F40" t="str">
        <f>IF(Lang="Français","Conditions Initiales pour vol 2e étage, 1ère publication","Initial Conditions, 1st publication")</f>
        <v>Conditions Initiales pour vol 2e étage, 1ère publication</v>
      </c>
    </row>
    <row r="41" spans="3:6" x14ac:dyDescent="0.25">
      <c r="C41" t="s">
        <v>110</v>
      </c>
      <c r="D41" t="s">
        <v>43</v>
      </c>
      <c r="E41" s="22">
        <v>40658</v>
      </c>
      <c r="F41" t="s">
        <v>53</v>
      </c>
    </row>
    <row r="42" spans="3:6" x14ac:dyDescent="0.25">
      <c r="C42" t="s">
        <v>180</v>
      </c>
      <c r="D42" t="s">
        <v>43</v>
      </c>
      <c r="E42" s="22">
        <v>40868</v>
      </c>
      <c r="F42" t="str">
        <f>IF(Lang="Français","Fusion Stabilito+Trajecto, mise en forme, Ctrl, RC, H2O, Abaco","Merge Stabilito+Trajecto, formatting, Ctrl, RC, H2O, Abaco")</f>
        <v>Fusion Stabilito+Trajecto, mise en forme, Ctrl, RC, H2O, Abaco</v>
      </c>
    </row>
    <row r="43" spans="3:6" x14ac:dyDescent="0.25">
      <c r="C43" t="s">
        <v>329</v>
      </c>
      <c r="D43" t="s">
        <v>43</v>
      </c>
      <c r="E43" s="22">
        <v>41194</v>
      </c>
      <c r="F43" t="s">
        <v>333</v>
      </c>
    </row>
    <row r="44" spans="3:6" x14ac:dyDescent="0.25">
      <c r="C44" t="s">
        <v>330</v>
      </c>
      <c r="D44" t="s">
        <v>43</v>
      </c>
      <c r="E44" s="22">
        <v>41329</v>
      </c>
      <c r="F44" t="s">
        <v>334</v>
      </c>
    </row>
    <row r="45" spans="3:6" x14ac:dyDescent="0.25">
      <c r="C45" t="s">
        <v>418</v>
      </c>
      <c r="D45" t="s">
        <v>397</v>
      </c>
      <c r="E45" s="22">
        <v>41947</v>
      </c>
      <c r="F45" t="s">
        <v>417</v>
      </c>
    </row>
    <row r="46" spans="3:6" x14ac:dyDescent="0.25">
      <c r="C46" t="s">
        <v>422</v>
      </c>
      <c r="D46" t="s">
        <v>397</v>
      </c>
      <c r="E46" s="22">
        <v>41965</v>
      </c>
      <c r="F46" t="s">
        <v>420</v>
      </c>
    </row>
    <row r="47" spans="3:6" x14ac:dyDescent="0.25">
      <c r="C47" t="s">
        <v>544</v>
      </c>
      <c r="D47" t="s">
        <v>397</v>
      </c>
      <c r="E47" s="22">
        <v>43048</v>
      </c>
      <c r="F47" t="s">
        <v>545</v>
      </c>
    </row>
    <row r="48" spans="3:6" x14ac:dyDescent="0.25">
      <c r="C48" t="s">
        <v>549</v>
      </c>
      <c r="D48" t="s">
        <v>397</v>
      </c>
      <c r="E48" s="22">
        <v>44160</v>
      </c>
      <c r="F48" t="s">
        <v>551</v>
      </c>
    </row>
    <row r="49" spans="3:6" x14ac:dyDescent="0.25">
      <c r="E49" s="22"/>
    </row>
    <row r="51" spans="3:6" x14ac:dyDescent="0.25">
      <c r="C51" s="20" t="str">
        <f>IF(Lang="Français","Paramètres de référence :","Reference parameters:")</f>
        <v>Paramètres de référence :</v>
      </c>
    </row>
    <row r="52" spans="3:6" x14ac:dyDescent="0.25">
      <c r="C52" s="84" t="str">
        <f>IF(Lang="Français","Gravité g :","Gravity g")</f>
        <v>Gravité g :</v>
      </c>
      <c r="E52" s="84">
        <v>9.81</v>
      </c>
      <c r="F52" s="84" t="s">
        <v>7</v>
      </c>
    </row>
    <row r="53" spans="3:6" x14ac:dyDescent="0.25">
      <c r="C53" s="84" t="str">
        <f>IF(Lang="Français","Masse volumique de l'air ρ :","Air density ρ")</f>
        <v>Masse volumique de l'air ρ :</v>
      </c>
      <c r="E53" s="85">
        <v>1.2250000000000001</v>
      </c>
      <c r="F53" s="84" t="s">
        <v>8</v>
      </c>
    </row>
    <row r="54" spans="3:6" x14ac:dyDescent="0.25">
      <c r="C54" s="69"/>
    </row>
    <row r="55" spans="3:6" x14ac:dyDescent="0.25">
      <c r="C55" s="69"/>
    </row>
    <row r="56" spans="3:6" x14ac:dyDescent="0.25">
      <c r="C56" s="69"/>
    </row>
    <row r="57" spans="3:6" x14ac:dyDescent="0.25">
      <c r="C57" s="69"/>
    </row>
    <row r="58" spans="3:6" x14ac:dyDescent="0.25">
      <c r="C58" s="69"/>
    </row>
    <row r="59" spans="3:6" x14ac:dyDescent="0.25">
      <c r="C59" s="69"/>
    </row>
  </sheetData>
  <sheetProtection password="C6AC" sheet="1" objects="1" scenarios="1"/>
  <mergeCells count="1">
    <mergeCell ref="C2:D3"/>
  </mergeCells>
  <phoneticPr fontId="8" type="noConversion"/>
  <hyperlinks>
    <hyperlink ref="H13" r:id="rId1" xr:uid="{00000000-0004-0000-0600-000000000000}"/>
    <hyperlink ref="H22" r:id="rId2" xr:uid="{00000000-0004-0000-0600-000001000000}"/>
    <hyperlink ref="H26" r:id="rId3" xr:uid="{00000000-0004-0000-0600-000002000000}"/>
  </hyperlinks>
  <pageMargins left="0.39370078740157483" right="0.39370078740157483" top="0.39370078740157483" bottom="0.39370078740157483" header="0" footer="0"/>
  <pageSetup scale="73" firstPageNumber="0" orientation="portrait" horizontalDpi="300" verticalDpi="300" r:id="rId4"/>
  <headerFooter alignWithMargins="0"/>
  <drawing r:id="rId5"/>
  <legacyDrawing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7">
    <pageSetUpPr fitToPage="1"/>
  </sheetPr>
  <dimension ref="B1:U134"/>
  <sheetViews>
    <sheetView showGridLines="0" topLeftCell="D1" zoomScaleNormal="100" workbookViewId="0">
      <selection activeCell="H4" sqref="H4"/>
    </sheetView>
  </sheetViews>
  <sheetFormatPr baseColWidth="10" defaultColWidth="11.6640625" defaultRowHeight="13.2" x14ac:dyDescent="0.25"/>
  <cols>
    <col min="1" max="2" width="2.21875" customWidth="1"/>
    <col min="3" max="3" width="12.6640625" customWidth="1"/>
    <col min="4" max="4" width="21" customWidth="1"/>
    <col min="7" max="7" width="26.6640625" customWidth="1"/>
    <col min="8" max="9" width="6.77734375" customWidth="1"/>
    <col min="10" max="10" width="10" customWidth="1"/>
    <col min="11" max="11" width="13" customWidth="1"/>
    <col min="12" max="12" width="21.21875" customWidth="1"/>
    <col min="14" max="14" width="2.21875" customWidth="1"/>
    <col min="18" max="19" width="16.21875" customWidth="1"/>
  </cols>
  <sheetData>
    <row r="1" spans="2:21" ht="13.8" thickBot="1" x14ac:dyDescent="0.3">
      <c r="O1" s="8"/>
      <c r="P1" s="499"/>
      <c r="Q1" s="500"/>
      <c r="R1" s="499"/>
      <c r="S1" s="499"/>
      <c r="T1" s="499"/>
      <c r="U1" s="499"/>
    </row>
    <row r="2" spans="2:21" ht="13.8" thickBot="1" x14ac:dyDescent="0.3">
      <c r="B2" s="93"/>
      <c r="C2" s="94"/>
      <c r="D2" s="94"/>
      <c r="E2" s="94"/>
      <c r="F2" s="94"/>
      <c r="G2" s="94"/>
      <c r="H2" s="94"/>
      <c r="I2" s="94"/>
      <c r="J2" s="94"/>
      <c r="K2" s="94"/>
      <c r="L2" s="94"/>
      <c r="M2" s="94"/>
      <c r="N2" s="95"/>
      <c r="O2" s="8"/>
      <c r="P2" s="499"/>
      <c r="Q2" s="500"/>
      <c r="R2" s="499"/>
      <c r="S2" s="499"/>
      <c r="T2" s="499"/>
      <c r="U2" s="499"/>
    </row>
    <row r="3" spans="2:21" ht="15.75" customHeight="1" thickBot="1" x14ac:dyDescent="0.3">
      <c r="B3" s="96"/>
      <c r="C3" s="81"/>
      <c r="D3" s="2" t="s">
        <v>431</v>
      </c>
      <c r="E3" s="81"/>
      <c r="F3" s="81"/>
      <c r="G3" s="81"/>
      <c r="H3" s="81"/>
      <c r="I3" s="81"/>
      <c r="J3" s="81"/>
      <c r="K3" s="81"/>
      <c r="L3" s="81"/>
      <c r="M3" s="81"/>
      <c r="N3" s="97"/>
      <c r="O3" s="8"/>
      <c r="P3" s="501" t="s">
        <v>342</v>
      </c>
      <c r="Q3" s="511">
        <f>Long_ogive</f>
        <v>250</v>
      </c>
      <c r="R3" s="499"/>
      <c r="S3" s="499"/>
      <c r="T3" s="499"/>
      <c r="U3" s="499"/>
    </row>
    <row r="4" spans="2:21" ht="15.75" customHeight="1" x14ac:dyDescent="0.25">
      <c r="B4" s="96"/>
      <c r="C4" s="81"/>
      <c r="D4" s="2"/>
      <c r="E4" s="81"/>
      <c r="F4" s="81"/>
      <c r="G4" s="81"/>
      <c r="H4" s="81"/>
      <c r="I4" s="81"/>
      <c r="J4" s="81"/>
      <c r="K4" s="81"/>
      <c r="L4" s="81"/>
      <c r="M4" s="81"/>
      <c r="N4" s="97"/>
      <c r="O4" s="8"/>
      <c r="P4" s="501"/>
      <c r="Q4" s="505"/>
      <c r="R4" s="499"/>
      <c r="S4" s="499"/>
      <c r="T4" s="499"/>
      <c r="U4" s="499"/>
    </row>
    <row r="5" spans="2:21" ht="15.75" customHeight="1" x14ac:dyDescent="0.25">
      <c r="B5" s="96"/>
      <c r="C5" s="81"/>
      <c r="D5" s="644" t="s">
        <v>464</v>
      </c>
      <c r="E5" s="81" t="str">
        <f>Propu</f>
        <v>Orignal (Pro75-3G C)</v>
      </c>
      <c r="F5" s="81"/>
      <c r="G5" s="81" t="s">
        <v>461</v>
      </c>
      <c r="H5" s="81">
        <f>MasseSans</f>
        <v>8</v>
      </c>
      <c r="I5" s="81"/>
      <c r="J5" s="81"/>
      <c r="K5" s="81"/>
      <c r="L5" s="81"/>
      <c r="M5" s="81"/>
      <c r="N5" s="97"/>
      <c r="O5" s="8"/>
      <c r="P5" s="501"/>
      <c r="Q5" s="505"/>
      <c r="R5" s="499"/>
      <c r="S5" s="499"/>
      <c r="T5" s="499"/>
      <c r="U5" s="499"/>
    </row>
    <row r="6" spans="2:21" x14ac:dyDescent="0.25">
      <c r="B6" s="96"/>
      <c r="D6" s="81" t="s">
        <v>457</v>
      </c>
      <c r="E6" s="2" t="str">
        <f>Trajecto!H32</f>
        <v>Brun/Orange…</v>
      </c>
      <c r="G6" s="81" t="s">
        <v>462</v>
      </c>
      <c r="H6" s="81">
        <f>D_ref</f>
        <v>100</v>
      </c>
      <c r="I6" s="81"/>
      <c r="J6" s="81"/>
      <c r="K6" s="81"/>
      <c r="L6" s="81"/>
      <c r="M6" s="81"/>
      <c r="N6" s="97"/>
      <c r="O6" s="8"/>
      <c r="P6" s="501"/>
      <c r="Q6" s="505"/>
      <c r="R6" s="499"/>
      <c r="S6" s="499"/>
      <c r="T6" s="499"/>
      <c r="U6" s="499"/>
    </row>
    <row r="7" spans="2:21" x14ac:dyDescent="0.25">
      <c r="B7" s="96"/>
      <c r="D7" s="81" t="s">
        <v>459</v>
      </c>
      <c r="E7" s="2" t="str">
        <f>Trajecto!H33</f>
        <v>Rouge…</v>
      </c>
      <c r="G7" t="s">
        <v>5</v>
      </c>
      <c r="H7">
        <f>Cx</f>
        <v>0.5</v>
      </c>
      <c r="I7" s="81"/>
      <c r="J7" s="81"/>
      <c r="K7" s="81"/>
      <c r="L7" s="81"/>
      <c r="M7" s="81"/>
      <c r="N7" s="97"/>
      <c r="O7" s="8"/>
      <c r="P7" s="501"/>
      <c r="Q7" s="505"/>
      <c r="R7" s="499"/>
      <c r="S7" s="499"/>
      <c r="T7" s="499"/>
      <c r="U7" s="499"/>
    </row>
    <row r="8" spans="2:21" x14ac:dyDescent="0.25">
      <c r="B8" s="96"/>
      <c r="D8" s="81" t="s">
        <v>460</v>
      </c>
      <c r="E8" s="2">
        <f>S_para</f>
        <v>0.64</v>
      </c>
      <c r="G8" s="81" t="s">
        <v>463</v>
      </c>
      <c r="H8" s="81">
        <f>L_rampe</f>
        <v>4</v>
      </c>
      <c r="I8" s="81"/>
      <c r="J8" s="81"/>
      <c r="K8" s="81"/>
      <c r="L8" s="81"/>
      <c r="M8" s="81"/>
      <c r="N8" s="97"/>
      <c r="O8" s="8"/>
      <c r="P8" s="501"/>
      <c r="Q8" s="505"/>
      <c r="R8" s="499"/>
      <c r="S8" s="499"/>
      <c r="T8" s="499"/>
      <c r="U8" s="499"/>
    </row>
    <row r="9" spans="2:21" x14ac:dyDescent="0.25">
      <c r="B9" s="96"/>
      <c r="D9" s="24" t="s">
        <v>458</v>
      </c>
      <c r="E9" s="2"/>
      <c r="G9" s="24" t="s">
        <v>147</v>
      </c>
      <c r="H9" s="643" t="str">
        <f>Forme_ogive</f>
        <v>Ogivale (pointue)</v>
      </c>
      <c r="I9" s="81"/>
      <c r="J9" s="81"/>
      <c r="K9" s="81"/>
      <c r="L9" s="81"/>
      <c r="M9" s="81"/>
      <c r="N9" s="97"/>
      <c r="O9" s="8"/>
      <c r="P9" s="501"/>
      <c r="Q9" s="505"/>
      <c r="R9" s="499"/>
      <c r="S9" s="499"/>
      <c r="T9" s="499"/>
      <c r="U9" s="499"/>
    </row>
    <row r="10" spans="2:21" x14ac:dyDescent="0.25">
      <c r="B10" s="96"/>
      <c r="C10" s="81"/>
      <c r="D10" s="81"/>
      <c r="E10" s="81"/>
      <c r="F10" s="4"/>
      <c r="G10" s="492"/>
      <c r="H10" s="81"/>
      <c r="I10" s="81"/>
      <c r="J10" s="81"/>
      <c r="K10" s="81"/>
      <c r="L10" s="81"/>
      <c r="M10" s="81"/>
      <c r="N10" s="97"/>
      <c r="O10" s="618"/>
      <c r="P10" s="499"/>
      <c r="Q10" s="505"/>
      <c r="R10" s="499"/>
      <c r="S10" s="499"/>
      <c r="T10" s="499"/>
      <c r="U10" s="499"/>
    </row>
    <row r="11" spans="2:21" ht="13.8" thickBot="1" x14ac:dyDescent="0.3">
      <c r="B11" s="96"/>
      <c r="C11" s="608"/>
      <c r="D11" s="323" t="s">
        <v>456</v>
      </c>
      <c r="E11" s="287">
        <f>MasseSans</f>
        <v>8</v>
      </c>
      <c r="F11" s="610" t="s">
        <v>124</v>
      </c>
      <c r="G11" s="610" t="s">
        <v>126</v>
      </c>
      <c r="H11" s="773">
        <f ca="1">Vsortie_de_rampe</f>
        <v>25.50709666593713</v>
      </c>
      <c r="I11" s="774"/>
      <c r="J11" s="98"/>
      <c r="K11" s="81"/>
      <c r="L11" s="81"/>
      <c r="M11" s="81"/>
      <c r="N11" s="97"/>
      <c r="O11" s="81"/>
      <c r="P11" s="499"/>
      <c r="Q11" s="505"/>
      <c r="R11" s="499"/>
      <c r="S11" s="499"/>
      <c r="T11" s="499"/>
      <c r="U11" s="510" t="str">
        <f>IF(RIGHT(Nb_diam,1)=",", "", X_j)</f>
        <v/>
      </c>
    </row>
    <row r="12" spans="2:21" ht="13.8" thickBot="1" x14ac:dyDescent="0.3">
      <c r="B12" s="96"/>
      <c r="C12" s="608"/>
      <c r="D12" s="324"/>
      <c r="E12" s="288"/>
      <c r="F12" s="492" t="s">
        <v>124</v>
      </c>
      <c r="G12" s="492" t="s">
        <v>127</v>
      </c>
      <c r="H12" s="775">
        <f>Finesse</f>
        <v>18</v>
      </c>
      <c r="I12" s="776"/>
      <c r="J12" s="98"/>
      <c r="K12" s="81"/>
      <c r="L12" s="81"/>
      <c r="M12" s="81"/>
      <c r="N12" s="97"/>
      <c r="O12" s="8"/>
      <c r="P12" s="501" t="s">
        <v>343</v>
      </c>
      <c r="Q12" s="511">
        <f>D_og</f>
        <v>100</v>
      </c>
      <c r="R12" s="499"/>
      <c r="S12" s="499"/>
      <c r="T12" s="499"/>
      <c r="U12" s="505"/>
    </row>
    <row r="13" spans="2:21" x14ac:dyDescent="0.25">
      <c r="B13" s="96"/>
      <c r="C13" s="608"/>
      <c r="D13" s="324" t="s">
        <v>5</v>
      </c>
      <c r="E13" s="288">
        <f>Cx</f>
        <v>0.5</v>
      </c>
      <c r="F13" s="492" t="s">
        <v>124</v>
      </c>
      <c r="G13" s="492" t="s">
        <v>435</v>
      </c>
      <c r="H13" s="775">
        <f>Cn</f>
        <v>19.135014339693754</v>
      </c>
      <c r="I13" s="776"/>
      <c r="J13" s="98"/>
      <c r="K13" s="81"/>
      <c r="L13" s="81"/>
      <c r="M13" s="81"/>
      <c r="N13" s="97"/>
      <c r="O13" s="8"/>
      <c r="P13" s="499"/>
      <c r="Q13" s="505"/>
      <c r="R13" s="499"/>
      <c r="S13" s="499"/>
      <c r="T13" s="499"/>
      <c r="U13" s="510" t="str">
        <f>IF(RIGHT(Nb_diam,1)=",", "", X_r)</f>
        <v/>
      </c>
    </row>
    <row r="14" spans="2:21" x14ac:dyDescent="0.25">
      <c r="B14" s="96"/>
      <c r="C14" s="555"/>
      <c r="D14" s="324" t="s">
        <v>144</v>
      </c>
      <c r="E14" s="288">
        <f>L_rampe</f>
        <v>4</v>
      </c>
      <c r="F14" s="492" t="s">
        <v>124</v>
      </c>
      <c r="G14" s="492" t="s">
        <v>128</v>
      </c>
      <c r="H14" s="304">
        <f ca="1">MS_min</f>
        <v>3.0351367737846751</v>
      </c>
      <c r="I14" s="612">
        <f ca="1">MS_max</f>
        <v>3.6523624562516877</v>
      </c>
      <c r="J14" s="98"/>
      <c r="K14" s="98"/>
      <c r="L14" s="81"/>
      <c r="M14" s="81"/>
      <c r="N14" s="97"/>
      <c r="O14" s="81"/>
      <c r="P14" s="499"/>
      <c r="Q14" s="505"/>
      <c r="R14" s="499"/>
      <c r="S14" s="499"/>
      <c r="T14" s="499"/>
      <c r="U14" s="505"/>
    </row>
    <row r="15" spans="2:21" x14ac:dyDescent="0.25">
      <c r="B15" s="96"/>
      <c r="C15" s="555"/>
      <c r="D15" s="324" t="s">
        <v>145</v>
      </c>
      <c r="E15" s="288">
        <f>ep_ail</f>
        <v>2</v>
      </c>
      <c r="F15" s="492" t="s">
        <v>124</v>
      </c>
      <c r="G15" s="492" t="s">
        <v>125</v>
      </c>
      <c r="H15" s="304">
        <f ca="1">MS_Cn_min</f>
        <v>58.077385689301593</v>
      </c>
      <c r="I15" s="612">
        <f ca="1">MS_Cn_max</f>
        <v>69.888007974135149</v>
      </c>
      <c r="J15" s="98"/>
      <c r="K15" s="98"/>
      <c r="L15" s="81"/>
      <c r="M15" s="81"/>
      <c r="N15" s="97"/>
      <c r="O15" s="81"/>
      <c r="P15" s="499"/>
      <c r="Q15" s="505"/>
      <c r="R15" s="499"/>
      <c r="S15" s="499"/>
      <c r="T15" s="499"/>
    </row>
    <row r="16" spans="2:21" x14ac:dyDescent="0.25">
      <c r="B16" s="96"/>
      <c r="C16" s="555"/>
      <c r="D16" s="324" t="s">
        <v>146</v>
      </c>
      <c r="E16" s="288">
        <f>Q_ail</f>
        <v>4</v>
      </c>
      <c r="F16" s="492" t="s">
        <v>129</v>
      </c>
      <c r="G16" s="492" t="s">
        <v>130</v>
      </c>
      <c r="H16" s="304">
        <f ca="1">V_para</f>
        <v>15.53048187748657</v>
      </c>
      <c r="I16" s="611">
        <f>V_satellite</f>
        <v>12.655562623057198</v>
      </c>
      <c r="J16" s="98"/>
      <c r="K16" s="81"/>
      <c r="L16" s="81"/>
      <c r="M16" s="81"/>
      <c r="N16" s="97"/>
      <c r="O16" s="81"/>
      <c r="P16" s="499"/>
      <c r="Q16" s="505"/>
      <c r="R16" s="499"/>
      <c r="S16" s="499"/>
      <c r="T16" s="499"/>
      <c r="U16" s="510" t="str">
        <f>IF(RIGHT(Nb_diam,1)=",", "", l_j)</f>
        <v/>
      </c>
    </row>
    <row r="17" spans="2:21" x14ac:dyDescent="0.25">
      <c r="B17" s="96"/>
      <c r="C17" s="555"/>
      <c r="D17" s="324" t="s">
        <v>147</v>
      </c>
      <c r="E17" s="320" t="str">
        <f>Forme_ogive</f>
        <v>Ogivale (pointue)</v>
      </c>
      <c r="F17" s="492" t="s">
        <v>131</v>
      </c>
      <c r="G17" s="492" t="s">
        <v>132</v>
      </c>
      <c r="H17" s="775">
        <f>T_para</f>
        <v>20</v>
      </c>
      <c r="I17" s="776"/>
      <c r="J17" s="302"/>
      <c r="K17" s="81"/>
      <c r="L17" s="81"/>
      <c r="M17" s="81"/>
      <c r="N17" s="97"/>
      <c r="O17" s="81"/>
      <c r="P17" s="502" t="s">
        <v>344</v>
      </c>
      <c r="Q17" s="510" t="str">
        <f>IF(RIGHT(Nb_diam,1)=",", "", D2j)</f>
        <v/>
      </c>
      <c r="R17" s="499"/>
      <c r="S17" s="499"/>
      <c r="T17" s="499"/>
      <c r="U17" s="505"/>
    </row>
    <row r="18" spans="2:21" x14ac:dyDescent="0.25">
      <c r="B18" s="96"/>
      <c r="C18" s="555"/>
      <c r="D18" s="324" t="s">
        <v>149</v>
      </c>
      <c r="E18" s="288">
        <f ca="1">XpropuRef-Long_propu</f>
        <v>1314</v>
      </c>
      <c r="F18" s="608" t="s">
        <v>131</v>
      </c>
      <c r="G18" s="608" t="s">
        <v>429</v>
      </c>
      <c r="H18" s="779">
        <f ca="1">T_para-Combustion-Depotage</f>
        <v>20</v>
      </c>
      <c r="I18" s="780"/>
      <c r="J18" s="81"/>
      <c r="K18" s="81"/>
      <c r="L18" s="81"/>
      <c r="M18" s="81"/>
      <c r="N18" s="97"/>
      <c r="O18" s="81"/>
      <c r="P18" s="499"/>
      <c r="Q18" s="505"/>
      <c r="R18" s="499"/>
      <c r="S18" s="499"/>
    </row>
    <row r="19" spans="2:21" x14ac:dyDescent="0.25">
      <c r="B19" s="96"/>
      <c r="C19" s="642"/>
      <c r="D19" s="317"/>
      <c r="E19" s="319"/>
      <c r="F19" s="615" t="s">
        <v>133</v>
      </c>
      <c r="G19" s="613" t="s">
        <v>428</v>
      </c>
      <c r="H19" s="781">
        <f ca="1">Portee_balistique</f>
        <v>1789.3751464685777</v>
      </c>
      <c r="I19" s="782"/>
      <c r="J19" s="81"/>
      <c r="K19" s="81"/>
      <c r="L19" s="81"/>
      <c r="M19" s="81"/>
      <c r="N19" s="97"/>
      <c r="O19" s="81"/>
      <c r="P19" s="499"/>
      <c r="Q19" s="505"/>
      <c r="R19" s="499"/>
      <c r="S19" s="499"/>
      <c r="T19" s="499"/>
    </row>
    <row r="20" spans="2:21" x14ac:dyDescent="0.25">
      <c r="B20" s="96"/>
      <c r="C20" s="555"/>
      <c r="D20" s="8"/>
      <c r="E20" s="8"/>
      <c r="H20" s="614"/>
      <c r="I20" s="614"/>
      <c r="J20" s="81"/>
      <c r="K20" s="81"/>
      <c r="L20" s="81"/>
      <c r="M20" s="81"/>
      <c r="N20" s="97"/>
      <c r="O20" s="81"/>
      <c r="P20" s="499"/>
      <c r="Q20" s="505"/>
      <c r="R20" s="499"/>
      <c r="S20" s="499"/>
      <c r="T20" s="499"/>
      <c r="U20" s="510" t="str">
        <f>IF(RIGHT(Nb_diam,1)=",", "", l_r)</f>
        <v/>
      </c>
    </row>
    <row r="21" spans="2:21" x14ac:dyDescent="0.25">
      <c r="B21" s="96"/>
      <c r="C21" s="555"/>
      <c r="D21" s="8"/>
      <c r="E21" s="311"/>
      <c r="F21" s="4"/>
      <c r="G21" s="492"/>
      <c r="H21" s="614"/>
      <c r="I21" s="614"/>
      <c r="J21" s="81"/>
      <c r="K21" s="81"/>
      <c r="L21" s="81"/>
      <c r="M21" s="81"/>
      <c r="N21" s="97"/>
      <c r="O21" s="620"/>
      <c r="P21" s="505"/>
      <c r="Q21" s="500"/>
      <c r="R21" s="499"/>
      <c r="S21" s="499"/>
      <c r="T21" s="621"/>
      <c r="U21" s="505"/>
    </row>
    <row r="22" spans="2:21" x14ac:dyDescent="0.25">
      <c r="B22" s="96"/>
      <c r="C22" s="633" t="s">
        <v>455</v>
      </c>
      <c r="D22" s="630" t="s">
        <v>439</v>
      </c>
      <c r="E22" s="631"/>
      <c r="F22" s="632" t="s">
        <v>444</v>
      </c>
      <c r="G22" s="633" t="s">
        <v>449</v>
      </c>
      <c r="I22" s="634"/>
      <c r="J22" s="641" t="s">
        <v>157</v>
      </c>
      <c r="K22" s="630" t="s">
        <v>158</v>
      </c>
      <c r="N22" s="97"/>
      <c r="O22" s="620"/>
      <c r="P22" s="505"/>
      <c r="Q22" s="500"/>
      <c r="R22" s="499"/>
      <c r="S22" s="499"/>
      <c r="T22" s="621"/>
      <c r="U22" s="505"/>
    </row>
    <row r="23" spans="2:21" x14ac:dyDescent="0.25">
      <c r="B23" s="96"/>
      <c r="C23" s="633" t="s">
        <v>454</v>
      </c>
      <c r="D23" s="631">
        <f>XcgSans</f>
        <v>1100</v>
      </c>
      <c r="E23" s="631" t="s">
        <v>39</v>
      </c>
      <c r="F23" s="636">
        <f>m_ail</f>
        <v>220</v>
      </c>
      <c r="G23" s="637">
        <f>m_can</f>
        <v>70</v>
      </c>
      <c r="I23" s="634" t="s">
        <v>450</v>
      </c>
      <c r="J23" s="638">
        <f>l_j</f>
        <v>50</v>
      </c>
      <c r="K23" s="635">
        <f>l_r</f>
        <v>50</v>
      </c>
      <c r="N23" s="97"/>
      <c r="O23" s="620"/>
      <c r="P23" s="505"/>
      <c r="Q23" s="500"/>
      <c r="R23" s="499"/>
      <c r="S23" s="499"/>
      <c r="T23" s="621"/>
      <c r="U23" s="505"/>
    </row>
    <row r="24" spans="2:21" x14ac:dyDescent="0.25">
      <c r="B24" s="96"/>
      <c r="C24" s="633" t="s">
        <v>442</v>
      </c>
      <c r="D24" s="635">
        <f>Long_tot</f>
        <v>1800</v>
      </c>
      <c r="E24" s="631" t="s">
        <v>445</v>
      </c>
      <c r="F24" s="636">
        <f>n_ail</f>
        <v>100</v>
      </c>
      <c r="G24" s="637">
        <f>n_can</f>
        <v>10</v>
      </c>
      <c r="I24" s="634" t="s">
        <v>451</v>
      </c>
      <c r="J24" s="638">
        <f>D1j</f>
        <v>100</v>
      </c>
      <c r="K24" s="635">
        <f>D1r</f>
        <v>80</v>
      </c>
      <c r="N24" s="97"/>
      <c r="O24" s="620"/>
      <c r="P24" s="505"/>
      <c r="Q24" s="500"/>
      <c r="R24" s="499"/>
      <c r="S24" s="499"/>
      <c r="T24" s="621"/>
      <c r="U24" s="505"/>
    </row>
    <row r="25" spans="2:21" x14ac:dyDescent="0.25">
      <c r="B25" s="96"/>
      <c r="C25" s="633" t="s">
        <v>443</v>
      </c>
      <c r="D25" s="635">
        <f>XpropuRef</f>
        <v>1800</v>
      </c>
      <c r="E25" s="631" t="s">
        <v>446</v>
      </c>
      <c r="F25" s="636">
        <f>p_ail</f>
        <v>200</v>
      </c>
      <c r="G25" s="637">
        <f>p_can</f>
        <v>40</v>
      </c>
      <c r="I25" s="634" t="s">
        <v>452</v>
      </c>
      <c r="J25" s="638">
        <f>D2j</f>
        <v>80</v>
      </c>
      <c r="K25" s="635">
        <f>D2r</f>
        <v>100</v>
      </c>
      <c r="N25" s="97"/>
      <c r="O25" s="620"/>
      <c r="P25" s="505"/>
      <c r="Q25" s="500"/>
      <c r="R25" s="499"/>
      <c r="S25" s="499"/>
      <c r="T25" s="621"/>
      <c r="U25" s="505"/>
    </row>
    <row r="26" spans="2:21" x14ac:dyDescent="0.25">
      <c r="B26" s="96"/>
      <c r="C26" s="633" t="s">
        <v>440</v>
      </c>
      <c r="D26" s="635">
        <f>D_ref</f>
        <v>100</v>
      </c>
      <c r="E26" s="631" t="s">
        <v>447</v>
      </c>
      <c r="F26" s="636">
        <f>E_ail</f>
        <v>150</v>
      </c>
      <c r="G26" s="637">
        <f>E_can</f>
        <v>50</v>
      </c>
      <c r="I26" s="634" t="s">
        <v>453</v>
      </c>
      <c r="J26" s="638">
        <f>X_j</f>
        <v>300</v>
      </c>
      <c r="K26" s="635">
        <f>X_r</f>
        <v>500</v>
      </c>
      <c r="N26" s="97"/>
      <c r="O26" s="620"/>
      <c r="P26" s="505"/>
      <c r="Q26" s="500"/>
      <c r="R26" s="499"/>
      <c r="S26" s="499"/>
      <c r="T26" s="621"/>
      <c r="U26" s="505"/>
    </row>
    <row r="27" spans="2:21" x14ac:dyDescent="0.25">
      <c r="B27" s="96"/>
      <c r="C27" s="633" t="s">
        <v>441</v>
      </c>
      <c r="D27" s="635">
        <f>Long_ogive</f>
        <v>250</v>
      </c>
      <c r="E27" s="631" t="s">
        <v>448</v>
      </c>
      <c r="F27" s="636">
        <f>X_ail</f>
        <v>1800</v>
      </c>
      <c r="G27" s="637">
        <f>X_can</f>
        <v>700</v>
      </c>
      <c r="H27" s="614"/>
      <c r="I27" s="639"/>
      <c r="J27" s="640"/>
      <c r="N27" s="97"/>
      <c r="O27" s="620"/>
      <c r="P27" s="505"/>
      <c r="Q27" s="500"/>
      <c r="R27" s="499"/>
      <c r="S27" s="499"/>
      <c r="T27" s="621"/>
      <c r="U27" s="505"/>
    </row>
    <row r="28" spans="2:21" ht="13.8" thickBot="1" x14ac:dyDescent="0.3">
      <c r="B28" s="96"/>
      <c r="C28" s="81"/>
      <c r="D28" s="81"/>
      <c r="E28" s="124"/>
      <c r="F28" s="81"/>
      <c r="G28" s="81"/>
      <c r="H28" s="81"/>
      <c r="I28" s="81"/>
      <c r="J28" s="81"/>
      <c r="K28" s="81"/>
      <c r="L28" s="81"/>
      <c r="M28" s="81"/>
      <c r="N28" s="97"/>
      <c r="O28" s="2"/>
      <c r="P28" s="8"/>
      <c r="Q28" s="2"/>
      <c r="R28" s="499"/>
      <c r="S28" s="499"/>
      <c r="T28" s="499"/>
      <c r="U28" s="505"/>
    </row>
    <row r="29" spans="2:21" ht="13.8" thickBot="1" x14ac:dyDescent="0.3">
      <c r="B29" s="96"/>
      <c r="C29" s="778" t="s">
        <v>142</v>
      </c>
      <c r="D29" s="778" t="s">
        <v>134</v>
      </c>
      <c r="E29" s="778" t="s">
        <v>135</v>
      </c>
      <c r="F29" s="778"/>
      <c r="G29" s="778"/>
      <c r="H29" s="777" t="s">
        <v>136</v>
      </c>
      <c r="I29" s="777"/>
      <c r="J29" s="777"/>
      <c r="K29" s="777"/>
      <c r="L29" s="778" t="s">
        <v>137</v>
      </c>
      <c r="M29" s="778" t="s">
        <v>138</v>
      </c>
      <c r="N29" s="97"/>
      <c r="O29" s="620" t="s">
        <v>432</v>
      </c>
      <c r="P29" s="511">
        <f>n_ail</f>
        <v>100</v>
      </c>
      <c r="Q29" s="2"/>
      <c r="R29" s="499"/>
      <c r="S29" s="499"/>
      <c r="T29" s="499"/>
      <c r="U29" s="609" t="s">
        <v>436</v>
      </c>
    </row>
    <row r="30" spans="2:21" ht="13.8" thickBot="1" x14ac:dyDescent="0.3">
      <c r="B30" s="96"/>
      <c r="C30" s="778"/>
      <c r="D30" s="778"/>
      <c r="E30" s="778"/>
      <c r="F30" s="778"/>
      <c r="G30" s="778"/>
      <c r="H30" s="777" t="s">
        <v>139</v>
      </c>
      <c r="I30" s="777"/>
      <c r="J30" s="91" t="s">
        <v>140</v>
      </c>
      <c r="K30" s="92" t="s">
        <v>141</v>
      </c>
      <c r="L30" s="778"/>
      <c r="M30" s="778"/>
      <c r="N30" s="97"/>
      <c r="P30" s="512"/>
      <c r="R30" s="499"/>
      <c r="S30" s="499"/>
      <c r="T30" s="619" t="s">
        <v>434</v>
      </c>
      <c r="U30" s="625">
        <f>[0]!p_can</f>
        <v>40</v>
      </c>
    </row>
    <row r="31" spans="2:21" ht="13.8" thickBot="1" x14ac:dyDescent="0.3">
      <c r="B31" s="96"/>
      <c r="C31" s="107">
        <f>Beta_rampe</f>
        <v>80</v>
      </c>
      <c r="D31" s="108">
        <f ca="1">Portee_balistique</f>
        <v>1789.3751464685777</v>
      </c>
      <c r="E31" s="783">
        <f ca="1">T_para+Dt_para</f>
        <v>191.69892227788424</v>
      </c>
      <c r="F31" s="783"/>
      <c r="G31" s="783"/>
      <c r="H31" s="784">
        <f ca="1">Altitude_culmi</f>
        <v>2710.5237034610714</v>
      </c>
      <c r="I31" s="784"/>
      <c r="J31" s="109">
        <f ca="1">Temps_culmi</f>
        <v>22.899999999999995</v>
      </c>
      <c r="K31" s="110">
        <f ca="1">Vit_culmi</f>
        <v>37.910868327245538</v>
      </c>
      <c r="L31" s="108">
        <f ca="1">Acc_max</f>
        <v>101.86144781346204</v>
      </c>
      <c r="M31" s="110">
        <f ca="1">Vit_max</f>
        <v>271.24415902988551</v>
      </c>
      <c r="N31" s="97"/>
      <c r="O31" s="620" t="s">
        <v>438</v>
      </c>
      <c r="P31" s="511">
        <f>ep_ail</f>
        <v>2</v>
      </c>
      <c r="Q31" s="2"/>
      <c r="R31" s="499"/>
      <c r="S31" s="499"/>
      <c r="T31" s="623" t="s">
        <v>346</v>
      </c>
      <c r="U31" s="625">
        <f>[0]!m_can</f>
        <v>70</v>
      </c>
    </row>
    <row r="32" spans="2:21" ht="13.8" thickBot="1" x14ac:dyDescent="0.3">
      <c r="B32" s="96"/>
      <c r="C32" s="616"/>
      <c r="D32" s="307"/>
      <c r="E32" s="304"/>
      <c r="F32" s="304"/>
      <c r="G32" s="304"/>
      <c r="H32" s="617"/>
      <c r="I32" s="617"/>
      <c r="J32" s="304"/>
      <c r="K32" s="306"/>
      <c r="L32" s="307"/>
      <c r="M32" s="306"/>
      <c r="N32" s="97"/>
      <c r="O32" s="620" t="s">
        <v>437</v>
      </c>
      <c r="P32" s="622">
        <f>Q_ail</f>
        <v>4</v>
      </c>
      <c r="Q32" s="2"/>
      <c r="R32" s="499"/>
      <c r="S32" s="499"/>
      <c r="T32" s="623" t="s">
        <v>432</v>
      </c>
      <c r="U32" s="625">
        <f>[0]!n_can</f>
        <v>10</v>
      </c>
    </row>
    <row r="33" spans="2:21" ht="13.8" thickBot="1" x14ac:dyDescent="0.3">
      <c r="B33" s="96"/>
      <c r="C33" s="81"/>
      <c r="D33" s="103"/>
      <c r="E33" s="104"/>
      <c r="F33" s="104"/>
      <c r="G33" s="104"/>
      <c r="H33" s="105"/>
      <c r="I33" s="105"/>
      <c r="J33" s="104"/>
      <c r="K33" s="106"/>
      <c r="L33" s="103"/>
      <c r="M33" s="106"/>
      <c r="N33" s="97"/>
      <c r="O33" s="2"/>
      <c r="Q33" s="2"/>
      <c r="R33" s="499"/>
      <c r="S33" s="499"/>
      <c r="T33" s="619" t="s">
        <v>433</v>
      </c>
      <c r="U33" s="625">
        <f>[0]!E_can</f>
        <v>50</v>
      </c>
    </row>
    <row r="34" spans="2:21" ht="13.8" thickBot="1" x14ac:dyDescent="0.3">
      <c r="B34" s="99"/>
      <c r="C34" s="102"/>
      <c r="D34" s="100"/>
      <c r="E34" s="100"/>
      <c r="F34" s="100"/>
      <c r="G34" s="100"/>
      <c r="H34" s="100"/>
      <c r="I34" s="100"/>
      <c r="J34" s="100"/>
      <c r="K34" s="100"/>
      <c r="L34" s="100"/>
      <c r="M34" s="100"/>
      <c r="N34" s="101"/>
      <c r="O34" s="2"/>
      <c r="P34" s="501" t="s">
        <v>433</v>
      </c>
      <c r="Q34" s="511">
        <f>E_ail</f>
        <v>150</v>
      </c>
      <c r="T34" s="627" t="s">
        <v>438</v>
      </c>
      <c r="U34" s="625">
        <f>[0]!ep_can</f>
        <v>2</v>
      </c>
    </row>
    <row r="35" spans="2:21" x14ac:dyDescent="0.25">
      <c r="B35" s="81"/>
      <c r="C35" s="81"/>
      <c r="D35" s="23"/>
      <c r="E35" s="23"/>
      <c r="F35" s="23"/>
      <c r="G35" s="23"/>
      <c r="H35" s="23"/>
      <c r="I35" s="23"/>
      <c r="J35" s="23"/>
      <c r="K35" s="23"/>
      <c r="L35" s="23"/>
      <c r="M35" s="23"/>
      <c r="N35" s="81"/>
      <c r="O35" s="2"/>
      <c r="P35" s="8"/>
      <c r="Q35" s="8"/>
      <c r="R35" s="81"/>
      <c r="S35" s="81"/>
      <c r="T35" s="624" t="s">
        <v>437</v>
      </c>
      <c r="U35" s="626">
        <f>[0]!Q_can</f>
        <v>4</v>
      </c>
    </row>
    <row r="36" spans="2:21" ht="13.8" thickBot="1" x14ac:dyDescent="0.3">
      <c r="T36" s="2"/>
      <c r="U36" s="512"/>
    </row>
    <row r="37" spans="2:21" x14ac:dyDescent="0.25">
      <c r="B37" s="93"/>
      <c r="C37" s="94"/>
      <c r="D37" s="94"/>
      <c r="E37" s="94"/>
      <c r="F37" s="94"/>
      <c r="G37" s="94"/>
      <c r="H37" s="94"/>
      <c r="I37" s="94"/>
      <c r="J37" s="94"/>
      <c r="K37" s="94"/>
      <c r="L37" s="94"/>
      <c r="M37" s="94"/>
      <c r="N37" s="95"/>
      <c r="T37" s="2"/>
    </row>
    <row r="38" spans="2:21" x14ac:dyDescent="0.25">
      <c r="B38" s="96"/>
      <c r="C38" s="81"/>
      <c r="D38" s="2" t="s">
        <v>196</v>
      </c>
      <c r="E38" s="81"/>
      <c r="F38" s="81"/>
      <c r="G38" s="81"/>
      <c r="H38" s="81"/>
      <c r="I38" s="81"/>
      <c r="J38" s="81"/>
      <c r="K38" s="81"/>
      <c r="L38" s="81"/>
      <c r="M38" s="81"/>
      <c r="N38" s="97"/>
    </row>
    <row r="39" spans="2:21" x14ac:dyDescent="0.25">
      <c r="B39" s="96"/>
      <c r="C39" s="81"/>
      <c r="D39" s="2"/>
      <c r="E39" s="81"/>
      <c r="F39" s="81"/>
      <c r="G39" s="81"/>
      <c r="H39" s="81"/>
      <c r="I39" s="81"/>
      <c r="J39" s="81"/>
      <c r="K39" s="81"/>
      <c r="L39" s="81"/>
      <c r="M39" s="81"/>
      <c r="N39" s="97"/>
    </row>
    <row r="40" spans="2:21" x14ac:dyDescent="0.25">
      <c r="B40" s="96"/>
      <c r="C40" s="81"/>
      <c r="D40" s="323" t="s">
        <v>150</v>
      </c>
      <c r="E40" s="290">
        <f>D_ref</f>
        <v>100</v>
      </c>
      <c r="F40" s="313"/>
      <c r="G40" s="313"/>
      <c r="H40" s="309" t="s">
        <v>199</v>
      </c>
      <c r="I40" s="309" t="s">
        <v>200</v>
      </c>
      <c r="J40" s="310" t="s">
        <v>201</v>
      </c>
      <c r="K40" s="81"/>
      <c r="L40" s="81"/>
      <c r="M40" s="81"/>
      <c r="N40" s="97"/>
    </row>
    <row r="41" spans="2:21" x14ac:dyDescent="0.25">
      <c r="B41" s="96"/>
      <c r="C41" s="81"/>
      <c r="D41" s="324" t="s">
        <v>148</v>
      </c>
      <c r="E41" s="8">
        <f>Long_ogive</f>
        <v>250</v>
      </c>
      <c r="F41" s="2"/>
      <c r="G41" s="2" t="s">
        <v>202</v>
      </c>
      <c r="H41" s="8">
        <f>MasseSans</f>
        <v>8</v>
      </c>
      <c r="I41" s="8">
        <f ca="1">MasseVide</f>
        <v>9.6379999999999999</v>
      </c>
      <c r="J41" s="288">
        <f ca="1">MassePlein</f>
        <v>11.510999999999999</v>
      </c>
      <c r="K41" s="81"/>
      <c r="L41" s="81"/>
      <c r="M41" s="81"/>
      <c r="N41" s="97"/>
    </row>
    <row r="42" spans="2:21" x14ac:dyDescent="0.25">
      <c r="B42" s="96"/>
      <c r="C42" s="81"/>
      <c r="D42" s="324" t="s">
        <v>151</v>
      </c>
      <c r="E42" s="8">
        <f>X_ail-m_ail</f>
        <v>1580</v>
      </c>
      <c r="F42" s="299"/>
      <c r="G42" s="299" t="s">
        <v>219</v>
      </c>
      <c r="H42" s="311">
        <f>XcgSans</f>
        <v>1100</v>
      </c>
      <c r="I42" s="311">
        <f ca="1">XcgVide</f>
        <v>1177.6681884208342</v>
      </c>
      <c r="J42" s="289">
        <f ca="1">XcgPlein</f>
        <v>1239.3907566675355</v>
      </c>
      <c r="K42" s="81"/>
      <c r="L42" s="81"/>
      <c r="M42" s="81"/>
      <c r="N42" s="97"/>
    </row>
    <row r="43" spans="2:21" x14ac:dyDescent="0.25">
      <c r="B43" s="96"/>
      <c r="C43" s="81"/>
      <c r="D43" s="324" t="str">
        <f>IF(Lang="Français","Emplanture 'm'",IF(Lang="English","Root edge  'm'",""))</f>
        <v>Emplanture 'm'</v>
      </c>
      <c r="E43" s="288">
        <f>m_ail</f>
        <v>220</v>
      </c>
      <c r="F43" s="81"/>
      <c r="G43" s="81"/>
      <c r="H43" s="81"/>
      <c r="I43" s="81"/>
      <c r="J43" s="81"/>
      <c r="K43" s="81"/>
      <c r="L43" s="81"/>
      <c r="M43" s="81"/>
      <c r="N43" s="97"/>
    </row>
    <row r="44" spans="2:21" x14ac:dyDescent="0.25">
      <c r="B44" s="96"/>
      <c r="C44" s="81"/>
      <c r="D44" s="324" t="str">
        <f>IF(Lang="Français","Saumon      'n'",IF(Lang="English","Tip edge    'n'",""))</f>
        <v>Saumon      'n'</v>
      </c>
      <c r="E44" s="288">
        <f>n_ail</f>
        <v>100</v>
      </c>
      <c r="F44" s="290" t="s">
        <v>203</v>
      </c>
      <c r="G44" s="290" t="s">
        <v>208</v>
      </c>
      <c r="H44" s="791">
        <f ca="1">Vsortie_de_rampe</f>
        <v>25.50709666593713</v>
      </c>
      <c r="I44" s="792"/>
      <c r="J44" s="81"/>
      <c r="K44" s="81"/>
      <c r="L44" s="81"/>
      <c r="M44" s="81"/>
      <c r="N44" s="97"/>
    </row>
    <row r="45" spans="2:21" x14ac:dyDescent="0.25">
      <c r="B45" s="96"/>
      <c r="C45" s="81"/>
      <c r="D45" s="324" t="str">
        <f>IF(Lang="Français","Flèche        'p'",IF(Lang="English","Offset         'p'",""))</f>
        <v>Flèche        'p'</v>
      </c>
      <c r="E45" s="288">
        <f>p_ail</f>
        <v>200</v>
      </c>
      <c r="F45" s="8" t="s">
        <v>204</v>
      </c>
      <c r="G45" s="8" t="s">
        <v>209</v>
      </c>
      <c r="H45" s="793">
        <f>Finesse</f>
        <v>18</v>
      </c>
      <c r="I45" s="794"/>
      <c r="J45" s="81"/>
      <c r="K45" s="81"/>
      <c r="L45" s="81"/>
      <c r="M45" s="81"/>
      <c r="N45" s="97"/>
    </row>
    <row r="46" spans="2:21" x14ac:dyDescent="0.25">
      <c r="B46" s="96"/>
      <c r="C46" s="81"/>
      <c r="D46" s="324" t="str">
        <f>IF(Lang="Français","Envergure   'E'",IF(Lang="English","Span          'E'",""))</f>
        <v>Envergure   'E'</v>
      </c>
      <c r="E46" s="288">
        <f>E_ail</f>
        <v>150</v>
      </c>
      <c r="F46" s="8" t="s">
        <v>205</v>
      </c>
      <c r="G46" s="8" t="s">
        <v>210</v>
      </c>
      <c r="H46" s="793">
        <f>Cn</f>
        <v>19.135014339693754</v>
      </c>
      <c r="I46" s="794"/>
      <c r="J46" s="81"/>
      <c r="K46" s="81"/>
      <c r="L46" s="81"/>
      <c r="M46" s="81"/>
      <c r="N46" s="97"/>
    </row>
    <row r="47" spans="2:21" x14ac:dyDescent="0.25">
      <c r="B47" s="96"/>
      <c r="C47" s="81"/>
      <c r="D47" s="324" t="s">
        <v>145</v>
      </c>
      <c r="E47" s="288">
        <f>ep_ail</f>
        <v>2</v>
      </c>
      <c r="F47" s="8" t="s">
        <v>206</v>
      </c>
      <c r="G47" s="8" t="s">
        <v>211</v>
      </c>
      <c r="H47" s="291">
        <f ca="1">MS_min</f>
        <v>3.0351367737846751</v>
      </c>
      <c r="I47" s="298">
        <f ca="1">MS_max</f>
        <v>3.6523624562516877</v>
      </c>
      <c r="J47" s="81"/>
      <c r="K47" s="81"/>
      <c r="L47" s="81"/>
      <c r="M47" s="81"/>
      <c r="N47" s="97"/>
    </row>
    <row r="48" spans="2:21" x14ac:dyDescent="0.25">
      <c r="B48" s="96"/>
      <c r="C48" s="81"/>
      <c r="D48" s="324" t="s">
        <v>146</v>
      </c>
      <c r="E48" s="288">
        <f>Q_ail</f>
        <v>4</v>
      </c>
      <c r="F48" s="322" t="s">
        <v>207</v>
      </c>
      <c r="G48" s="322" t="s">
        <v>212</v>
      </c>
      <c r="H48" s="300">
        <f ca="1">MS_Cn_min</f>
        <v>58.077385689301593</v>
      </c>
      <c r="I48" s="312">
        <f ca="1">MS_Cn_max</f>
        <v>69.888007974135149</v>
      </c>
      <c r="J48" s="81"/>
      <c r="K48" s="81"/>
      <c r="L48" s="81"/>
      <c r="M48" s="81"/>
      <c r="N48" s="97"/>
    </row>
    <row r="49" spans="2:14" x14ac:dyDescent="0.25">
      <c r="B49" s="96"/>
      <c r="C49" s="81"/>
      <c r="D49" s="324" t="s">
        <v>149</v>
      </c>
      <c r="E49" s="288">
        <f ca="1">XpropuRef-Long_propu</f>
        <v>1314</v>
      </c>
      <c r="F49" s="81"/>
      <c r="G49" s="81"/>
      <c r="H49" s="81"/>
      <c r="I49" s="81"/>
      <c r="J49" s="81"/>
      <c r="K49" s="81"/>
      <c r="L49" s="81"/>
      <c r="M49" s="81"/>
      <c r="N49" s="97"/>
    </row>
    <row r="50" spans="2:14" x14ac:dyDescent="0.25">
      <c r="B50" s="96"/>
      <c r="C50" s="81"/>
      <c r="D50" s="324" t="s">
        <v>147</v>
      </c>
      <c r="E50" s="320" t="str">
        <f>Forme_ogive</f>
        <v>Ogivale (pointue)</v>
      </c>
      <c r="F50" s="321" t="s">
        <v>184</v>
      </c>
      <c r="G50" s="323" t="s">
        <v>5</v>
      </c>
      <c r="H50" s="290">
        <f>Cx</f>
        <v>0.5</v>
      </c>
      <c r="I50" s="313"/>
      <c r="J50" s="314"/>
      <c r="K50" s="81"/>
      <c r="L50" s="81"/>
      <c r="M50" s="81"/>
      <c r="N50" s="97"/>
    </row>
    <row r="51" spans="2:14" x14ac:dyDescent="0.25">
      <c r="B51" s="96"/>
      <c r="C51" s="81"/>
      <c r="D51" s="324" t="s">
        <v>143</v>
      </c>
      <c r="E51" s="288">
        <f>Long_tot</f>
        <v>1800</v>
      </c>
      <c r="F51" s="81"/>
      <c r="G51" s="324" t="s">
        <v>213</v>
      </c>
      <c r="H51" s="8">
        <f>Sref</f>
        <v>9.0539816339744832E-3</v>
      </c>
      <c r="I51" s="81"/>
      <c r="J51" s="315"/>
      <c r="K51" s="81"/>
      <c r="L51" s="81"/>
      <c r="M51" s="81"/>
      <c r="N51" s="97"/>
    </row>
    <row r="52" spans="2:14" x14ac:dyDescent="0.25">
      <c r="B52" s="96"/>
      <c r="C52" s="81"/>
      <c r="D52" s="324" t="s">
        <v>197</v>
      </c>
      <c r="E52" s="288">
        <f>MAX(D_ref,D_ail,D_og,(RIGHT(Nb_diam,1)=",")*MAX(D1j,D1r,D2j,D2r))</f>
        <v>100</v>
      </c>
      <c r="F52" s="81"/>
      <c r="G52" s="324" t="s">
        <v>214</v>
      </c>
      <c r="H52" s="8">
        <f>Beta_rampe</f>
        <v>80</v>
      </c>
      <c r="I52" s="8">
        <v>80</v>
      </c>
      <c r="J52" s="288">
        <v>90</v>
      </c>
      <c r="K52" s="81"/>
      <c r="L52" s="81"/>
      <c r="M52" s="81"/>
      <c r="N52" s="97"/>
    </row>
    <row r="53" spans="2:14" x14ac:dyDescent="0.25">
      <c r="B53" s="96"/>
      <c r="C53" s="81"/>
      <c r="D53" s="325" t="s">
        <v>198</v>
      </c>
      <c r="E53" s="308">
        <f>E_ail*2+D_ail</f>
        <v>400</v>
      </c>
      <c r="F53" s="81"/>
      <c r="G53" s="327" t="s">
        <v>216</v>
      </c>
      <c r="H53" s="304">
        <f ca="1">Temps_culmi</f>
        <v>22.899999999999995</v>
      </c>
      <c r="I53" s="305"/>
      <c r="J53" s="316"/>
      <c r="K53" s="81"/>
      <c r="L53" s="81"/>
      <c r="M53" s="81"/>
      <c r="N53" s="97"/>
    </row>
    <row r="54" spans="2:14" x14ac:dyDescent="0.25">
      <c r="B54" s="96"/>
      <c r="C54" s="81"/>
      <c r="D54" s="81"/>
      <c r="E54" s="81"/>
      <c r="F54" s="81"/>
      <c r="G54" s="327" t="s">
        <v>217</v>
      </c>
      <c r="H54" s="286">
        <f ca="1">Altitude_culmi</f>
        <v>2710.5237034610714</v>
      </c>
      <c r="I54" s="305"/>
      <c r="J54" s="316"/>
      <c r="K54" s="81"/>
      <c r="L54" s="81"/>
      <c r="M54" s="81"/>
      <c r="N54" s="97"/>
    </row>
    <row r="55" spans="2:14" x14ac:dyDescent="0.25">
      <c r="B55" s="96"/>
      <c r="C55" s="323" t="s">
        <v>234</v>
      </c>
      <c r="D55" s="293" t="s">
        <v>61</v>
      </c>
      <c r="E55" s="287">
        <f>Long_tot</f>
        <v>1800</v>
      </c>
      <c r="F55" s="81"/>
      <c r="G55" s="327" t="s">
        <v>218</v>
      </c>
      <c r="H55" s="306">
        <f ca="1">Vit_culmi</f>
        <v>37.910868327245538</v>
      </c>
      <c r="I55" s="305"/>
      <c r="J55" s="316"/>
      <c r="K55" s="81"/>
      <c r="L55" s="81"/>
      <c r="M55" s="81"/>
      <c r="N55" s="97"/>
    </row>
    <row r="56" spans="2:14" x14ac:dyDescent="0.25">
      <c r="B56" s="96"/>
      <c r="C56" s="324"/>
      <c r="D56" s="2" t="s">
        <v>220</v>
      </c>
      <c r="E56" s="288">
        <f>MAX(D_ref,D_ail,D_og,(RIGHT(Nb_diam,1)=",")*MAX(D1j,D1r,D2j,D2r))</f>
        <v>100</v>
      </c>
      <c r="F56" s="81"/>
      <c r="G56" s="327" t="s">
        <v>134</v>
      </c>
      <c r="H56" s="307">
        <f ca="1">Portee_balistique</f>
        <v>1789.3751464685777</v>
      </c>
      <c r="I56" s="305"/>
      <c r="J56" s="316"/>
      <c r="K56" s="81"/>
      <c r="L56" s="81"/>
      <c r="M56" s="81"/>
      <c r="N56" s="97"/>
    </row>
    <row r="57" spans="2:14" x14ac:dyDescent="0.25">
      <c r="B57" s="96"/>
      <c r="C57" s="324"/>
      <c r="D57" s="2" t="s">
        <v>221</v>
      </c>
      <c r="E57" s="288">
        <f>E_ail*2+D_ail</f>
        <v>400</v>
      </c>
      <c r="F57" s="81"/>
      <c r="G57" s="327" t="s">
        <v>215</v>
      </c>
      <c r="H57" s="307">
        <f ca="1">T_balistique</f>
        <v>49.300000000000367</v>
      </c>
      <c r="I57" s="305"/>
      <c r="J57" s="316"/>
      <c r="K57" s="81"/>
      <c r="L57" s="81"/>
      <c r="M57" s="81"/>
      <c r="N57" s="97"/>
    </row>
    <row r="58" spans="2:14" x14ac:dyDescent="0.25">
      <c r="B58" s="96"/>
      <c r="C58" s="324"/>
      <c r="D58" s="2" t="s">
        <v>222</v>
      </c>
      <c r="E58" s="288">
        <f ca="1">MassePlein</f>
        <v>11.510999999999999</v>
      </c>
      <c r="F58" s="81"/>
      <c r="G58" s="327" t="s">
        <v>138</v>
      </c>
      <c r="H58" s="306">
        <f ca="1">Vit_max</f>
        <v>271.24415902988551</v>
      </c>
      <c r="I58" s="305"/>
      <c r="J58" s="316"/>
      <c r="K58" s="81"/>
      <c r="L58" s="81"/>
      <c r="M58" s="81"/>
      <c r="N58" s="97"/>
    </row>
    <row r="59" spans="2:14" x14ac:dyDescent="0.25">
      <c r="B59" s="96"/>
      <c r="C59" s="325" t="s">
        <v>235</v>
      </c>
      <c r="D59" s="299" t="s">
        <v>146</v>
      </c>
      <c r="E59" s="308">
        <f>Q_ail</f>
        <v>4</v>
      </c>
      <c r="F59" s="81"/>
      <c r="G59" s="327" t="s">
        <v>137</v>
      </c>
      <c r="H59" s="307">
        <f ca="1">Acc_max</f>
        <v>101.86144781346204</v>
      </c>
      <c r="I59" s="305"/>
      <c r="J59" s="316"/>
      <c r="K59" s="81"/>
      <c r="L59" s="81"/>
      <c r="M59" s="81"/>
      <c r="N59" s="97"/>
    </row>
    <row r="60" spans="2:14" x14ac:dyDescent="0.25">
      <c r="B60" s="96"/>
      <c r="C60" s="284"/>
      <c r="D60" s="81"/>
      <c r="E60" s="81"/>
      <c r="F60" s="81"/>
      <c r="G60" s="317" t="s">
        <v>223</v>
      </c>
      <c r="H60" s="318"/>
      <c r="I60" s="318"/>
      <c r="J60" s="319"/>
      <c r="K60" s="81"/>
      <c r="L60" s="81"/>
      <c r="M60" s="81"/>
      <c r="N60" s="97"/>
    </row>
    <row r="61" spans="2:14" x14ac:dyDescent="0.25">
      <c r="B61" s="96"/>
      <c r="C61" s="323"/>
      <c r="D61" s="293"/>
      <c r="E61" s="290" t="s">
        <v>227</v>
      </c>
      <c r="F61" s="287" t="s">
        <v>228</v>
      </c>
      <c r="G61" s="19"/>
      <c r="H61" s="19"/>
      <c r="I61" s="19"/>
      <c r="J61" s="19"/>
      <c r="K61" s="2"/>
      <c r="L61" s="81"/>
      <c r="M61" s="81"/>
      <c r="N61" s="97"/>
    </row>
    <row r="62" spans="2:14" x14ac:dyDescent="0.25">
      <c r="B62" s="96"/>
      <c r="C62" s="324" t="s">
        <v>236</v>
      </c>
      <c r="D62" s="329" t="s">
        <v>226</v>
      </c>
      <c r="E62" s="286">
        <f ca="1">2*Acc_max*MassePlein</f>
        <v>2345.054251561523</v>
      </c>
      <c r="F62" s="330">
        <f ca="1">E62/9.81</f>
        <v>239.04732431819804</v>
      </c>
      <c r="H62" s="19"/>
      <c r="I62" s="19"/>
      <c r="J62" s="19"/>
      <c r="K62" s="2"/>
      <c r="L62" s="81"/>
      <c r="M62" s="81"/>
      <c r="N62" s="97"/>
    </row>
    <row r="63" spans="2:14" x14ac:dyDescent="0.25">
      <c r="B63" s="96"/>
      <c r="C63" s="324"/>
      <c r="D63" s="2" t="s">
        <v>224</v>
      </c>
      <c r="E63" s="286">
        <f ca="1">2*Acc_max*Masse_ail</f>
        <v>19.55739798018471</v>
      </c>
      <c r="F63" s="292">
        <f ca="1">E63/9.81</f>
        <v>1.9936185504775443</v>
      </c>
      <c r="G63" s="290" t="s">
        <v>230</v>
      </c>
      <c r="H63" s="338">
        <f>S_ail*(ep_ail/1000)*2000</f>
        <v>9.6000000000000002E-2</v>
      </c>
      <c r="I63" s="19"/>
      <c r="J63" s="19"/>
      <c r="K63" s="2"/>
      <c r="L63" s="81"/>
      <c r="M63" s="81"/>
      <c r="N63" s="97"/>
    </row>
    <row r="64" spans="2:14" x14ac:dyDescent="0.25">
      <c r="B64" s="96"/>
      <c r="C64" s="325"/>
      <c r="D64" s="299" t="s">
        <v>225</v>
      </c>
      <c r="E64" s="311">
        <f ca="1">0.104*S_ail*Vit_max^2</f>
        <v>183.63919094434323</v>
      </c>
      <c r="F64" s="331">
        <f ca="1">E64/9.81</f>
        <v>18.719591329698595</v>
      </c>
      <c r="G64" s="322" t="s">
        <v>229</v>
      </c>
      <c r="H64" s="339">
        <f>(E_ail*(m_ail+n_ail)/2)/10^6</f>
        <v>2.4E-2</v>
      </c>
      <c r="I64" s="19"/>
      <c r="J64" s="19"/>
      <c r="K64" s="19"/>
      <c r="L64" s="81"/>
      <c r="M64" s="81"/>
      <c r="N64" s="97"/>
    </row>
    <row r="65" spans="2:14" x14ac:dyDescent="0.25">
      <c r="B65" s="96"/>
      <c r="C65" s="332" t="s">
        <v>243</v>
      </c>
      <c r="D65" s="335" t="s">
        <v>241</v>
      </c>
      <c r="E65" s="336">
        <f ca="1">2*Acc_max*H65</f>
        <v>1172.5271257807615</v>
      </c>
      <c r="F65" s="336">
        <f ca="1">E65/9.81</f>
        <v>119.52366215909902</v>
      </c>
      <c r="G65" s="337" t="s">
        <v>242</v>
      </c>
      <c r="H65" s="328">
        <f ca="1">E58/2</f>
        <v>5.7554999999999996</v>
      </c>
      <c r="I65" s="19"/>
      <c r="J65" s="19"/>
      <c r="K65" s="19"/>
      <c r="L65" s="81"/>
      <c r="M65" s="81"/>
      <c r="N65" s="97"/>
    </row>
    <row r="66" spans="2:14" x14ac:dyDescent="0.25">
      <c r="B66" s="96"/>
      <c r="C66" s="326"/>
      <c r="D66" s="19"/>
      <c r="E66" s="19"/>
      <c r="F66" s="19"/>
      <c r="G66" s="19"/>
      <c r="H66" s="19"/>
      <c r="I66" s="19"/>
      <c r="J66" s="19"/>
      <c r="K66" s="19"/>
      <c r="L66" s="81"/>
      <c r="M66" s="81"/>
      <c r="N66" s="97"/>
    </row>
    <row r="67" spans="2:14" x14ac:dyDescent="0.25">
      <c r="B67" s="96"/>
      <c r="F67" s="323" t="s">
        <v>233</v>
      </c>
      <c r="G67" s="293" t="s">
        <v>231</v>
      </c>
      <c r="H67" s="294">
        <f>T_para</f>
        <v>20</v>
      </c>
      <c r="I67" s="295">
        <f ca="1">Temps_culmi</f>
        <v>22.899999999999995</v>
      </c>
      <c r="J67" s="19"/>
      <c r="K67" s="19"/>
      <c r="L67" s="81"/>
      <c r="M67" s="81"/>
      <c r="N67" s="97"/>
    </row>
    <row r="68" spans="2:14" x14ac:dyDescent="0.25">
      <c r="B68" s="96"/>
      <c r="C68" s="326"/>
      <c r="D68" s="19"/>
      <c r="E68" s="19"/>
      <c r="F68" s="323" t="s">
        <v>232</v>
      </c>
      <c r="G68" s="293" t="s">
        <v>130</v>
      </c>
      <c r="H68" s="294">
        <f ca="1">V_para</f>
        <v>15.53048187748657</v>
      </c>
      <c r="I68" s="295">
        <f>V_satellite</f>
        <v>12.655562623057198</v>
      </c>
      <c r="J68" s="19"/>
      <c r="K68" s="19"/>
      <c r="L68" s="81"/>
      <c r="M68" s="81"/>
      <c r="N68" s="97"/>
    </row>
    <row r="69" spans="2:14" x14ac:dyDescent="0.25">
      <c r="B69" s="96"/>
      <c r="C69" s="326"/>
      <c r="D69" s="19"/>
      <c r="E69" s="19"/>
      <c r="F69" s="324"/>
      <c r="G69" s="2" t="s">
        <v>238</v>
      </c>
      <c r="H69" s="291">
        <f>S_para</f>
        <v>0.64</v>
      </c>
      <c r="I69" s="297">
        <f>S_satellite</f>
        <v>0.1</v>
      </c>
      <c r="J69" s="19"/>
      <c r="K69" s="19"/>
      <c r="L69" s="81"/>
      <c r="M69" s="81"/>
      <c r="N69" s="97"/>
    </row>
    <row r="70" spans="2:14" x14ac:dyDescent="0.25">
      <c r="B70" s="96"/>
      <c r="C70" s="285"/>
      <c r="D70" s="2"/>
      <c r="E70" s="81"/>
      <c r="F70" s="324"/>
      <c r="G70" s="2" t="s">
        <v>237</v>
      </c>
      <c r="H70" s="291">
        <f ca="1">V_ouverture</f>
        <v>48.954313760349017</v>
      </c>
      <c r="I70" s="297">
        <f ca="1">V_ouv_sat</f>
        <v>242.25746638554173</v>
      </c>
      <c r="L70" s="81"/>
      <c r="M70" s="81"/>
      <c r="N70" s="97"/>
    </row>
    <row r="71" spans="2:14" x14ac:dyDescent="0.25">
      <c r="B71" s="96"/>
      <c r="C71" s="265"/>
      <c r="E71" s="81"/>
      <c r="F71" s="324"/>
      <c r="G71" s="2" t="s">
        <v>202</v>
      </c>
      <c r="H71" s="291">
        <f ca="1">m_vide</f>
        <v>9.6379999999999999</v>
      </c>
      <c r="I71" s="297">
        <f>m_satellite</f>
        <v>1</v>
      </c>
      <c r="J71" s="81"/>
      <c r="K71" s="81"/>
      <c r="L71" s="81"/>
      <c r="M71" s="81"/>
      <c r="N71" s="97"/>
    </row>
    <row r="72" spans="2:14" x14ac:dyDescent="0.25">
      <c r="B72" s="96"/>
      <c r="C72" s="265"/>
      <c r="E72" s="81"/>
      <c r="F72" s="324"/>
      <c r="G72" s="2" t="s">
        <v>239</v>
      </c>
      <c r="H72" s="333">
        <f ca="1">1/2*Rho_moyen*S_para*V_ouverture^2</f>
        <v>939.4377356127053</v>
      </c>
      <c r="I72" s="334">
        <f ca="1">1/2*Rho_moyen*S_satellite*V_ouv_sat^2</f>
        <v>3594.6816511969405</v>
      </c>
      <c r="J72" s="81"/>
      <c r="K72" s="81"/>
      <c r="L72" s="81"/>
      <c r="M72" s="81"/>
      <c r="N72" s="97"/>
    </row>
    <row r="73" spans="2:14" x14ac:dyDescent="0.25">
      <c r="B73" s="96"/>
      <c r="C73" s="81"/>
      <c r="D73" s="2"/>
      <c r="E73" s="81"/>
      <c r="F73" s="325"/>
      <c r="G73" s="299" t="s">
        <v>240</v>
      </c>
      <c r="H73" s="300">
        <f ca="1">H72/9.81</f>
        <v>95.763275801499006</v>
      </c>
      <c r="I73" s="301">
        <f ca="1">I72/9.81</f>
        <v>366.43034161028953</v>
      </c>
      <c r="J73" s="81"/>
      <c r="K73" s="81"/>
      <c r="L73" s="81"/>
      <c r="M73" s="81"/>
      <c r="N73" s="97"/>
    </row>
    <row r="74" spans="2:14" ht="13.8" thickBot="1" x14ac:dyDescent="0.3">
      <c r="B74" s="99"/>
      <c r="C74" s="102"/>
      <c r="D74" s="102"/>
      <c r="E74" s="102"/>
      <c r="F74" s="102"/>
      <c r="G74" s="102"/>
      <c r="H74" s="102"/>
      <c r="I74" s="102"/>
      <c r="J74" s="102"/>
      <c r="K74" s="102"/>
      <c r="L74" s="102"/>
      <c r="M74" s="102"/>
      <c r="N74" s="101"/>
    </row>
    <row r="76" spans="2:14" ht="13.8" thickBot="1" x14ac:dyDescent="0.3"/>
    <row r="77" spans="2:14" x14ac:dyDescent="0.25">
      <c r="B77" s="93"/>
      <c r="C77" s="94"/>
      <c r="D77" s="94"/>
      <c r="E77" s="94"/>
      <c r="F77" s="94"/>
      <c r="G77" s="94"/>
      <c r="H77" s="94"/>
      <c r="I77" s="94"/>
      <c r="J77" s="94"/>
      <c r="K77" s="94"/>
      <c r="L77" s="94"/>
      <c r="M77" s="94"/>
      <c r="N77" s="95"/>
    </row>
    <row r="78" spans="2:14" x14ac:dyDescent="0.25">
      <c r="B78" s="96"/>
      <c r="C78" s="81"/>
      <c r="D78" s="2" t="s">
        <v>335</v>
      </c>
      <c r="E78" s="81"/>
      <c r="F78" s="81"/>
      <c r="G78" s="81"/>
      <c r="H78" s="81"/>
      <c r="I78" s="81"/>
      <c r="J78" s="81"/>
      <c r="K78" s="81"/>
      <c r="L78" s="81"/>
      <c r="M78" s="81"/>
      <c r="N78" s="97"/>
    </row>
    <row r="79" spans="2:14" ht="12.75" customHeight="1" x14ac:dyDescent="0.3">
      <c r="B79" s="96"/>
      <c r="C79" s="81"/>
      <c r="D79" s="81"/>
      <c r="E79" s="499"/>
      <c r="F79" s="500"/>
      <c r="G79" s="504" t="s">
        <v>341</v>
      </c>
      <c r="H79" s="81"/>
      <c r="I79" s="524"/>
      <c r="J79" s="499"/>
      <c r="K79" s="499"/>
      <c r="L79" s="81"/>
      <c r="M79" s="81"/>
      <c r="N79" s="97"/>
    </row>
    <row r="80" spans="2:14" x14ac:dyDescent="0.25">
      <c r="B80" s="96"/>
      <c r="C80" s="323" t="s">
        <v>336</v>
      </c>
      <c r="D80" s="287" t="str">
        <f>Nom</f>
        <v>Indra</v>
      </c>
      <c r="E80" s="499"/>
      <c r="F80" s="500"/>
      <c r="G80" s="499"/>
      <c r="H80" s="499"/>
      <c r="I80" s="499"/>
      <c r="J80" s="499"/>
      <c r="K80" s="499"/>
      <c r="L80" s="81"/>
      <c r="M80" s="81"/>
      <c r="N80" s="97"/>
    </row>
    <row r="81" spans="2:14" ht="13.8" thickBot="1" x14ac:dyDescent="0.3">
      <c r="B81" s="96"/>
      <c r="C81" s="324" t="s">
        <v>4</v>
      </c>
      <c r="D81" s="288" t="str">
        <f>Club</f>
        <v>Space'Tech Orléans</v>
      </c>
      <c r="E81" s="499"/>
      <c r="F81" s="500"/>
      <c r="G81" s="499"/>
      <c r="H81" s="499"/>
      <c r="I81" s="499"/>
      <c r="J81" s="499"/>
      <c r="K81" s="499"/>
      <c r="L81" s="81"/>
      <c r="M81" s="81"/>
      <c r="N81" s="97"/>
    </row>
    <row r="82" spans="2:14" ht="13.8" thickBot="1" x14ac:dyDescent="0.3">
      <c r="B82" s="96"/>
      <c r="C82" s="497" t="s">
        <v>337</v>
      </c>
      <c r="D82" s="288" t="s">
        <v>14</v>
      </c>
      <c r="E82" s="501" t="s">
        <v>342</v>
      </c>
      <c r="F82" s="511">
        <f>Long_ogive</f>
        <v>250</v>
      </c>
      <c r="G82" s="499"/>
      <c r="H82" s="499"/>
      <c r="I82" s="499"/>
      <c r="J82" s="499"/>
      <c r="K82" s="499"/>
      <c r="L82" s="81"/>
      <c r="M82" s="81"/>
      <c r="N82" s="97"/>
    </row>
    <row r="83" spans="2:14" x14ac:dyDescent="0.25">
      <c r="B83" s="96"/>
      <c r="C83" s="325" t="s">
        <v>338</v>
      </c>
      <c r="D83" s="498">
        <f ca="1">TODAY()</f>
        <v>44882</v>
      </c>
      <c r="E83" s="499"/>
      <c r="F83" s="505"/>
      <c r="G83" s="499"/>
      <c r="H83" s="499"/>
      <c r="I83" s="499"/>
      <c r="J83" s="499"/>
      <c r="K83" s="499"/>
      <c r="L83" s="81"/>
      <c r="M83" s="81"/>
      <c r="N83" s="97"/>
    </row>
    <row r="84" spans="2:14" ht="13.8" thickBot="1" x14ac:dyDescent="0.3">
      <c r="B84" s="96"/>
      <c r="C84" s="81"/>
      <c r="D84" s="81"/>
      <c r="E84" s="499"/>
      <c r="F84" s="505"/>
      <c r="G84" s="499"/>
      <c r="H84" s="499"/>
      <c r="I84" s="499"/>
      <c r="J84" s="510" t="str">
        <f>IF(RIGHT(Nb_diam,1)=",", "", X_j)</f>
        <v/>
      </c>
      <c r="K84" s="499"/>
      <c r="L84" s="81"/>
      <c r="M84" s="81"/>
      <c r="N84" s="97"/>
    </row>
    <row r="85" spans="2:14" ht="13.8" thickBot="1" x14ac:dyDescent="0.3">
      <c r="B85" s="96"/>
      <c r="C85" s="323" t="s">
        <v>339</v>
      </c>
      <c r="D85" s="287" t="str">
        <f>Propu</f>
        <v>Orignal (Pro75-3G C)</v>
      </c>
      <c r="E85" s="501" t="s">
        <v>343</v>
      </c>
      <c r="F85" s="511">
        <f>D_og</f>
        <v>100</v>
      </c>
      <c r="G85" s="499"/>
      <c r="H85" s="499"/>
      <c r="I85" s="499"/>
      <c r="J85" s="505"/>
      <c r="K85" s="499"/>
      <c r="L85" s="81"/>
      <c r="M85" s="81"/>
      <c r="N85" s="97"/>
    </row>
    <row r="86" spans="2:14" x14ac:dyDescent="0.25">
      <c r="B86" s="96"/>
      <c r="C86" s="325" t="s">
        <v>340</v>
      </c>
      <c r="D86" s="308" t="s">
        <v>14</v>
      </c>
      <c r="E86" s="499"/>
      <c r="F86" s="505"/>
      <c r="G86" s="499"/>
      <c r="H86" s="499"/>
      <c r="I86" s="499"/>
      <c r="J86" s="510" t="str">
        <f>IF(RIGHT(Nb_diam,1)=",", "", X_r)</f>
        <v/>
      </c>
      <c r="K86" s="499"/>
      <c r="L86" s="81"/>
      <c r="M86" s="81"/>
      <c r="N86" s="97"/>
    </row>
    <row r="87" spans="2:14" x14ac:dyDescent="0.25">
      <c r="B87" s="96"/>
      <c r="C87" s="81"/>
      <c r="D87" s="81"/>
      <c r="E87" s="499"/>
      <c r="F87" s="505"/>
      <c r="G87" s="499"/>
      <c r="H87" s="499"/>
      <c r="I87" s="499"/>
      <c r="J87" s="505"/>
      <c r="K87" s="499"/>
      <c r="L87" s="81"/>
      <c r="M87" s="81"/>
      <c r="N87" s="97"/>
    </row>
    <row r="88" spans="2:14" x14ac:dyDescent="0.25">
      <c r="B88" s="96"/>
      <c r="C88" s="81"/>
      <c r="D88" s="81"/>
      <c r="E88" s="499"/>
      <c r="F88" s="505"/>
      <c r="G88" s="499"/>
      <c r="H88" s="499"/>
      <c r="I88" s="499"/>
      <c r="J88" s="510" t="str">
        <f>IF(RIGHT(Nb_diam,1)=",", "", l_j)</f>
        <v/>
      </c>
      <c r="K88" s="499"/>
      <c r="L88" s="81"/>
      <c r="M88" s="81"/>
      <c r="N88" s="97"/>
    </row>
    <row r="89" spans="2:14" ht="13.8" thickBot="1" x14ac:dyDescent="0.3">
      <c r="B89" s="96"/>
      <c r="C89" s="81"/>
      <c r="D89" s="81"/>
      <c r="E89" s="499"/>
      <c r="F89" s="505"/>
      <c r="G89" s="499"/>
      <c r="H89" s="499"/>
      <c r="I89" s="499"/>
      <c r="J89" s="505"/>
      <c r="K89" s="499"/>
      <c r="L89" s="81"/>
      <c r="M89" s="81"/>
      <c r="N89" s="97"/>
    </row>
    <row r="90" spans="2:14" ht="13.8" thickBot="1" x14ac:dyDescent="0.3">
      <c r="B90" s="96"/>
      <c r="C90" s="81"/>
      <c r="D90" s="81"/>
      <c r="E90" s="502" t="s">
        <v>344</v>
      </c>
      <c r="F90" s="510" t="str">
        <f>IF(RIGHT(Nb_diam,1)=",", "", D2j)</f>
        <v/>
      </c>
      <c r="G90" s="499"/>
      <c r="H90" s="499"/>
      <c r="I90" s="499"/>
      <c r="J90" s="511">
        <f>X_ail-m_ail</f>
        <v>1580</v>
      </c>
      <c r="K90" s="503"/>
      <c r="L90" s="81"/>
      <c r="M90" s="81"/>
      <c r="N90" s="97"/>
    </row>
    <row r="91" spans="2:14" x14ac:dyDescent="0.25">
      <c r="B91" s="96"/>
      <c r="C91" s="81"/>
      <c r="D91" s="81"/>
      <c r="E91" s="499"/>
      <c r="F91" s="505"/>
      <c r="G91" s="499"/>
      <c r="H91" s="499"/>
      <c r="I91" s="499"/>
      <c r="J91" s="505"/>
      <c r="K91" s="499"/>
      <c r="L91" s="81"/>
      <c r="M91" s="81"/>
      <c r="N91" s="97"/>
    </row>
    <row r="92" spans="2:14" x14ac:dyDescent="0.25">
      <c r="B92" s="96"/>
      <c r="C92" s="81"/>
      <c r="D92" s="81"/>
      <c r="E92" s="499"/>
      <c r="F92" s="505"/>
      <c r="G92" s="499"/>
      <c r="H92" s="499"/>
      <c r="I92" s="499"/>
      <c r="J92" s="510" t="str">
        <f>IF(RIGHT(Nb_diam,1)=",", "", l_r)</f>
        <v/>
      </c>
      <c r="K92" s="499"/>
      <c r="L92" s="81"/>
      <c r="M92" s="81"/>
      <c r="N92" s="97"/>
    </row>
    <row r="93" spans="2:14" x14ac:dyDescent="0.25">
      <c r="B93" s="96"/>
      <c r="C93" s="81"/>
      <c r="D93" s="81"/>
      <c r="E93" s="499"/>
      <c r="F93" s="505"/>
      <c r="G93" s="499"/>
      <c r="H93" s="499"/>
      <c r="I93" s="499"/>
      <c r="J93" s="505"/>
      <c r="K93" s="499"/>
      <c r="L93" s="81"/>
      <c r="M93" s="81"/>
      <c r="N93" s="97"/>
    </row>
    <row r="94" spans="2:14" x14ac:dyDescent="0.25">
      <c r="B94" s="96"/>
      <c r="C94" s="81"/>
      <c r="D94" s="81"/>
      <c r="E94" s="502" t="s">
        <v>345</v>
      </c>
      <c r="F94" s="510" t="str">
        <f>IF(RIGHT(Nb_diam,1)=",", "", D2r)</f>
        <v/>
      </c>
      <c r="G94" s="499"/>
      <c r="H94" s="499"/>
      <c r="I94" s="499"/>
      <c r="J94" s="505"/>
      <c r="K94" s="499"/>
      <c r="L94" s="81"/>
      <c r="M94" s="81"/>
      <c r="N94" s="97"/>
    </row>
    <row r="95" spans="2:14" x14ac:dyDescent="0.25">
      <c r="B95" s="96"/>
      <c r="C95" s="81"/>
      <c r="D95" s="81"/>
      <c r="E95" s="499"/>
      <c r="F95" s="505"/>
      <c r="G95" s="499"/>
      <c r="H95" s="499"/>
      <c r="I95" s="499"/>
      <c r="J95" s="505"/>
      <c r="K95" s="499"/>
      <c r="L95" s="81"/>
      <c r="M95" s="81"/>
      <c r="N95" s="97"/>
    </row>
    <row r="96" spans="2:14" ht="13.8" thickBot="1" x14ac:dyDescent="0.3">
      <c r="B96" s="96"/>
      <c r="C96" s="81"/>
      <c r="D96" s="81"/>
      <c r="E96" s="499"/>
      <c r="F96" s="505"/>
      <c r="G96" s="499"/>
      <c r="H96" s="499"/>
      <c r="I96" s="499"/>
      <c r="J96" s="505"/>
      <c r="K96" s="499"/>
      <c r="L96" s="81"/>
      <c r="M96" s="81"/>
      <c r="N96" s="97"/>
    </row>
    <row r="97" spans="2:14" ht="13.8" thickBot="1" x14ac:dyDescent="0.3">
      <c r="B97" s="96"/>
      <c r="C97" s="81"/>
      <c r="D97" s="81"/>
      <c r="E97" s="501" t="s">
        <v>346</v>
      </c>
      <c r="F97" s="511">
        <f>m_ail</f>
        <v>220</v>
      </c>
      <c r="G97" s="499"/>
      <c r="H97" s="499"/>
      <c r="I97" s="499"/>
      <c r="J97" s="511">
        <f>p_ail</f>
        <v>200</v>
      </c>
      <c r="K97" s="503"/>
      <c r="L97" s="81"/>
      <c r="M97" s="81"/>
      <c r="N97" s="97"/>
    </row>
    <row r="98" spans="2:14" x14ac:dyDescent="0.25">
      <c r="B98" s="96"/>
      <c r="C98" s="81"/>
      <c r="D98" s="81"/>
      <c r="E98" s="499"/>
      <c r="F98" s="500"/>
      <c r="G98" s="499"/>
      <c r="H98" s="499"/>
      <c r="I98" s="499"/>
      <c r="J98" s="505"/>
      <c r="K98" s="499"/>
      <c r="L98" s="81"/>
      <c r="M98" s="81"/>
      <c r="N98" s="97"/>
    </row>
    <row r="99" spans="2:14" x14ac:dyDescent="0.25">
      <c r="B99" s="96"/>
      <c r="C99" s="81"/>
      <c r="D99" s="81"/>
      <c r="E99" s="499"/>
      <c r="F99" s="500"/>
      <c r="G99" s="499"/>
      <c r="H99" s="499"/>
      <c r="I99" s="499"/>
      <c r="J99" s="505"/>
      <c r="K99" s="499"/>
      <c r="L99" s="81"/>
      <c r="M99" s="81"/>
      <c r="N99" s="97"/>
    </row>
    <row r="100" spans="2:14" ht="13.8" thickBot="1" x14ac:dyDescent="0.3">
      <c r="B100" s="96"/>
      <c r="C100" s="81"/>
      <c r="D100" s="494" t="s">
        <v>348</v>
      </c>
      <c r="E100" s="290">
        <f>Q_ail</f>
        <v>4</v>
      </c>
      <c r="F100" s="495"/>
      <c r="G100" s="499"/>
      <c r="H100" s="499"/>
      <c r="I100" s="499"/>
      <c r="J100" s="505"/>
      <c r="K100" s="499"/>
      <c r="L100" s="81"/>
      <c r="M100" s="81"/>
      <c r="N100" s="97"/>
    </row>
    <row r="101" spans="2:14" ht="13.8" thickBot="1" x14ac:dyDescent="0.3">
      <c r="B101" s="96"/>
      <c r="C101" s="81"/>
      <c r="D101" s="506" t="s">
        <v>352</v>
      </c>
      <c r="E101" s="8">
        <f ca="1">XpropuRef-Long_propu</f>
        <v>1314</v>
      </c>
      <c r="F101" s="296"/>
      <c r="G101" s="499"/>
      <c r="H101" s="499"/>
      <c r="I101" s="499"/>
      <c r="J101" s="511">
        <f>n_ail</f>
        <v>100</v>
      </c>
      <c r="K101" s="503"/>
      <c r="L101" s="81"/>
      <c r="M101" s="81"/>
      <c r="N101" s="97"/>
    </row>
    <row r="102" spans="2:14" x14ac:dyDescent="0.25">
      <c r="B102" s="96"/>
      <c r="C102" s="81"/>
      <c r="D102" s="506" t="s">
        <v>349</v>
      </c>
      <c r="E102" s="8">
        <f>IF(LEFT(Forme_ogive,4)="Ogiv",1,0)</f>
        <v>1</v>
      </c>
      <c r="F102" s="296" t="s">
        <v>350</v>
      </c>
      <c r="G102" s="499"/>
      <c r="H102" s="499"/>
      <c r="I102" s="499"/>
      <c r="J102" s="505"/>
      <c r="K102" s="499"/>
      <c r="L102" s="81"/>
      <c r="M102" s="81"/>
      <c r="N102" s="97"/>
    </row>
    <row r="103" spans="2:14" x14ac:dyDescent="0.25">
      <c r="B103" s="96"/>
      <c r="C103" s="81"/>
      <c r="D103" s="506"/>
      <c r="E103" s="8">
        <f>IF(LEFT(Forme_ogive,3)="Con",1,0)</f>
        <v>0</v>
      </c>
      <c r="F103" s="296" t="s">
        <v>160</v>
      </c>
      <c r="G103" s="499"/>
      <c r="H103" s="499"/>
      <c r="I103" s="499"/>
      <c r="J103" s="505"/>
      <c r="K103" s="499"/>
      <c r="L103" s="81"/>
      <c r="M103" s="81"/>
      <c r="N103" s="97"/>
    </row>
    <row r="104" spans="2:14" ht="13.8" thickBot="1" x14ac:dyDescent="0.3">
      <c r="B104" s="96"/>
      <c r="C104" s="81"/>
      <c r="D104" s="496"/>
      <c r="E104" s="322">
        <f>IF(LEFT(Forme_ogive,5)="Parab",1,0)</f>
        <v>0</v>
      </c>
      <c r="F104" s="339" t="s">
        <v>351</v>
      </c>
      <c r="G104" s="499"/>
      <c r="H104" s="499"/>
      <c r="I104" s="499"/>
      <c r="J104" s="512" t="s">
        <v>347</v>
      </c>
      <c r="K104" s="499"/>
      <c r="L104" s="81"/>
      <c r="M104" s="81"/>
      <c r="N104" s="97"/>
    </row>
    <row r="105" spans="2:14" ht="13.8" thickBot="1" x14ac:dyDescent="0.3">
      <c r="B105" s="96"/>
      <c r="C105" s="81"/>
      <c r="D105" s="2"/>
      <c r="E105" s="2"/>
      <c r="F105" s="2"/>
      <c r="G105" s="501"/>
      <c r="H105" s="511">
        <f>E_ail</f>
        <v>150</v>
      </c>
      <c r="I105" s="501"/>
      <c r="J105" s="511">
        <f>ep_ail</f>
        <v>2</v>
      </c>
      <c r="K105" s="499"/>
      <c r="L105" s="81"/>
      <c r="M105" s="81"/>
      <c r="N105" s="97"/>
    </row>
    <row r="106" spans="2:14" x14ac:dyDescent="0.25">
      <c r="B106" s="96"/>
      <c r="C106" s="81"/>
      <c r="D106" s="494"/>
      <c r="E106" s="290" t="s">
        <v>356</v>
      </c>
      <c r="F106" s="287" t="s">
        <v>355</v>
      </c>
      <c r="G106" s="81"/>
      <c r="H106" s="81"/>
      <c r="I106" s="81"/>
      <c r="J106" s="81"/>
      <c r="K106" s="81"/>
      <c r="L106" s="81"/>
      <c r="M106" s="81"/>
      <c r="N106" s="97"/>
    </row>
    <row r="107" spans="2:14" x14ac:dyDescent="0.25">
      <c r="B107" s="96"/>
      <c r="C107" s="81"/>
      <c r="D107" s="506" t="s">
        <v>353</v>
      </c>
      <c r="E107" s="8">
        <f>MasseSans</f>
        <v>8</v>
      </c>
      <c r="F107" s="288">
        <f ca="1">MassePlein</f>
        <v>11.510999999999999</v>
      </c>
      <c r="G107" s="81"/>
      <c r="H107" s="81"/>
      <c r="I107" s="81"/>
      <c r="J107" s="81"/>
      <c r="K107" s="81"/>
      <c r="L107" s="81"/>
      <c r="M107" s="81"/>
      <c r="N107" s="97"/>
    </row>
    <row r="108" spans="2:14" x14ac:dyDescent="0.25">
      <c r="B108" s="96"/>
      <c r="C108" s="81"/>
      <c r="D108" s="496" t="s">
        <v>354</v>
      </c>
      <c r="E108" s="322">
        <f>XcgSans</f>
        <v>1100</v>
      </c>
      <c r="F108" s="308">
        <f ca="1">XcgPlein</f>
        <v>1239.3907566675355</v>
      </c>
      <c r="G108" s="81"/>
      <c r="H108" s="81"/>
      <c r="I108" s="81"/>
      <c r="J108" s="81"/>
      <c r="K108" s="81"/>
      <c r="L108" s="81"/>
      <c r="M108" s="81"/>
      <c r="N108" s="97"/>
    </row>
    <row r="109" spans="2:14" x14ac:dyDescent="0.25">
      <c r="B109" s="96"/>
      <c r="C109" s="81"/>
      <c r="D109" s="81"/>
      <c r="E109" s="81"/>
      <c r="F109" s="81"/>
      <c r="G109" s="81"/>
      <c r="H109" s="81"/>
      <c r="I109" s="81"/>
      <c r="J109" s="81"/>
      <c r="K109" s="81"/>
      <c r="L109" s="81"/>
      <c r="M109" s="81"/>
      <c r="N109" s="97"/>
    </row>
    <row r="110" spans="2:14" x14ac:dyDescent="0.25">
      <c r="B110" s="96"/>
      <c r="C110" s="81"/>
      <c r="D110" s="507" t="s">
        <v>357</v>
      </c>
      <c r="E110" s="508">
        <f ca="1">MasseVide</f>
        <v>9.6379999999999999</v>
      </c>
      <c r="F110" s="81"/>
      <c r="G110" s="494" t="s">
        <v>358</v>
      </c>
      <c r="H110" s="313"/>
      <c r="I110" s="313"/>
      <c r="J110" s="314"/>
      <c r="K110" s="81"/>
      <c r="L110" s="81"/>
      <c r="M110" s="81"/>
      <c r="N110" s="97"/>
    </row>
    <row r="111" spans="2:14" x14ac:dyDescent="0.25">
      <c r="B111" s="96"/>
      <c r="C111" s="81"/>
      <c r="D111" s="81"/>
      <c r="E111" s="81"/>
      <c r="F111" s="81"/>
      <c r="G111" s="324" t="s">
        <v>214</v>
      </c>
      <c r="H111" s="8">
        <f>Beta_rampe</f>
        <v>80</v>
      </c>
      <c r="I111" s="8">
        <v>80</v>
      </c>
      <c r="J111" s="288">
        <v>90</v>
      </c>
      <c r="K111" s="81"/>
      <c r="L111" s="81"/>
      <c r="M111" s="81"/>
      <c r="N111" s="97"/>
    </row>
    <row r="112" spans="2:14" x14ac:dyDescent="0.25">
      <c r="B112" s="96"/>
      <c r="C112" s="81"/>
      <c r="D112" s="81"/>
      <c r="E112" s="81"/>
      <c r="F112" s="81"/>
      <c r="G112" s="327" t="s">
        <v>216</v>
      </c>
      <c r="H112" s="304">
        <f ca="1">Temps_culmi</f>
        <v>22.899999999999995</v>
      </c>
      <c r="I112" s="305"/>
      <c r="J112" s="316"/>
      <c r="K112" s="81"/>
      <c r="L112" s="81"/>
      <c r="M112" s="81"/>
      <c r="N112" s="97"/>
    </row>
    <row r="113" spans="2:14" ht="12.75" customHeight="1" x14ac:dyDescent="0.3">
      <c r="B113" s="96"/>
      <c r="C113" s="81"/>
      <c r="D113" s="504" t="s">
        <v>359</v>
      </c>
      <c r="E113" s="499"/>
      <c r="F113" s="81"/>
      <c r="G113" s="327" t="s">
        <v>217</v>
      </c>
      <c r="H113" s="286">
        <f ca="1">Altitude_culmi</f>
        <v>2710.5237034610714</v>
      </c>
      <c r="I113" s="305"/>
      <c r="J113" s="316"/>
      <c r="K113" s="81"/>
      <c r="L113" s="81"/>
      <c r="M113" s="81"/>
      <c r="N113" s="97"/>
    </row>
    <row r="114" spans="2:14" ht="12.75" customHeight="1" x14ac:dyDescent="0.3">
      <c r="B114" s="96"/>
      <c r="C114" s="81"/>
      <c r="D114" s="499"/>
      <c r="E114" s="499"/>
      <c r="F114" s="504"/>
      <c r="G114" s="327" t="s">
        <v>218</v>
      </c>
      <c r="H114" s="306">
        <f ca="1">Vit_culmi</f>
        <v>37.910868327245538</v>
      </c>
      <c r="I114" s="305"/>
      <c r="J114" s="316"/>
      <c r="K114" s="81"/>
      <c r="L114" s="81"/>
      <c r="M114" s="81"/>
      <c r="N114" s="97"/>
    </row>
    <row r="115" spans="2:14" x14ac:dyDescent="0.25">
      <c r="B115" s="96"/>
      <c r="C115" s="518" t="s">
        <v>360</v>
      </c>
      <c r="D115" s="519"/>
      <c r="E115" s="520">
        <v>0.1</v>
      </c>
      <c r="F115" s="81"/>
      <c r="G115" s="327" t="s">
        <v>134</v>
      </c>
      <c r="H115" s="307">
        <f ca="1">Portee_balistique</f>
        <v>1789.3751464685777</v>
      </c>
      <c r="I115" s="305"/>
      <c r="J115" s="316"/>
      <c r="K115" s="81"/>
      <c r="L115" s="81"/>
      <c r="M115" s="81"/>
      <c r="N115" s="97"/>
    </row>
    <row r="116" spans="2:14" ht="12.75" customHeight="1" x14ac:dyDescent="0.25">
      <c r="B116" s="96"/>
      <c r="C116" s="521" t="s">
        <v>361</v>
      </c>
      <c r="D116" s="522"/>
      <c r="E116" s="523">
        <f>E_ail*(m_ail+n_ail)/2</f>
        <v>24000</v>
      </c>
      <c r="F116" s="81"/>
      <c r="G116" s="327" t="s">
        <v>138</v>
      </c>
      <c r="H116" s="306">
        <f ca="1">Vit_max</f>
        <v>271.24415902988551</v>
      </c>
      <c r="I116" s="305"/>
      <c r="J116" s="316"/>
      <c r="K116" s="81"/>
      <c r="L116" s="81"/>
      <c r="M116" s="81"/>
      <c r="N116" s="97"/>
    </row>
    <row r="117" spans="2:14" ht="12.75" customHeight="1" x14ac:dyDescent="0.25">
      <c r="B117" s="96"/>
      <c r="C117" s="81"/>
      <c r="D117" s="499"/>
      <c r="E117" s="499"/>
      <c r="F117" s="499"/>
      <c r="G117" s="327" t="s">
        <v>137</v>
      </c>
      <c r="H117" s="307">
        <f ca="1">Acc_max</f>
        <v>101.86144781346204</v>
      </c>
      <c r="I117" s="305"/>
      <c r="J117" s="316"/>
      <c r="K117" s="81"/>
      <c r="L117" s="81"/>
      <c r="M117" s="81"/>
      <c r="N117" s="97"/>
    </row>
    <row r="118" spans="2:14" x14ac:dyDescent="0.25">
      <c r="B118" s="96"/>
      <c r="C118" s="525" t="s">
        <v>362</v>
      </c>
      <c r="D118" s="526"/>
      <c r="E118" s="539"/>
      <c r="F118" s="540">
        <f>J90/100</f>
        <v>15.8</v>
      </c>
      <c r="G118" s="324" t="s">
        <v>5</v>
      </c>
      <c r="H118" s="8">
        <f>Cx</f>
        <v>0.5</v>
      </c>
      <c r="I118" s="305"/>
      <c r="J118" s="316"/>
      <c r="K118" s="81"/>
      <c r="L118" s="81"/>
      <c r="M118" s="81"/>
      <c r="N118" s="97"/>
    </row>
    <row r="119" spans="2:14" x14ac:dyDescent="0.25">
      <c r="B119" s="96"/>
      <c r="C119" s="527" t="s">
        <v>363</v>
      </c>
      <c r="D119" s="528"/>
      <c r="E119" s="541">
        <f ca="1">2*Acc_max*MasseSans</f>
        <v>1629.7831650153926</v>
      </c>
      <c r="F119" s="542">
        <f ca="1">E119/g</f>
        <v>166.13487920646202</v>
      </c>
      <c r="G119" s="317" t="s">
        <v>223</v>
      </c>
      <c r="H119" s="318"/>
      <c r="I119" s="318"/>
      <c r="J119" s="319"/>
      <c r="K119" s="81"/>
      <c r="L119" s="81"/>
      <c r="M119" s="81"/>
      <c r="N119" s="97"/>
    </row>
    <row r="120" spans="2:14" x14ac:dyDescent="0.25">
      <c r="B120" s="96"/>
      <c r="C120" s="527" t="s">
        <v>364</v>
      </c>
      <c r="D120" s="528"/>
      <c r="E120" s="541">
        <f ca="1">2*Acc_max*E115</f>
        <v>20.372289562692409</v>
      </c>
      <c r="F120" s="542">
        <f ca="1">E120/g</f>
        <v>2.0766859900807755</v>
      </c>
      <c r="G120" s="81"/>
      <c r="H120" s="81"/>
      <c r="I120" s="81"/>
      <c r="J120" s="81"/>
      <c r="K120" s="81"/>
      <c r="L120" s="81"/>
      <c r="M120" s="81"/>
      <c r="N120" s="97"/>
    </row>
    <row r="121" spans="2:14" x14ac:dyDescent="0.25">
      <c r="B121" s="96"/>
      <c r="C121" s="529" t="s">
        <v>365</v>
      </c>
      <c r="D121" s="530"/>
      <c r="E121" s="534">
        <f ca="1">0.104*E116/1000000*Vit_max^2</f>
        <v>183.63919094434323</v>
      </c>
      <c r="F121" s="535">
        <f ca="1">E121/g</f>
        <v>18.719591329698595</v>
      </c>
      <c r="G121" s="499"/>
      <c r="H121" s="499"/>
      <c r="I121" s="499"/>
      <c r="J121" s="499"/>
      <c r="K121" s="81"/>
      <c r="L121" s="81"/>
      <c r="M121" s="81"/>
      <c r="N121" s="97"/>
    </row>
    <row r="122" spans="2:14" ht="12.75" customHeight="1" x14ac:dyDescent="0.25">
      <c r="B122" s="96"/>
      <c r="C122" s="81"/>
      <c r="D122" s="81"/>
      <c r="E122" s="81"/>
      <c r="F122" s="81"/>
      <c r="G122" s="81"/>
      <c r="H122" s="499"/>
      <c r="I122" s="499"/>
      <c r="J122" s="499"/>
      <c r="K122" s="81"/>
      <c r="L122" s="81"/>
      <c r="M122" s="81"/>
      <c r="N122" s="97"/>
    </row>
    <row r="123" spans="2:14" ht="12.75" customHeight="1" x14ac:dyDescent="0.3">
      <c r="B123" s="96"/>
      <c r="C123" s="81"/>
      <c r="D123" s="81"/>
      <c r="E123" s="81"/>
      <c r="F123" s="81"/>
      <c r="G123" s="504"/>
      <c r="H123" s="504"/>
      <c r="I123" s="504"/>
      <c r="J123" s="499"/>
      <c r="K123" s="81"/>
      <c r="L123" s="81"/>
      <c r="M123" s="81"/>
      <c r="N123" s="97"/>
    </row>
    <row r="124" spans="2:14" ht="12.75" customHeight="1" x14ac:dyDescent="0.3">
      <c r="B124" s="96"/>
      <c r="C124" s="500"/>
      <c r="D124" s="504" t="s">
        <v>366</v>
      </c>
      <c r="E124" s="524"/>
      <c r="F124" s="81"/>
      <c r="G124" s="81"/>
      <c r="H124" s="81"/>
      <c r="I124" s="81"/>
      <c r="J124" s="499"/>
      <c r="K124" s="499"/>
      <c r="L124" s="81"/>
      <c r="M124" s="81"/>
      <c r="N124" s="97"/>
    </row>
    <row r="125" spans="2:14" x14ac:dyDescent="0.25">
      <c r="B125" s="96"/>
      <c r="C125" s="517" t="s">
        <v>367</v>
      </c>
      <c r="D125" s="509"/>
      <c r="E125" s="509"/>
      <c r="F125" s="509"/>
      <c r="G125" s="509"/>
      <c r="H125" s="81"/>
      <c r="I125" s="81"/>
      <c r="J125" s="499"/>
      <c r="K125" s="499"/>
      <c r="L125" s="81"/>
      <c r="M125" s="81"/>
      <c r="N125" s="97"/>
    </row>
    <row r="126" spans="2:14" x14ac:dyDescent="0.25">
      <c r="B126" s="96"/>
      <c r="C126" s="525" t="s">
        <v>368</v>
      </c>
      <c r="D126" s="526"/>
      <c r="E126" s="531">
        <v>4</v>
      </c>
      <c r="F126" s="509"/>
      <c r="G126" s="499"/>
      <c r="H126" s="81"/>
      <c r="I126" s="81"/>
      <c r="J126" s="499"/>
      <c r="K126" s="81"/>
      <c r="L126" s="81"/>
      <c r="M126" s="81"/>
      <c r="N126" s="97"/>
    </row>
    <row r="127" spans="2:14" x14ac:dyDescent="0.25">
      <c r="B127" s="96"/>
      <c r="C127" s="529" t="s">
        <v>369</v>
      </c>
      <c r="D127" s="530"/>
      <c r="E127" s="538">
        <f>S_para</f>
        <v>0.64</v>
      </c>
      <c r="F127" s="509"/>
      <c r="G127" s="499"/>
      <c r="H127" s="81"/>
      <c r="I127" s="81"/>
      <c r="J127" s="499"/>
      <c r="K127" s="81"/>
      <c r="L127" s="81"/>
      <c r="M127" s="81"/>
      <c r="N127" s="97"/>
    </row>
    <row r="128" spans="2:14" x14ac:dyDescent="0.25">
      <c r="B128" s="96"/>
      <c r="C128" s="787" t="s">
        <v>370</v>
      </c>
      <c r="D128" s="788"/>
      <c r="E128" s="532">
        <f ca="1">0.5*Rho_moyen*S_para*Vit_culmi^2</f>
        <v>563.39570343169362</v>
      </c>
      <c r="F128" s="533">
        <f ca="1">E128/g</f>
        <v>57.430754682129823</v>
      </c>
      <c r="G128" s="509"/>
      <c r="H128" s="499"/>
      <c r="I128" s="499"/>
      <c r="J128" s="499"/>
      <c r="K128" s="499"/>
      <c r="L128" s="81"/>
      <c r="M128" s="81"/>
      <c r="N128" s="97"/>
    </row>
    <row r="129" spans="2:14" x14ac:dyDescent="0.25">
      <c r="B129" s="96"/>
      <c r="C129" s="789" t="s">
        <v>371</v>
      </c>
      <c r="D129" s="790"/>
      <c r="E129" s="534">
        <f ca="1">E128/E126*2</f>
        <v>281.69785171584681</v>
      </c>
      <c r="F129" s="535">
        <f ca="1">E129/g</f>
        <v>28.715377341064912</v>
      </c>
      <c r="G129" s="509"/>
      <c r="H129" s="499"/>
      <c r="I129" s="499"/>
      <c r="J129" s="499"/>
      <c r="K129" s="499"/>
      <c r="L129" s="81"/>
      <c r="M129" s="81"/>
      <c r="N129" s="97"/>
    </row>
    <row r="130" spans="2:14" x14ac:dyDescent="0.25">
      <c r="B130" s="96"/>
      <c r="C130" s="514"/>
      <c r="D130" s="514"/>
      <c r="E130" s="515"/>
      <c r="F130" s="516"/>
      <c r="G130" s="509"/>
      <c r="H130" s="499"/>
      <c r="I130" s="499"/>
      <c r="J130" s="499"/>
      <c r="K130" s="499"/>
      <c r="L130" s="81"/>
      <c r="M130" s="81"/>
      <c r="N130" s="97"/>
    </row>
    <row r="131" spans="2:14" x14ac:dyDescent="0.25">
      <c r="B131" s="96"/>
      <c r="C131" s="517" t="s">
        <v>372</v>
      </c>
      <c r="D131" s="499"/>
      <c r="E131" s="499"/>
      <c r="F131" s="499"/>
      <c r="G131" s="499"/>
      <c r="H131" s="499"/>
      <c r="I131" s="499"/>
      <c r="J131" s="499"/>
      <c r="K131" s="499"/>
      <c r="L131" s="81"/>
      <c r="M131" s="81"/>
      <c r="N131" s="97"/>
    </row>
    <row r="132" spans="2:14" x14ac:dyDescent="0.25">
      <c r="B132" s="96"/>
      <c r="C132" s="787" t="s">
        <v>373</v>
      </c>
      <c r="D132" s="788"/>
      <c r="E132" s="536">
        <v>1</v>
      </c>
      <c r="F132" s="499"/>
      <c r="G132" s="499"/>
      <c r="H132" s="499"/>
      <c r="I132" s="499"/>
      <c r="J132" s="513"/>
      <c r="K132" s="499"/>
      <c r="L132" s="81"/>
      <c r="M132" s="81"/>
      <c r="N132" s="97"/>
    </row>
    <row r="133" spans="2:14" x14ac:dyDescent="0.25">
      <c r="B133" s="96"/>
      <c r="C133" s="785" t="s">
        <v>374</v>
      </c>
      <c r="D133" s="786"/>
      <c r="E133" s="537">
        <f ca="1">2*E132*Acc_max/g</f>
        <v>20.766859900807752</v>
      </c>
      <c r="F133" s="500"/>
      <c r="G133" s="500"/>
      <c r="H133" s="500"/>
      <c r="I133" s="500"/>
      <c r="J133" s="499"/>
      <c r="K133" s="499"/>
      <c r="L133" s="81"/>
      <c r="M133" s="81"/>
      <c r="N133" s="97"/>
    </row>
    <row r="134" spans="2:14" ht="13.8" thickBot="1" x14ac:dyDescent="0.3">
      <c r="B134" s="99"/>
      <c r="C134" s="543"/>
      <c r="D134" s="543"/>
      <c r="E134" s="543"/>
      <c r="F134" s="543"/>
      <c r="G134" s="543"/>
      <c r="H134" s="543"/>
      <c r="I134" s="543"/>
      <c r="J134" s="544"/>
      <c r="K134" s="544"/>
      <c r="L134" s="102"/>
      <c r="M134" s="102"/>
      <c r="N134" s="101"/>
    </row>
  </sheetData>
  <sheetProtection password="C6AC" sheet="1"/>
  <mergeCells count="22">
    <mergeCell ref="C133:D133"/>
    <mergeCell ref="C128:D128"/>
    <mergeCell ref="C129:D129"/>
    <mergeCell ref="C132:D132"/>
    <mergeCell ref="H44:I44"/>
    <mergeCell ref="H45:I45"/>
    <mergeCell ref="H46:I46"/>
    <mergeCell ref="E31:G31"/>
    <mergeCell ref="M29:M30"/>
    <mergeCell ref="H30:I30"/>
    <mergeCell ref="L29:L30"/>
    <mergeCell ref="H31:I31"/>
    <mergeCell ref="H11:I11"/>
    <mergeCell ref="H12:I12"/>
    <mergeCell ref="H13:I13"/>
    <mergeCell ref="H29:K29"/>
    <mergeCell ref="C29:C30"/>
    <mergeCell ref="D29:D30"/>
    <mergeCell ref="H17:I17"/>
    <mergeCell ref="H18:I18"/>
    <mergeCell ref="H19:I19"/>
    <mergeCell ref="E29:G30"/>
  </mergeCells>
  <phoneticPr fontId="8" type="noConversion"/>
  <conditionalFormatting sqref="I68:I73 I16">
    <cfRule type="expression" dxfId="2" priority="6" stopIfTrue="1">
      <formula>Nb_sat="0 satellite"</formula>
    </cfRule>
  </conditionalFormatting>
  <conditionalFormatting sqref="D18:E18">
    <cfRule type="expression" dxfId="1" priority="2" stopIfTrue="1">
      <formula>IF(Propu="Cariacou",0,1)</formula>
    </cfRule>
  </conditionalFormatting>
  <conditionalFormatting sqref="F18:I19">
    <cfRule type="expression" dxfId="0" priority="1" stopIfTrue="1">
      <formula>IF(Propu="Cariacou",1,0)</formula>
    </cfRule>
  </conditionalFormatting>
  <pageMargins left="0.39370078740157483" right="0.39370078740157483" top="0.39370078740157483" bottom="0.39370078740157483" header="0" footer="0"/>
  <pageSetup paperSize="9" scale="61" orientation="portrait" r:id="rId1"/>
  <ignoredErrors>
    <ignoredError sqref="H65 H63" unlockedFormula="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8</vt:i4>
      </vt:variant>
      <vt:variant>
        <vt:lpstr>Plages nommées</vt:lpstr>
      </vt:variant>
      <vt:variant>
        <vt:i4>214</vt:i4>
      </vt:variant>
    </vt:vector>
  </HeadingPairs>
  <TitlesOfParts>
    <vt:vector size="222" baseType="lpstr">
      <vt:lpstr>Stabilito</vt:lpstr>
      <vt:lpstr>Trajecto</vt:lpstr>
      <vt:lpstr>Courbes</vt:lpstr>
      <vt:lpstr>Propu</vt:lpstr>
      <vt:lpstr>Calculs</vt:lpstr>
      <vt:lpstr>Abaco</vt:lpstr>
      <vt:lpstr>Info</vt:lpstr>
      <vt:lpstr>Controle</vt:lpstr>
      <vt:lpstr>a_prop</vt:lpstr>
      <vt:lpstr>Acc_max</vt:lpstr>
      <vt:lpstr>acc_x</vt:lpstr>
      <vt:lpstr>acc_xz</vt:lpstr>
      <vt:lpstr>acc_z</vt:lpstr>
      <vt:lpstr>Alt_para</vt:lpstr>
      <vt:lpstr>alt_prop</vt:lpstr>
      <vt:lpstr>Alt_rampe</vt:lpstr>
      <vt:lpstr>Alt_sat</vt:lpstr>
      <vt:lpstr>Altitude_culmi</vt:lpstr>
      <vt:lpstr>b_bal</vt:lpstr>
      <vt:lpstr>b_prop</vt:lpstr>
      <vt:lpstr>Beta</vt:lpstr>
      <vt:lpstr>Beta_rampe</vt:lpstr>
      <vt:lpstr>BetaD</vt:lpstr>
      <vt:lpstr>CdP</vt:lpstr>
      <vt:lpstr>CdP_P</vt:lpstr>
      <vt:lpstr>CdP_t</vt:lpstr>
      <vt:lpstr>Club</vt:lpstr>
      <vt:lpstr>Cn</vt:lpstr>
      <vt:lpstr>Cn0</vt:lpstr>
      <vt:lpstr>Stabilito!Cnai</vt:lpstr>
      <vt:lpstr>Cnai0</vt:lpstr>
      <vt:lpstr>Stabilito!Cnail</vt:lpstr>
      <vt:lpstr>Stabilito!Cnc</vt:lpstr>
      <vt:lpstr>Stabilito!Cni</vt:lpstr>
      <vt:lpstr>Cni0</vt:lpstr>
      <vt:lpstr>Stabilito!Cnj</vt:lpstr>
      <vt:lpstr>Stabilito!Cno</vt:lpstr>
      <vt:lpstr>Stabilito!Cnr</vt:lpstr>
      <vt:lpstr>Combustion</vt:lpstr>
      <vt:lpstr>Stabilito!CritCnmax</vt:lpstr>
      <vt:lpstr>Stabilito!CritCnmin</vt:lpstr>
      <vt:lpstr>Stabilito!CritFinessemax</vt:lpstr>
      <vt:lpstr>Stabilito!CritFinessemin</vt:lpstr>
      <vt:lpstr>Stabilito!CritMsCnmax</vt:lpstr>
      <vt:lpstr>Stabilito!CritMsCnmin</vt:lpstr>
      <vt:lpstr>Stabilito!CritMsmax</vt:lpstr>
      <vt:lpstr>Stabilito!CritMsmin</vt:lpstr>
      <vt:lpstr>Cx</vt:lpstr>
      <vt:lpstr>Cx_para</vt:lpstr>
      <vt:lpstr>Cx_satellite</vt:lpstr>
      <vt:lpstr>D_ail</vt:lpstr>
      <vt:lpstr>Stabilito!D_can</vt:lpstr>
      <vt:lpstr>Stabilito!D_int</vt:lpstr>
      <vt:lpstr>D_og</vt:lpstr>
      <vt:lpstr>D_ref</vt:lpstr>
      <vt:lpstr>D_var</vt:lpstr>
      <vt:lpstr>D1j</vt:lpstr>
      <vt:lpstr>D1r</vt:lpstr>
      <vt:lpstr>D2j</vt:lpstr>
      <vt:lpstr>D2r</vt:lpstr>
      <vt:lpstr>Débit</vt:lpstr>
      <vt:lpstr>Depotage</vt:lpstr>
      <vt:lpstr>Diam_propu</vt:lpstr>
      <vt:lpstr>Dt_para</vt:lpstr>
      <vt:lpstr>Dt_satellite</vt:lpstr>
      <vt:lpstr>Dx_para</vt:lpstr>
      <vt:lpstr>Dx_sat</vt:lpstr>
      <vt:lpstr>E_ail</vt:lpstr>
      <vt:lpstr>E_can</vt:lpstr>
      <vt:lpstr>Stabilito!E_int</vt:lpstr>
      <vt:lpstr>ep_ail</vt:lpstr>
      <vt:lpstr>ep_can</vt:lpstr>
      <vt:lpstr>Stabilito!ep_int</vt:lpstr>
      <vt:lpstr>Event</vt:lpstr>
      <vt:lpstr>Event_para</vt:lpstr>
      <vt:lpstr>Event_sat</vt:lpstr>
      <vt:lpstr>Stabilito!f_ail</vt:lpstr>
      <vt:lpstr>Stabilito!f_can</vt:lpstr>
      <vt:lpstr>Stabilito!f_int</vt:lpstr>
      <vt:lpstr>Finesse</vt:lpstr>
      <vt:lpstr>Forme_ogive</vt:lpstr>
      <vt:lpstr>g</vt:lpstr>
      <vt:lpstr>i_P</vt:lpstr>
      <vt:lpstr>I_total</vt:lpstr>
      <vt:lpstr>ISP</vt:lpstr>
      <vt:lpstr>l_j</vt:lpstr>
      <vt:lpstr>l_r</vt:lpstr>
      <vt:lpstr>L_rampe</vt:lpstr>
      <vt:lpstr>Lang</vt:lpstr>
      <vt:lpstr>Liste_µfu</vt:lpstr>
      <vt:lpstr>Liste_fusex</vt:lpstr>
      <vt:lpstr>Liste_H2O</vt:lpstr>
      <vt:lpstr>Liste_minif</vt:lpstr>
      <vt:lpstr>Liste_minifT</vt:lpstr>
      <vt:lpstr>Liste_propu</vt:lpstr>
      <vt:lpstr>Liste_RC</vt:lpstr>
      <vt:lpstr>Long_ogive</vt:lpstr>
      <vt:lpstr>Long_propu</vt:lpstr>
      <vt:lpstr>Long_tot</vt:lpstr>
      <vt:lpstr>m</vt:lpstr>
      <vt:lpstr>m_ail</vt:lpstr>
      <vt:lpstr>m_bal</vt:lpstr>
      <vt:lpstr>m_can</vt:lpstr>
      <vt:lpstr>Stabilito!m_int</vt:lpstr>
      <vt:lpstr>m_poudre</vt:lpstr>
      <vt:lpstr>m_prop</vt:lpstr>
      <vt:lpstr>m_satellite</vt:lpstr>
      <vt:lpstr>m_tot</vt:lpstr>
      <vt:lpstr>m_var</vt:lpstr>
      <vt:lpstr>m_vide</vt:lpstr>
      <vt:lpstr>Masse_ail</vt:lpstr>
      <vt:lpstr>MassePlein</vt:lpstr>
      <vt:lpstr>MasseSans</vt:lpstr>
      <vt:lpstr>MasseVide</vt:lpstr>
      <vt:lpstr>Menu_Empennage</vt:lpstr>
      <vt:lpstr>Menu_Lang</vt:lpstr>
      <vt:lpstr>Menu_Ogive</vt:lpstr>
      <vt:lpstr>Menu_sat</vt:lpstr>
      <vt:lpstr>Menu_Transitions</vt:lpstr>
      <vt:lpstr>Menu_Type</vt:lpstr>
      <vt:lpstr>Menu_with_motor</vt:lpstr>
      <vt:lpstr>MpropuPlein</vt:lpstr>
      <vt:lpstr>MpropuVide</vt:lpstr>
      <vt:lpstr>MS_Cn_max</vt:lpstr>
      <vt:lpstr>MS_Cn_min</vt:lpstr>
      <vt:lpstr>MS_max</vt:lpstr>
      <vt:lpstr>MS_min</vt:lpstr>
      <vt:lpstr>n_ail</vt:lpstr>
      <vt:lpstr>n_can</vt:lpstr>
      <vt:lpstr>Stabilito!n_int</vt:lpstr>
      <vt:lpstr>Nb_diam</vt:lpstr>
      <vt:lpstr>Nb_sat</vt:lpstr>
      <vt:lpstr>Nom</vt:lpstr>
      <vt:lpstr>p_ail</vt:lpstr>
      <vt:lpstr>p_can</vt:lpstr>
      <vt:lpstr>Stabilito!p_int</vt:lpstr>
      <vt:lpstr>pas</vt:lpstr>
      <vt:lpstr>Poids</vt:lpstr>
      <vt:lpstr>Portee_balistique</vt:lpstr>
      <vt:lpstr>pos_x</vt:lpstr>
      <vt:lpstr>pos_xz</vt:lpstr>
      <vt:lpstr>pos_z</vt:lpstr>
      <vt:lpstr>pos_z_montant</vt:lpstr>
      <vt:lpstr>Poussee</vt:lpstr>
      <vt:lpstr>Propu</vt:lpstr>
      <vt:lpstr>Q_ail</vt:lpstr>
      <vt:lpstr>Q_can</vt:lpstr>
      <vt:lpstr>Stabilito!Q_int</vt:lpstr>
      <vt:lpstr>Q_var</vt:lpstr>
      <vt:lpstr>R_rampe</vt:lpstr>
      <vt:lpstr>Rho</vt:lpstr>
      <vt:lpstr>Rho_moyen</vt:lpstr>
      <vt:lpstr>S_ail</vt:lpstr>
      <vt:lpstr>S_para</vt:lpstr>
      <vt:lpstr>S_para_croix</vt:lpstr>
      <vt:lpstr>S_para_rond</vt:lpstr>
      <vt:lpstr>S_satellite</vt:lpstr>
      <vt:lpstr>Sref</vt:lpstr>
      <vt:lpstr>sS</vt:lpstr>
      <vt:lpstr>t</vt:lpstr>
      <vt:lpstr>T_balistique</vt:lpstr>
      <vt:lpstr>T_ini</vt:lpstr>
      <vt:lpstr>T_para</vt:lpstr>
      <vt:lpstr>T_satellite</vt:lpstr>
      <vt:lpstr>Temps_culmi</vt:lpstr>
      <vt:lpstr>Temps_fin_propu</vt:lpstr>
      <vt:lpstr>Trainee</vt:lpstr>
      <vt:lpstr>tT_fus</vt:lpstr>
      <vt:lpstr>tT_sat</vt:lpstr>
      <vt:lpstr>Type_fusee</vt:lpstr>
      <vt:lpstr>Abaco!Type_masquage</vt:lpstr>
      <vt:lpstr>Stabilito!Type_masquage</vt:lpstr>
      <vt:lpstr>Type_propu</vt:lpstr>
      <vt:lpstr>V_ini</vt:lpstr>
      <vt:lpstr>V_ouv_sat</vt:lpstr>
      <vt:lpstr>V_ouverture</vt:lpstr>
      <vt:lpstr>V_para</vt:lpstr>
      <vt:lpstr>V_prop</vt:lpstr>
      <vt:lpstr>V_satellite</vt:lpstr>
      <vt:lpstr>V_vent</vt:lpstr>
      <vt:lpstr>V_vent_sat</vt:lpstr>
      <vt:lpstr>Stabilito!Version</vt:lpstr>
      <vt:lpstr>Trajecto!Version</vt:lpstr>
      <vt:lpstr>Vit_culmi</vt:lpstr>
      <vt:lpstr>Vit_max</vt:lpstr>
      <vt:lpstr>vit_x</vt:lpstr>
      <vt:lpstr>vit_xz</vt:lpstr>
      <vt:lpstr>vit_z</vt:lpstr>
      <vt:lpstr>Vsortie_de_rampe</vt:lpstr>
      <vt:lpstr>X_ail</vt:lpstr>
      <vt:lpstr>X_can</vt:lpstr>
      <vt:lpstr>X_culmi</vt:lpstr>
      <vt:lpstr>X_ini</vt:lpstr>
      <vt:lpstr>Stabilito!X_int</vt:lpstr>
      <vt:lpstr>X_j</vt:lpstr>
      <vt:lpstr>X_para</vt:lpstr>
      <vt:lpstr>X_r</vt:lpstr>
      <vt:lpstr>X_satellite</vt:lpstr>
      <vt:lpstr>XcgPlein</vt:lpstr>
      <vt:lpstr>XcgSans</vt:lpstr>
      <vt:lpstr>XcgVide</vt:lpstr>
      <vt:lpstr>Stabilito!XCp</vt:lpstr>
      <vt:lpstr>XCp0</vt:lpstr>
      <vt:lpstr>Stabilito!XCpa</vt:lpstr>
      <vt:lpstr>Stabilito!XCpai</vt:lpstr>
      <vt:lpstr>XCpai0</vt:lpstr>
      <vt:lpstr>Stabilito!XCpc</vt:lpstr>
      <vt:lpstr>Stabilito!XCpi</vt:lpstr>
      <vt:lpstr>XCpi0</vt:lpstr>
      <vt:lpstr>Stabilito!XCpj</vt:lpstr>
      <vt:lpstr>Stabilito!XCpo</vt:lpstr>
      <vt:lpstr>Stabilito!XCpr</vt:lpstr>
      <vt:lpstr>XpropuPlein</vt:lpstr>
      <vt:lpstr>XpropuRef</vt:lpstr>
      <vt:lpstr>XpropuVide</vt:lpstr>
      <vt:lpstr>Z_ini</vt:lpstr>
      <vt:lpstr>Abaco!Zone_d_impression</vt:lpstr>
      <vt:lpstr>Courbes!Zone_d_impression</vt:lpstr>
      <vt:lpstr>Stabilito!Zone_d_impression</vt:lpstr>
      <vt:lpstr>Trajecto!Zone_d_impression</vt:lpstr>
      <vt:lpstr>zZ_fus</vt:lpstr>
      <vt:lpstr>zZ_sat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StabTraj</dc:title>
  <dc:creator>Léo Côme;Sylvain Besson</dc:creator>
  <cp:lastModifiedBy>dlnr@protonmail.com</cp:lastModifiedBy>
  <cp:lastPrinted>2011-11-08T21:12:34Z</cp:lastPrinted>
  <dcterms:created xsi:type="dcterms:W3CDTF">2008-11-03T20:48:06Z</dcterms:created>
  <dcterms:modified xsi:type="dcterms:W3CDTF">2022-11-17T12:54:16Z</dcterms:modified>
</cp:coreProperties>
</file>